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53" firstSheet="3" activeTab="17"/>
  </bookViews>
  <sheets>
    <sheet name="length_weight_v15_data_update" sheetId="20" r:id="rId1"/>
    <sheet name="length_weight_v15_calc_updated" sheetId="19" r:id="rId2"/>
    <sheet name="length_weight_v15_data" sheetId="1" r:id="rId3"/>
    <sheet name="Recruit_weights" sheetId="2" r:id="rId4"/>
    <sheet name="scrap" sheetId="3" r:id="rId5"/>
    <sheet name="length_weight_v15_calc_doc" sheetId="4" r:id="rId6"/>
    <sheet name="age" sheetId="5" r:id="rId7"/>
    <sheet name="order" sheetId="10" r:id="rId8"/>
    <sheet name="weight_grams" sheetId="11" r:id="rId9"/>
    <sheet name="vert_biomass_mgC_individual" sheetId="12" r:id="rId10"/>
    <sheet name="mum_20180730" sheetId="6" r:id="rId11"/>
    <sheet name="inverts" sheetId="17" r:id="rId12"/>
    <sheet name="C_20180730" sheetId="7" r:id="rId13"/>
    <sheet name="RN" sheetId="15" r:id="rId14"/>
    <sheet name="SN" sheetId="16" r:id="rId15"/>
    <sheet name="sumRN_SN" sheetId="14" r:id="rId16"/>
    <sheet name="FuncResp" sheetId="13" r:id="rId17"/>
    <sheet name="ws" sheetId="21" r:id="rId18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64" i="21" l="1"/>
  <c r="Y65" i="21"/>
  <c r="Y66" i="21"/>
  <c r="Y67" i="21"/>
  <c r="Y68" i="21"/>
  <c r="Y69" i="21"/>
  <c r="Y70" i="21"/>
  <c r="Y71" i="21"/>
  <c r="Y72" i="21"/>
  <c r="Y73" i="21"/>
  <c r="Y74" i="21"/>
  <c r="Y75" i="21"/>
  <c r="Y76" i="21"/>
  <c r="Y77" i="21"/>
  <c r="Y78" i="21"/>
  <c r="Y79" i="21"/>
  <c r="Y80" i="21"/>
  <c r="Y81" i="21"/>
  <c r="Y82" i="21"/>
  <c r="Y83" i="21"/>
  <c r="Y84" i="21"/>
  <c r="Y85" i="21"/>
  <c r="Y86" i="21"/>
  <c r="Y87" i="21"/>
  <c r="Y88" i="21"/>
  <c r="Y89" i="21"/>
  <c r="Y90" i="21"/>
  <c r="Y91" i="21"/>
  <c r="Y92" i="21"/>
  <c r="Y93" i="21"/>
  <c r="Y94" i="21"/>
  <c r="Y95" i="21"/>
  <c r="Y96" i="21"/>
  <c r="Y97" i="21"/>
  <c r="Y98" i="21"/>
  <c r="Y99" i="21"/>
  <c r="Y100" i="21"/>
  <c r="Y101" i="21"/>
  <c r="Y102" i="21"/>
  <c r="Y103" i="21"/>
  <c r="Y104" i="21"/>
  <c r="Y105" i="21"/>
  <c r="Y106" i="21"/>
  <c r="Y107" i="21"/>
  <c r="Y108" i="21"/>
  <c r="Y109" i="21"/>
  <c r="Y110" i="21"/>
  <c r="Y111" i="21"/>
  <c r="Y112" i="21"/>
  <c r="Y113" i="21"/>
  <c r="Y114" i="21"/>
  <c r="Y115" i="21"/>
  <c r="Y116" i="21"/>
  <c r="Y117" i="21"/>
  <c r="Y118" i="21"/>
  <c r="Y119" i="21"/>
  <c r="Y120" i="21"/>
  <c r="Y121" i="21"/>
  <c r="Y63" i="21"/>
  <c r="Z64" i="21"/>
  <c r="Z65" i="21"/>
  <c r="Z66" i="21"/>
  <c r="AA66" i="21" s="1"/>
  <c r="Z67" i="21"/>
  <c r="AA67" i="21" s="1"/>
  <c r="Z68" i="21"/>
  <c r="Z69" i="21"/>
  <c r="AA69" i="21" s="1"/>
  <c r="Z70" i="21"/>
  <c r="AA70" i="21" s="1"/>
  <c r="Z71" i="21"/>
  <c r="AA71" i="21" s="1"/>
  <c r="Z72" i="21"/>
  <c r="Z73" i="21"/>
  <c r="Z74" i="21"/>
  <c r="AA74" i="21" s="1"/>
  <c r="Z75" i="21"/>
  <c r="AA75" i="21" s="1"/>
  <c r="Z76" i="21"/>
  <c r="Z77" i="21"/>
  <c r="AA77" i="21" s="1"/>
  <c r="Z78" i="21"/>
  <c r="AA78" i="21" s="1"/>
  <c r="Z79" i="21"/>
  <c r="AA79" i="21" s="1"/>
  <c r="Z80" i="21"/>
  <c r="Z81" i="21"/>
  <c r="Z82" i="21"/>
  <c r="AA82" i="21" s="1"/>
  <c r="Z83" i="21"/>
  <c r="AA83" i="21" s="1"/>
  <c r="Z84" i="21"/>
  <c r="Z85" i="21"/>
  <c r="AA85" i="21" s="1"/>
  <c r="Z86" i="21"/>
  <c r="AA86" i="21" s="1"/>
  <c r="Z87" i="21"/>
  <c r="AA87" i="21" s="1"/>
  <c r="Z88" i="21"/>
  <c r="Z89" i="21"/>
  <c r="Z90" i="21"/>
  <c r="AA90" i="21" s="1"/>
  <c r="Z91" i="21"/>
  <c r="AA91" i="21" s="1"/>
  <c r="Z92" i="21"/>
  <c r="Z93" i="21"/>
  <c r="AA93" i="21" s="1"/>
  <c r="Z94" i="21"/>
  <c r="AA94" i="21" s="1"/>
  <c r="Z95" i="21"/>
  <c r="AA95" i="21" s="1"/>
  <c r="Z96" i="21"/>
  <c r="Z97" i="21"/>
  <c r="Z98" i="21"/>
  <c r="AA98" i="21" s="1"/>
  <c r="Z99" i="21"/>
  <c r="AA99" i="21" s="1"/>
  <c r="Z100" i="21"/>
  <c r="Z101" i="21"/>
  <c r="AA101" i="21" s="1"/>
  <c r="Z102" i="21"/>
  <c r="AA102" i="21" s="1"/>
  <c r="Z103" i="21"/>
  <c r="AA103" i="21" s="1"/>
  <c r="Z104" i="21"/>
  <c r="Z105" i="21"/>
  <c r="Z106" i="21"/>
  <c r="AA106" i="21" s="1"/>
  <c r="Z107" i="21"/>
  <c r="AA107" i="21" s="1"/>
  <c r="Z108" i="21"/>
  <c r="Z109" i="21"/>
  <c r="AA109" i="21" s="1"/>
  <c r="Z110" i="21"/>
  <c r="AA110" i="21" s="1"/>
  <c r="Z111" i="21"/>
  <c r="AA111" i="21" s="1"/>
  <c r="Z112" i="21"/>
  <c r="Z113" i="21"/>
  <c r="Z114" i="21"/>
  <c r="AA114" i="21" s="1"/>
  <c r="Z115" i="21"/>
  <c r="AA115" i="21" s="1"/>
  <c r="Z116" i="21"/>
  <c r="Z117" i="21"/>
  <c r="AA117" i="21" s="1"/>
  <c r="Z118" i="21"/>
  <c r="AA118" i="21" s="1"/>
  <c r="Z119" i="21"/>
  <c r="AA119" i="21" s="1"/>
  <c r="Z120" i="21"/>
  <c r="Z121" i="21"/>
  <c r="Z63" i="21"/>
  <c r="AA63" i="21" s="1"/>
  <c r="AA64" i="21"/>
  <c r="AA65" i="21"/>
  <c r="AA68" i="21"/>
  <c r="AA72" i="21"/>
  <c r="AA73" i="21"/>
  <c r="AA76" i="21"/>
  <c r="AA80" i="21"/>
  <c r="AA81" i="21"/>
  <c r="AA84" i="21"/>
  <c r="AA88" i="21"/>
  <c r="AA89" i="21"/>
  <c r="AA92" i="21"/>
  <c r="AA96" i="21"/>
  <c r="AA97" i="21"/>
  <c r="AA100" i="21"/>
  <c r="AA104" i="21"/>
  <c r="AA105" i="21"/>
  <c r="AA108" i="21"/>
  <c r="AA112" i="21"/>
  <c r="AA113" i="21"/>
  <c r="AA116" i="21"/>
  <c r="AA120" i="21"/>
  <c r="AA121" i="21"/>
  <c r="Y3" i="21" l="1"/>
  <c r="Y4" i="21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20" i="21"/>
  <c r="Y21" i="21"/>
  <c r="Y22" i="21"/>
  <c r="Y23" i="21"/>
  <c r="Y24" i="21"/>
  <c r="Y25" i="21"/>
  <c r="Y26" i="21"/>
  <c r="Y27" i="21"/>
  <c r="Y28" i="21"/>
  <c r="Y29" i="21"/>
  <c r="Y30" i="21"/>
  <c r="Y31" i="21"/>
  <c r="Y32" i="21"/>
  <c r="Y33" i="21"/>
  <c r="Y34" i="21"/>
  <c r="Y35" i="21"/>
  <c r="Y36" i="21"/>
  <c r="Y37" i="21"/>
  <c r="Y38" i="21"/>
  <c r="Y39" i="21"/>
  <c r="Y40" i="21"/>
  <c r="Y41" i="21"/>
  <c r="Y42" i="21"/>
  <c r="Y43" i="21"/>
  <c r="Y44" i="21"/>
  <c r="Y45" i="21"/>
  <c r="Y46" i="21"/>
  <c r="Y47" i="21"/>
  <c r="Y48" i="21"/>
  <c r="Y49" i="21"/>
  <c r="Y50" i="21"/>
  <c r="Y51" i="21"/>
  <c r="Y52" i="21"/>
  <c r="Y53" i="21"/>
  <c r="Y54" i="21"/>
  <c r="Y55" i="21"/>
  <c r="Y56" i="21"/>
  <c r="Y57" i="21"/>
  <c r="Y58" i="21"/>
  <c r="Y59" i="21"/>
  <c r="Y60" i="21"/>
  <c r="Y2" i="21"/>
  <c r="AA3" i="21" l="1"/>
  <c r="AA4" i="21"/>
  <c r="AA5" i="2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AA39" i="21"/>
  <c r="AA40" i="21"/>
  <c r="AA41" i="21"/>
  <c r="AA42" i="21"/>
  <c r="AA43" i="21"/>
  <c r="AA44" i="21"/>
  <c r="AA45" i="21"/>
  <c r="AA46" i="21"/>
  <c r="AA47" i="21"/>
  <c r="AA48" i="21"/>
  <c r="AA49" i="21"/>
  <c r="AA50" i="21"/>
  <c r="AA51" i="21"/>
  <c r="AA52" i="21"/>
  <c r="AA53" i="21"/>
  <c r="AA54" i="21"/>
  <c r="AA55" i="21"/>
  <c r="AA56" i="21"/>
  <c r="AA57" i="21"/>
  <c r="AA58" i="21"/>
  <c r="AA59" i="21"/>
  <c r="AA60" i="21"/>
  <c r="AA2" i="21"/>
  <c r="Q69" i="2" l="1"/>
  <c r="R69" i="2" s="1"/>
  <c r="S69" i="2" s="1"/>
  <c r="T69" i="2" s="1"/>
  <c r="Q70" i="2"/>
  <c r="R70" i="2" s="1"/>
  <c r="S70" i="2" s="1"/>
  <c r="T70" i="2" s="1"/>
  <c r="Q71" i="2"/>
  <c r="R71" i="2" s="1"/>
  <c r="S71" i="2" s="1"/>
  <c r="T71" i="2" s="1"/>
  <c r="Q72" i="2"/>
  <c r="R72" i="2" s="1"/>
  <c r="S72" i="2" s="1"/>
  <c r="T72" i="2" s="1"/>
  <c r="Q73" i="2"/>
  <c r="R73" i="2" s="1"/>
  <c r="S73" i="2" s="1"/>
  <c r="T73" i="2" s="1"/>
  <c r="Q74" i="2"/>
  <c r="R74" i="2" s="1"/>
  <c r="S74" i="2" s="1"/>
  <c r="T74" i="2" s="1"/>
  <c r="Q75" i="2"/>
  <c r="R75" i="2" s="1"/>
  <c r="S75" i="2" s="1"/>
  <c r="T75" i="2" s="1"/>
  <c r="Q76" i="2"/>
  <c r="R76" i="2" s="1"/>
  <c r="S76" i="2" s="1"/>
  <c r="T76" i="2" s="1"/>
  <c r="Q77" i="2"/>
  <c r="R77" i="2" s="1"/>
  <c r="S77" i="2" s="1"/>
  <c r="T77" i="2" s="1"/>
  <c r="Q78" i="2"/>
  <c r="R78" i="2" s="1"/>
  <c r="S78" i="2" s="1"/>
  <c r="T78" i="2" s="1"/>
  <c r="Q79" i="2"/>
  <c r="R79" i="2" s="1"/>
  <c r="S79" i="2" s="1"/>
  <c r="T79" i="2" s="1"/>
  <c r="Q80" i="2"/>
  <c r="R80" i="2" s="1"/>
  <c r="S80" i="2" s="1"/>
  <c r="T80" i="2" s="1"/>
  <c r="Q81" i="2"/>
  <c r="R81" i="2" s="1"/>
  <c r="S81" i="2" s="1"/>
  <c r="T81" i="2" s="1"/>
  <c r="Q82" i="2"/>
  <c r="R82" i="2" s="1"/>
  <c r="S82" i="2" s="1"/>
  <c r="T82" i="2" s="1"/>
  <c r="Q83" i="2"/>
  <c r="R83" i="2" s="1"/>
  <c r="S83" i="2" s="1"/>
  <c r="T83" i="2" s="1"/>
  <c r="Q84" i="2"/>
  <c r="R84" i="2" s="1"/>
  <c r="S84" i="2" s="1"/>
  <c r="T84" i="2" s="1"/>
  <c r="Q85" i="2"/>
  <c r="R85" i="2" s="1"/>
  <c r="S85" i="2" s="1"/>
  <c r="T85" i="2" s="1"/>
  <c r="Q86" i="2"/>
  <c r="R86" i="2" s="1"/>
  <c r="S86" i="2" s="1"/>
  <c r="T86" i="2" s="1"/>
  <c r="Q87" i="2"/>
  <c r="R87" i="2" s="1"/>
  <c r="S87" i="2" s="1"/>
  <c r="T87" i="2" s="1"/>
  <c r="Q88" i="2"/>
  <c r="R88" i="2" s="1"/>
  <c r="S88" i="2" s="1"/>
  <c r="T88" i="2" s="1"/>
  <c r="Q89" i="2"/>
  <c r="R89" i="2" s="1"/>
  <c r="S89" i="2" s="1"/>
  <c r="T89" i="2" s="1"/>
  <c r="Q90" i="2"/>
  <c r="R90" i="2" s="1"/>
  <c r="S90" i="2" s="1"/>
  <c r="T90" i="2" s="1"/>
  <c r="Q91" i="2"/>
  <c r="R91" i="2" s="1"/>
  <c r="S91" i="2" s="1"/>
  <c r="T91" i="2" s="1"/>
  <c r="Q92" i="2"/>
  <c r="R92" i="2" s="1"/>
  <c r="S92" i="2" s="1"/>
  <c r="T92" i="2" s="1"/>
  <c r="Q93" i="2"/>
  <c r="R93" i="2" s="1"/>
  <c r="S93" i="2" s="1"/>
  <c r="T93" i="2" s="1"/>
  <c r="Q94" i="2"/>
  <c r="R94" i="2" s="1"/>
  <c r="S94" i="2" s="1"/>
  <c r="T94" i="2" s="1"/>
  <c r="Q95" i="2"/>
  <c r="R95" i="2" s="1"/>
  <c r="S95" i="2" s="1"/>
  <c r="T95" i="2" s="1"/>
  <c r="Q96" i="2"/>
  <c r="R96" i="2" s="1"/>
  <c r="S96" i="2" s="1"/>
  <c r="T96" i="2" s="1"/>
  <c r="Q97" i="2"/>
  <c r="R97" i="2" s="1"/>
  <c r="S97" i="2" s="1"/>
  <c r="T97" i="2" s="1"/>
  <c r="Q98" i="2"/>
  <c r="R98" i="2" s="1"/>
  <c r="S98" i="2" s="1"/>
  <c r="T98" i="2" s="1"/>
  <c r="Q99" i="2"/>
  <c r="R99" i="2" s="1"/>
  <c r="S99" i="2" s="1"/>
  <c r="T99" i="2" s="1"/>
  <c r="Q100" i="2"/>
  <c r="R100" i="2" s="1"/>
  <c r="S100" i="2" s="1"/>
  <c r="T100" i="2" s="1"/>
  <c r="Q101" i="2"/>
  <c r="R101" i="2" s="1"/>
  <c r="S101" i="2" s="1"/>
  <c r="T101" i="2" s="1"/>
  <c r="Q102" i="2"/>
  <c r="R102" i="2" s="1"/>
  <c r="S102" i="2" s="1"/>
  <c r="T102" i="2" s="1"/>
  <c r="Q103" i="2"/>
  <c r="R103" i="2" s="1"/>
  <c r="S103" i="2" s="1"/>
  <c r="T103" i="2" s="1"/>
  <c r="Q104" i="2"/>
  <c r="R104" i="2" s="1"/>
  <c r="S104" i="2" s="1"/>
  <c r="T104" i="2" s="1"/>
  <c r="Q105" i="2"/>
  <c r="R105" i="2" s="1"/>
  <c r="S105" i="2" s="1"/>
  <c r="T105" i="2" s="1"/>
  <c r="Q106" i="2"/>
  <c r="R106" i="2" s="1"/>
  <c r="S106" i="2" s="1"/>
  <c r="T106" i="2" s="1"/>
  <c r="Q107" i="2"/>
  <c r="R107" i="2" s="1"/>
  <c r="S107" i="2" s="1"/>
  <c r="T107" i="2" s="1"/>
  <c r="Q108" i="2"/>
  <c r="R108" i="2" s="1"/>
  <c r="S108" i="2" s="1"/>
  <c r="T108" i="2" s="1"/>
  <c r="Q109" i="2"/>
  <c r="R109" i="2" s="1"/>
  <c r="S109" i="2" s="1"/>
  <c r="T109" i="2" s="1"/>
  <c r="Q110" i="2"/>
  <c r="R110" i="2" s="1"/>
  <c r="S110" i="2" s="1"/>
  <c r="T110" i="2" s="1"/>
  <c r="Q111" i="2"/>
  <c r="R111" i="2" s="1"/>
  <c r="S111" i="2" s="1"/>
  <c r="T111" i="2" s="1"/>
  <c r="Q112" i="2"/>
  <c r="R112" i="2" s="1"/>
  <c r="S112" i="2" s="1"/>
  <c r="T112" i="2" s="1"/>
  <c r="Q113" i="2"/>
  <c r="R113" i="2" s="1"/>
  <c r="S113" i="2" s="1"/>
  <c r="T113" i="2" s="1"/>
  <c r="Q114" i="2"/>
  <c r="R114" i="2" s="1"/>
  <c r="S114" i="2" s="1"/>
  <c r="T114" i="2" s="1"/>
  <c r="Q115" i="2"/>
  <c r="R115" i="2" s="1"/>
  <c r="S115" i="2" s="1"/>
  <c r="T115" i="2" s="1"/>
  <c r="Q116" i="2"/>
  <c r="R116" i="2" s="1"/>
  <c r="S116" i="2" s="1"/>
  <c r="T116" i="2" s="1"/>
  <c r="Q117" i="2"/>
  <c r="R117" i="2" s="1"/>
  <c r="S117" i="2" s="1"/>
  <c r="T117" i="2" s="1"/>
  <c r="Q118" i="2"/>
  <c r="R118" i="2" s="1"/>
  <c r="S118" i="2" s="1"/>
  <c r="T118" i="2" s="1"/>
  <c r="Q119" i="2"/>
  <c r="R119" i="2" s="1"/>
  <c r="S119" i="2" s="1"/>
  <c r="T119" i="2" s="1"/>
  <c r="Q120" i="2"/>
  <c r="R120" i="2" s="1"/>
  <c r="S120" i="2" s="1"/>
  <c r="T120" i="2" s="1"/>
  <c r="Q121" i="2"/>
  <c r="R121" i="2" s="1"/>
  <c r="S121" i="2" s="1"/>
  <c r="T121" i="2" s="1"/>
  <c r="Q122" i="2"/>
  <c r="R122" i="2" s="1"/>
  <c r="S122" i="2" s="1"/>
  <c r="T122" i="2" s="1"/>
  <c r="Q123" i="2"/>
  <c r="R123" i="2" s="1"/>
  <c r="S123" i="2" s="1"/>
  <c r="T123" i="2" s="1"/>
  <c r="Q124" i="2"/>
  <c r="R124" i="2" s="1"/>
  <c r="S124" i="2" s="1"/>
  <c r="T124" i="2" s="1"/>
  <c r="Q125" i="2"/>
  <c r="R125" i="2" s="1"/>
  <c r="S125" i="2" s="1"/>
  <c r="T125" i="2" s="1"/>
  <c r="Q126" i="2"/>
  <c r="R126" i="2" s="1"/>
  <c r="S126" i="2" s="1"/>
  <c r="T126" i="2" s="1"/>
  <c r="Q68" i="2"/>
  <c r="R68" i="2" s="1"/>
  <c r="S68" i="2" s="1"/>
  <c r="T68" i="2" s="1"/>
  <c r="U473" i="19"/>
  <c r="U474" i="19"/>
  <c r="U475" i="19"/>
  <c r="U476" i="19"/>
  <c r="U477" i="19"/>
  <c r="U478" i="19"/>
  <c r="U479" i="19"/>
  <c r="U480" i="19"/>
  <c r="U481" i="19"/>
  <c r="U472" i="19"/>
  <c r="Q5" i="19"/>
  <c r="Q12" i="19"/>
  <c r="Q21" i="19"/>
  <c r="Q29" i="19"/>
  <c r="Q32" i="19"/>
  <c r="Q37" i="19"/>
  <c r="Q44" i="19"/>
  <c r="Q45" i="19"/>
  <c r="Q64" i="19"/>
  <c r="P64" i="19" s="1"/>
  <c r="Q77" i="19"/>
  <c r="Q92" i="19"/>
  <c r="P92" i="19" s="1"/>
  <c r="Q93" i="19"/>
  <c r="Q96" i="19"/>
  <c r="Q108" i="19"/>
  <c r="Q157" i="19"/>
  <c r="Q160" i="19"/>
  <c r="Q173" i="19"/>
  <c r="P173" i="19" s="1"/>
  <c r="Q176" i="19"/>
  <c r="Q181" i="19"/>
  <c r="P181" i="19" s="1"/>
  <c r="Q188" i="19"/>
  <c r="Q189" i="19"/>
  <c r="Q192" i="19"/>
  <c r="P192" i="19" s="1"/>
  <c r="Q204" i="19"/>
  <c r="Q205" i="19"/>
  <c r="Q213" i="19"/>
  <c r="P213" i="19" s="1"/>
  <c r="Q220" i="19"/>
  <c r="Q221" i="19"/>
  <c r="P221" i="19" s="1"/>
  <c r="Q224" i="19"/>
  <c r="Q236" i="19"/>
  <c r="Q237" i="19"/>
  <c r="P237" i="19" s="1"/>
  <c r="Q245" i="19"/>
  <c r="P245" i="19" s="1"/>
  <c r="Q253" i="19"/>
  <c r="Q256" i="19"/>
  <c r="R256" i="19" s="1"/>
  <c r="Q268" i="19"/>
  <c r="Q269" i="19"/>
  <c r="Q293" i="19"/>
  <c r="Q300" i="19"/>
  <c r="Q304" i="19"/>
  <c r="Q316" i="19"/>
  <c r="Q317" i="19"/>
  <c r="Q320" i="19"/>
  <c r="Q333" i="19"/>
  <c r="Q341" i="19"/>
  <c r="Q352" i="19"/>
  <c r="Q373" i="19"/>
  <c r="P373" i="19" s="1"/>
  <c r="Q380" i="19"/>
  <c r="P380" i="19" s="1"/>
  <c r="Q384" i="19"/>
  <c r="P384" i="19" s="1"/>
  <c r="Q389" i="19"/>
  <c r="Q397" i="19"/>
  <c r="Q412" i="19"/>
  <c r="Q413" i="19"/>
  <c r="P413" i="19" s="1"/>
  <c r="Q416" i="19"/>
  <c r="Q437" i="19"/>
  <c r="Q444" i="19"/>
  <c r="Q445" i="19"/>
  <c r="P445" i="19" s="1"/>
  <c r="Q448" i="19"/>
  <c r="Q460" i="19"/>
  <c r="Q461" i="19"/>
  <c r="P461" i="19" s="1"/>
  <c r="Q477" i="19"/>
  <c r="Q480" i="19"/>
  <c r="Q485" i="19"/>
  <c r="P485" i="19" s="1"/>
  <c r="Q491" i="19"/>
  <c r="Q512" i="19"/>
  <c r="Q515" i="19"/>
  <c r="R515" i="19" s="1"/>
  <c r="Q520" i="19"/>
  <c r="Q524" i="19"/>
  <c r="Q525" i="19"/>
  <c r="R525" i="19" s="1"/>
  <c r="Q528" i="19"/>
  <c r="Q531" i="19"/>
  <c r="Q532" i="19"/>
  <c r="Q533" i="19"/>
  <c r="Q540" i="19"/>
  <c r="Q541" i="19"/>
  <c r="R541" i="19" s="1"/>
  <c r="Q544" i="19"/>
  <c r="Q548" i="19"/>
  <c r="P548" i="19" s="1"/>
  <c r="Q549" i="19"/>
  <c r="Q555" i="19"/>
  <c r="Q556" i="19"/>
  <c r="Q557" i="19"/>
  <c r="Q560" i="19"/>
  <c r="P560" i="19" s="1"/>
  <c r="Q564" i="19"/>
  <c r="P564" i="19" s="1"/>
  <c r="Q565" i="19"/>
  <c r="Q571" i="19"/>
  <c r="Q572" i="19"/>
  <c r="P572" i="19" s="1"/>
  <c r="Q573" i="19"/>
  <c r="Q580" i="19"/>
  <c r="P580" i="19" s="1"/>
  <c r="Q581" i="19"/>
  <c r="Q582" i="19"/>
  <c r="Q587" i="19"/>
  <c r="Q588" i="19"/>
  <c r="P588" i="19" s="1"/>
  <c r="Q589" i="19"/>
  <c r="E591" i="19"/>
  <c r="Q591" i="19" s="1"/>
  <c r="E590" i="19"/>
  <c r="Q590" i="19" s="1"/>
  <c r="R590" i="19" s="1"/>
  <c r="E589" i="19"/>
  <c r="E588" i="19"/>
  <c r="E587" i="19"/>
  <c r="R586" i="19"/>
  <c r="E586" i="19"/>
  <c r="Q586" i="19" s="1"/>
  <c r="E585" i="19"/>
  <c r="Q585" i="19" s="1"/>
  <c r="P584" i="19"/>
  <c r="E584" i="19"/>
  <c r="Q584" i="19" s="1"/>
  <c r="E583" i="19"/>
  <c r="Q583" i="19" s="1"/>
  <c r="R582" i="19"/>
  <c r="E582" i="19"/>
  <c r="E581" i="19"/>
  <c r="E580" i="19"/>
  <c r="E579" i="19"/>
  <c r="Q579" i="19" s="1"/>
  <c r="R578" i="19"/>
  <c r="E578" i="19"/>
  <c r="Q578" i="19" s="1"/>
  <c r="E577" i="19"/>
  <c r="Q577" i="19" s="1"/>
  <c r="E576" i="19"/>
  <c r="Q576" i="19" s="1"/>
  <c r="P576" i="19" s="1"/>
  <c r="E575" i="19"/>
  <c r="Q575" i="19" s="1"/>
  <c r="E574" i="19"/>
  <c r="Q574" i="19" s="1"/>
  <c r="R574" i="19" s="1"/>
  <c r="E573" i="19"/>
  <c r="E572" i="19"/>
  <c r="E571" i="19"/>
  <c r="E570" i="19"/>
  <c r="Q570" i="19" s="1"/>
  <c r="R570" i="19" s="1"/>
  <c r="E569" i="19"/>
  <c r="Q569" i="19" s="1"/>
  <c r="P568" i="19"/>
  <c r="E568" i="19"/>
  <c r="Q568" i="19" s="1"/>
  <c r="E567" i="19"/>
  <c r="Q567" i="19" s="1"/>
  <c r="E566" i="19"/>
  <c r="Q566" i="19" s="1"/>
  <c r="R566" i="19" s="1"/>
  <c r="E565" i="19"/>
  <c r="E564" i="19"/>
  <c r="E563" i="19"/>
  <c r="Q563" i="19" s="1"/>
  <c r="E562" i="19"/>
  <c r="Q562" i="19" s="1"/>
  <c r="R562" i="19" s="1"/>
  <c r="E561" i="19"/>
  <c r="Q561" i="19" s="1"/>
  <c r="E560" i="19"/>
  <c r="E559" i="19"/>
  <c r="Q559" i="19" s="1"/>
  <c r="E558" i="19"/>
  <c r="Q558" i="19" s="1"/>
  <c r="R558" i="19" s="1"/>
  <c r="E557" i="19"/>
  <c r="P556" i="19"/>
  <c r="E556" i="19"/>
  <c r="E555" i="19"/>
  <c r="E554" i="19"/>
  <c r="Q554" i="19" s="1"/>
  <c r="R554" i="19" s="1"/>
  <c r="E553" i="19"/>
  <c r="Q553" i="19" s="1"/>
  <c r="E552" i="19"/>
  <c r="Q552" i="19" s="1"/>
  <c r="P552" i="19" s="1"/>
  <c r="E551" i="19"/>
  <c r="Q551" i="19" s="1"/>
  <c r="E550" i="19"/>
  <c r="Q550" i="19" s="1"/>
  <c r="R550" i="19" s="1"/>
  <c r="E549" i="19"/>
  <c r="E548" i="19"/>
  <c r="E547" i="19"/>
  <c r="Q547" i="19" s="1"/>
  <c r="R546" i="19"/>
  <c r="E546" i="19"/>
  <c r="Q546" i="19" s="1"/>
  <c r="E545" i="19"/>
  <c r="Q545" i="19" s="1"/>
  <c r="E544" i="19"/>
  <c r="E543" i="19"/>
  <c r="E542" i="19"/>
  <c r="Q542" i="19" s="1"/>
  <c r="E541" i="19"/>
  <c r="E540" i="19"/>
  <c r="E539" i="19"/>
  <c r="Q539" i="19" s="1"/>
  <c r="R539" i="19" s="1"/>
  <c r="E538" i="19"/>
  <c r="Q538" i="19" s="1"/>
  <c r="E537" i="19"/>
  <c r="Q537" i="19" s="1"/>
  <c r="R537" i="19" s="1"/>
  <c r="E536" i="19"/>
  <c r="Q536" i="19" s="1"/>
  <c r="E535" i="19"/>
  <c r="Q535" i="19" s="1"/>
  <c r="E534" i="19"/>
  <c r="Q534" i="19" s="1"/>
  <c r="R534" i="19" s="1"/>
  <c r="E533" i="19"/>
  <c r="P532" i="19"/>
  <c r="E532" i="19"/>
  <c r="E531" i="19"/>
  <c r="E530" i="19"/>
  <c r="Q530" i="19" s="1"/>
  <c r="E529" i="19"/>
  <c r="E528" i="19"/>
  <c r="E527" i="19"/>
  <c r="E526" i="19"/>
  <c r="Q526" i="19" s="1"/>
  <c r="E525" i="19"/>
  <c r="E524" i="19"/>
  <c r="E523" i="19"/>
  <c r="E522" i="19"/>
  <c r="Q522" i="19" s="1"/>
  <c r="E521" i="19"/>
  <c r="E520" i="19"/>
  <c r="E519" i="19"/>
  <c r="E518" i="19"/>
  <c r="Q518" i="19" s="1"/>
  <c r="E517" i="19"/>
  <c r="Q517" i="19" s="1"/>
  <c r="R517" i="19" s="1"/>
  <c r="E516" i="19"/>
  <c r="Q516" i="19" s="1"/>
  <c r="E515" i="19"/>
  <c r="E514" i="19"/>
  <c r="Q514" i="19" s="1"/>
  <c r="E513" i="19"/>
  <c r="E512" i="19"/>
  <c r="E511" i="19"/>
  <c r="E510" i="19"/>
  <c r="E509" i="19"/>
  <c r="E508" i="19"/>
  <c r="E507" i="19"/>
  <c r="AA506" i="19"/>
  <c r="Y506" i="19"/>
  <c r="E506" i="19"/>
  <c r="E505" i="19"/>
  <c r="AA504" i="19"/>
  <c r="E504" i="19"/>
  <c r="AA503" i="19"/>
  <c r="AC503" i="19" s="1"/>
  <c r="U509" i="19" s="1"/>
  <c r="Q509" i="19" s="1"/>
  <c r="E503" i="19"/>
  <c r="AA502" i="19"/>
  <c r="AC502" i="19" s="1"/>
  <c r="AD502" i="19" s="1"/>
  <c r="Y502" i="19"/>
  <c r="U502" i="19"/>
  <c r="Q502" i="19" s="1"/>
  <c r="E502" i="19"/>
  <c r="E501" i="19"/>
  <c r="E500" i="19"/>
  <c r="E499" i="19"/>
  <c r="E498" i="19"/>
  <c r="E497" i="19"/>
  <c r="E496" i="19"/>
  <c r="AH495" i="19"/>
  <c r="U495" i="19"/>
  <c r="E495" i="19"/>
  <c r="AH494" i="19"/>
  <c r="E494" i="19"/>
  <c r="AH493" i="19"/>
  <c r="E493" i="19"/>
  <c r="V492" i="19"/>
  <c r="Q492" i="19" s="1"/>
  <c r="U492" i="19"/>
  <c r="E492" i="19"/>
  <c r="E491" i="19"/>
  <c r="E490" i="19"/>
  <c r="Q490" i="19" s="1"/>
  <c r="P490" i="19" s="1"/>
  <c r="E489" i="19"/>
  <c r="Q489" i="19" s="1"/>
  <c r="E488" i="19"/>
  <c r="Q488" i="19" s="1"/>
  <c r="R488" i="19" s="1"/>
  <c r="E487" i="19"/>
  <c r="Q487" i="19" s="1"/>
  <c r="E486" i="19"/>
  <c r="Q486" i="19" s="1"/>
  <c r="E485" i="19"/>
  <c r="E484" i="19"/>
  <c r="Q484" i="19" s="1"/>
  <c r="R484" i="19" s="1"/>
  <c r="O484" i="19" s="1"/>
  <c r="E483" i="19"/>
  <c r="Q483" i="19" s="1"/>
  <c r="R483" i="19" s="1"/>
  <c r="E482" i="19"/>
  <c r="Q482" i="19" s="1"/>
  <c r="AA481" i="19"/>
  <c r="E481" i="19"/>
  <c r="Q481" i="19" s="1"/>
  <c r="E480" i="19"/>
  <c r="E479" i="19"/>
  <c r="Q479" i="19" s="1"/>
  <c r="E478" i="19"/>
  <c r="Q478" i="19" s="1"/>
  <c r="E477" i="19"/>
  <c r="AA476" i="19"/>
  <c r="Z476" i="19"/>
  <c r="E476" i="19"/>
  <c r="Q476" i="19" s="1"/>
  <c r="AA475" i="19"/>
  <c r="E475" i="19"/>
  <c r="Q475" i="19" s="1"/>
  <c r="E474" i="19"/>
  <c r="Q474" i="19" s="1"/>
  <c r="AA473" i="19"/>
  <c r="Z473" i="19"/>
  <c r="Y473" i="19"/>
  <c r="E473" i="19"/>
  <c r="Q473" i="19" s="1"/>
  <c r="AC472" i="19"/>
  <c r="AA472" i="19"/>
  <c r="Z472" i="19"/>
  <c r="Y472" i="19"/>
  <c r="E472" i="19"/>
  <c r="Q472" i="19" s="1"/>
  <c r="E471" i="19"/>
  <c r="E470" i="19"/>
  <c r="Q470" i="19" s="1"/>
  <c r="E469" i="19"/>
  <c r="E468" i="19"/>
  <c r="Q468" i="19" s="1"/>
  <c r="E467" i="19"/>
  <c r="E466" i="19"/>
  <c r="Q466" i="19" s="1"/>
  <c r="E465" i="19"/>
  <c r="E464" i="19"/>
  <c r="Q464" i="19" s="1"/>
  <c r="E463" i="19"/>
  <c r="E462" i="19"/>
  <c r="Q462" i="19" s="1"/>
  <c r="E461" i="19"/>
  <c r="E460" i="19"/>
  <c r="E459" i="19"/>
  <c r="E458" i="19"/>
  <c r="Q458" i="19" s="1"/>
  <c r="P457" i="19"/>
  <c r="E457" i="19"/>
  <c r="Q457" i="19" s="1"/>
  <c r="E456" i="19"/>
  <c r="Q456" i="19" s="1"/>
  <c r="E455" i="19"/>
  <c r="E454" i="19"/>
  <c r="Q454" i="19" s="1"/>
  <c r="E453" i="19"/>
  <c r="Q453" i="19" s="1"/>
  <c r="P453" i="19" s="1"/>
  <c r="E452" i="19"/>
  <c r="Q452" i="19" s="1"/>
  <c r="E451" i="19"/>
  <c r="E450" i="19"/>
  <c r="Q450" i="19" s="1"/>
  <c r="E449" i="19"/>
  <c r="Q449" i="19" s="1"/>
  <c r="P449" i="19" s="1"/>
  <c r="E448" i="19"/>
  <c r="E447" i="19"/>
  <c r="E446" i="19"/>
  <c r="Q446" i="19" s="1"/>
  <c r="E445" i="19"/>
  <c r="E444" i="19"/>
  <c r="E443" i="19"/>
  <c r="E442" i="19"/>
  <c r="Q442" i="19" s="1"/>
  <c r="E441" i="19"/>
  <c r="E440" i="19"/>
  <c r="Q440" i="19" s="1"/>
  <c r="E439" i="19"/>
  <c r="E438" i="19"/>
  <c r="Q438" i="19" s="1"/>
  <c r="P437" i="19"/>
  <c r="E437" i="19"/>
  <c r="E436" i="19"/>
  <c r="Q436" i="19" s="1"/>
  <c r="E435" i="19"/>
  <c r="E434" i="19"/>
  <c r="Q434" i="19" s="1"/>
  <c r="E433" i="19"/>
  <c r="E432" i="19"/>
  <c r="Q432" i="19" s="1"/>
  <c r="H431" i="19"/>
  <c r="E431" i="19"/>
  <c r="V430" i="19"/>
  <c r="H430" i="19"/>
  <c r="I430" i="19" s="1"/>
  <c r="K430" i="19" s="1"/>
  <c r="E430" i="19"/>
  <c r="H429" i="19"/>
  <c r="N429" i="19" s="1"/>
  <c r="E429" i="19"/>
  <c r="V428" i="19"/>
  <c r="H428" i="19"/>
  <c r="I428" i="19" s="1"/>
  <c r="K428" i="19" s="1"/>
  <c r="E428" i="19"/>
  <c r="Q428" i="19" s="1"/>
  <c r="H427" i="19"/>
  <c r="E427" i="19"/>
  <c r="AH426" i="19"/>
  <c r="H426" i="19"/>
  <c r="E426" i="19"/>
  <c r="AH425" i="19"/>
  <c r="V429" i="19" s="1"/>
  <c r="U425" i="19"/>
  <c r="H425" i="19"/>
  <c r="N425" i="19" s="1"/>
  <c r="E425" i="19"/>
  <c r="AH424" i="19"/>
  <c r="U428" i="19" s="1"/>
  <c r="V424" i="19"/>
  <c r="I424" i="19"/>
  <c r="H424" i="19"/>
  <c r="N424" i="19" s="1"/>
  <c r="E424" i="19"/>
  <c r="AH423" i="19"/>
  <c r="V423" i="19"/>
  <c r="U423" i="19"/>
  <c r="H423" i="19"/>
  <c r="N423" i="19" s="1"/>
  <c r="E423" i="19"/>
  <c r="V422" i="19"/>
  <c r="U422" i="19"/>
  <c r="Q422" i="19" s="1"/>
  <c r="H422" i="19"/>
  <c r="E422" i="19"/>
  <c r="E421" i="19"/>
  <c r="Q421" i="19" s="1"/>
  <c r="P421" i="19" s="1"/>
  <c r="E420" i="19"/>
  <c r="Q420" i="19" s="1"/>
  <c r="E419" i="19"/>
  <c r="Q419" i="19" s="1"/>
  <c r="R419" i="19" s="1"/>
  <c r="E418" i="19"/>
  <c r="Q418" i="19" s="1"/>
  <c r="P417" i="19"/>
  <c r="E417" i="19"/>
  <c r="Q417" i="19" s="1"/>
  <c r="E416" i="19"/>
  <c r="R415" i="19"/>
  <c r="E415" i="19"/>
  <c r="Q415" i="19" s="1"/>
  <c r="E414" i="19"/>
  <c r="Q414" i="19" s="1"/>
  <c r="E413" i="19"/>
  <c r="E412" i="19"/>
  <c r="E411" i="19"/>
  <c r="E410" i="19"/>
  <c r="E409" i="19"/>
  <c r="E408" i="19"/>
  <c r="E407" i="19"/>
  <c r="E406" i="19"/>
  <c r="AH405" i="19"/>
  <c r="V403" i="19" s="1"/>
  <c r="E405" i="19"/>
  <c r="AH404" i="19"/>
  <c r="E404" i="19"/>
  <c r="AH403" i="19"/>
  <c r="E403" i="19"/>
  <c r="E402" i="19"/>
  <c r="E401" i="19"/>
  <c r="Q401" i="19" s="1"/>
  <c r="E400" i="19"/>
  <c r="Q400" i="19" s="1"/>
  <c r="R400" i="19" s="1"/>
  <c r="E399" i="19"/>
  <c r="Q399" i="19" s="1"/>
  <c r="E398" i="19"/>
  <c r="Q398" i="19" s="1"/>
  <c r="E397" i="19"/>
  <c r="E396" i="19"/>
  <c r="Q396" i="19" s="1"/>
  <c r="R396" i="19" s="1"/>
  <c r="E395" i="19"/>
  <c r="E394" i="19"/>
  <c r="Q394" i="19" s="1"/>
  <c r="E393" i="19"/>
  <c r="E392" i="19"/>
  <c r="Q392" i="19" s="1"/>
  <c r="E391" i="19"/>
  <c r="E390" i="19"/>
  <c r="E389" i="19"/>
  <c r="E388" i="19"/>
  <c r="Y387" i="19"/>
  <c r="E387" i="19"/>
  <c r="AA386" i="19"/>
  <c r="E386" i="19"/>
  <c r="Q386" i="19" s="1"/>
  <c r="P386" i="19" s="1"/>
  <c r="E385" i="19"/>
  <c r="Q385" i="19" s="1"/>
  <c r="E384" i="19"/>
  <c r="E383" i="19"/>
  <c r="Q383" i="19" s="1"/>
  <c r="AE382" i="19"/>
  <c r="AE386" i="19" s="1"/>
  <c r="AD382" i="19"/>
  <c r="AD386" i="19" s="1"/>
  <c r="AC382" i="19"/>
  <c r="AC386" i="19" s="1"/>
  <c r="AB382" i="19"/>
  <c r="AB386" i="19" s="1"/>
  <c r="AA382" i="19"/>
  <c r="Z382" i="19"/>
  <c r="E382" i="19"/>
  <c r="Q382" i="19" s="1"/>
  <c r="P382" i="19" s="1"/>
  <c r="E381" i="19"/>
  <c r="Q381" i="19" s="1"/>
  <c r="AH380" i="19"/>
  <c r="E380" i="19"/>
  <c r="E379" i="19"/>
  <c r="Q379" i="19" s="1"/>
  <c r="E378" i="19"/>
  <c r="Q378" i="19" s="1"/>
  <c r="E377" i="19"/>
  <c r="Q377" i="19" s="1"/>
  <c r="P377" i="19" s="1"/>
  <c r="E376" i="19"/>
  <c r="Q376" i="19" s="1"/>
  <c r="R376" i="19" s="1"/>
  <c r="E375" i="19"/>
  <c r="Q375" i="19" s="1"/>
  <c r="E374" i="19"/>
  <c r="Q374" i="19" s="1"/>
  <c r="E373" i="19"/>
  <c r="E372" i="19"/>
  <c r="Q372" i="19" s="1"/>
  <c r="R372" i="19" s="1"/>
  <c r="E371" i="19"/>
  <c r="E370" i="19"/>
  <c r="E369" i="19"/>
  <c r="E368" i="19"/>
  <c r="Y367" i="19"/>
  <c r="E367" i="19"/>
  <c r="Y366" i="19"/>
  <c r="E366" i="19"/>
  <c r="Y365" i="19"/>
  <c r="E365" i="19"/>
  <c r="E364" i="19"/>
  <c r="Y363" i="19"/>
  <c r="E363" i="19"/>
  <c r="Y362" i="19"/>
  <c r="Z362" i="19" s="1"/>
  <c r="E362" i="19"/>
  <c r="E361" i="19"/>
  <c r="Q361" i="19" s="1"/>
  <c r="P360" i="19"/>
  <c r="E360" i="19"/>
  <c r="Q360" i="19" s="1"/>
  <c r="R360" i="19" s="1"/>
  <c r="S360" i="19" s="1"/>
  <c r="T360" i="19" s="1"/>
  <c r="E359" i="19"/>
  <c r="P358" i="19"/>
  <c r="E358" i="19"/>
  <c r="Q358" i="19" s="1"/>
  <c r="E357" i="19"/>
  <c r="Q357" i="19" s="1"/>
  <c r="R356" i="19"/>
  <c r="O356" i="19" s="1"/>
  <c r="E356" i="19"/>
  <c r="Q356" i="19" s="1"/>
  <c r="P356" i="19" s="1"/>
  <c r="E355" i="19"/>
  <c r="Q355" i="19" s="1"/>
  <c r="R355" i="19" s="1"/>
  <c r="O355" i="19" s="1"/>
  <c r="E354" i="19"/>
  <c r="Q354" i="19" s="1"/>
  <c r="R354" i="19" s="1"/>
  <c r="E353" i="19"/>
  <c r="Q353" i="19" s="1"/>
  <c r="R353" i="19" s="1"/>
  <c r="E352" i="19"/>
  <c r="E351" i="19"/>
  <c r="E350" i="19"/>
  <c r="E349" i="19"/>
  <c r="E348" i="19"/>
  <c r="E347" i="19"/>
  <c r="E346" i="19"/>
  <c r="E345" i="19"/>
  <c r="AC344" i="19"/>
  <c r="AB344" i="19"/>
  <c r="AA344" i="19"/>
  <c r="Z344" i="19"/>
  <c r="Y344" i="19"/>
  <c r="E344" i="19"/>
  <c r="AC343" i="19"/>
  <c r="AB343" i="19"/>
  <c r="AA343" i="19"/>
  <c r="Z343" i="19"/>
  <c r="Y343" i="19"/>
  <c r="E343" i="19"/>
  <c r="E342" i="19"/>
  <c r="E341" i="19"/>
  <c r="E340" i="19"/>
  <c r="Q340" i="19" s="1"/>
  <c r="P339" i="19"/>
  <c r="E339" i="19"/>
  <c r="Q339" i="19" s="1"/>
  <c r="R338" i="19"/>
  <c r="O338" i="19" s="1"/>
  <c r="E338" i="19"/>
  <c r="Q338" i="19" s="1"/>
  <c r="E337" i="19"/>
  <c r="E336" i="19"/>
  <c r="Q336" i="19" s="1"/>
  <c r="E335" i="19"/>
  <c r="Q335" i="19" s="1"/>
  <c r="P334" i="19"/>
  <c r="E334" i="19"/>
  <c r="Q334" i="19" s="1"/>
  <c r="E333" i="19"/>
  <c r="E332" i="19"/>
  <c r="Q332" i="19" s="1"/>
  <c r="E331" i="19"/>
  <c r="E330" i="19"/>
  <c r="E329" i="19"/>
  <c r="E328" i="19"/>
  <c r="E327" i="19"/>
  <c r="U326" i="19"/>
  <c r="E326" i="19"/>
  <c r="AK325" i="19"/>
  <c r="V329" i="19" s="1"/>
  <c r="E325" i="19"/>
  <c r="AK324" i="19"/>
  <c r="U324" i="19"/>
  <c r="E324" i="19"/>
  <c r="AK323" i="19"/>
  <c r="U323" i="19"/>
  <c r="E323" i="19"/>
  <c r="E322" i="19"/>
  <c r="E321" i="19"/>
  <c r="Q321" i="19" s="1"/>
  <c r="E320" i="19"/>
  <c r="E319" i="19"/>
  <c r="Q319" i="19" s="1"/>
  <c r="P319" i="19" s="1"/>
  <c r="E318" i="19"/>
  <c r="Q318" i="19" s="1"/>
  <c r="E317" i="19"/>
  <c r="E316" i="19"/>
  <c r="E315" i="19"/>
  <c r="Q315" i="19" s="1"/>
  <c r="P315" i="19" s="1"/>
  <c r="E314" i="19"/>
  <c r="Q314" i="19" s="1"/>
  <c r="E313" i="19"/>
  <c r="Q313" i="19" s="1"/>
  <c r="E312" i="19"/>
  <c r="Q312" i="19" s="1"/>
  <c r="P311" i="19"/>
  <c r="E311" i="19"/>
  <c r="Q311" i="19" s="1"/>
  <c r="E310" i="19"/>
  <c r="Q310" i="19" s="1"/>
  <c r="E309" i="19"/>
  <c r="Q309" i="19" s="1"/>
  <c r="E308" i="19"/>
  <c r="Q308" i="19" s="1"/>
  <c r="P307" i="19"/>
  <c r="E307" i="19"/>
  <c r="Q307" i="19" s="1"/>
  <c r="E306" i="19"/>
  <c r="Q306" i="19" s="1"/>
  <c r="E305" i="19"/>
  <c r="Q305" i="19" s="1"/>
  <c r="E304" i="19"/>
  <c r="E303" i="19"/>
  <c r="Q303" i="19" s="1"/>
  <c r="P303" i="19" s="1"/>
  <c r="E302" i="19"/>
  <c r="Q302" i="19" s="1"/>
  <c r="E301" i="19"/>
  <c r="Q301" i="19" s="1"/>
  <c r="E300" i="19"/>
  <c r="E299" i="19"/>
  <c r="Q299" i="19" s="1"/>
  <c r="P299" i="19" s="1"/>
  <c r="E298" i="19"/>
  <c r="Q298" i="19" s="1"/>
  <c r="E297" i="19"/>
  <c r="Q297" i="19" s="1"/>
  <c r="E296" i="19"/>
  <c r="Q296" i="19" s="1"/>
  <c r="E295" i="19"/>
  <c r="Q295" i="19" s="1"/>
  <c r="P295" i="19" s="1"/>
  <c r="E294" i="19"/>
  <c r="Q294" i="19" s="1"/>
  <c r="E293" i="19"/>
  <c r="E292" i="19"/>
  <c r="Q292" i="19" s="1"/>
  <c r="Z291" i="19"/>
  <c r="Y291" i="19"/>
  <c r="E291" i="19"/>
  <c r="E290" i="19"/>
  <c r="E289" i="19"/>
  <c r="E288" i="19"/>
  <c r="E287" i="19"/>
  <c r="E286" i="19"/>
  <c r="Z285" i="19"/>
  <c r="Y285" i="19"/>
  <c r="E285" i="19"/>
  <c r="E284" i="19"/>
  <c r="AB283" i="19"/>
  <c r="AA283" i="19"/>
  <c r="Z283" i="19"/>
  <c r="Y283" i="19"/>
  <c r="E283" i="19"/>
  <c r="AB282" i="19"/>
  <c r="AA282" i="19"/>
  <c r="Z282" i="19"/>
  <c r="Y282" i="19"/>
  <c r="E282" i="19"/>
  <c r="E281" i="19"/>
  <c r="Q281" i="19" s="1"/>
  <c r="E280" i="19"/>
  <c r="Q280" i="19" s="1"/>
  <c r="E279" i="19"/>
  <c r="Q279" i="19" s="1"/>
  <c r="P279" i="19" s="1"/>
  <c r="E278" i="19"/>
  <c r="Q278" i="19" s="1"/>
  <c r="E277" i="19"/>
  <c r="Q277" i="19" s="1"/>
  <c r="E276" i="19"/>
  <c r="E275" i="19"/>
  <c r="Q275" i="19" s="1"/>
  <c r="E274" i="19"/>
  <c r="E273" i="19"/>
  <c r="E272" i="19"/>
  <c r="Q272" i="19" s="1"/>
  <c r="P272" i="19" s="1"/>
  <c r="R271" i="19"/>
  <c r="E271" i="19"/>
  <c r="Q271" i="19" s="1"/>
  <c r="P271" i="19" s="1"/>
  <c r="E270" i="19"/>
  <c r="R269" i="19"/>
  <c r="O269" i="19" s="1"/>
  <c r="E269" i="19"/>
  <c r="P268" i="19"/>
  <c r="E268" i="19"/>
  <c r="E267" i="19"/>
  <c r="Q267" i="19" s="1"/>
  <c r="R267" i="19" s="1"/>
  <c r="E266" i="19"/>
  <c r="E265" i="19"/>
  <c r="E264" i="19"/>
  <c r="Q264" i="19" s="1"/>
  <c r="P264" i="19" s="1"/>
  <c r="E263" i="19"/>
  <c r="Q263" i="19" s="1"/>
  <c r="E262" i="19"/>
  <c r="V261" i="19"/>
  <c r="U261" i="19"/>
  <c r="Q261" i="19" s="1"/>
  <c r="H261" i="19"/>
  <c r="E261" i="19"/>
  <c r="V260" i="19"/>
  <c r="U260" i="19"/>
  <c r="Q260" i="19" s="1"/>
  <c r="R260" i="19" s="1"/>
  <c r="H260" i="19"/>
  <c r="I260" i="19" s="1"/>
  <c r="K260" i="19" s="1"/>
  <c r="E260" i="19"/>
  <c r="V259" i="19"/>
  <c r="U259" i="19"/>
  <c r="Q259" i="19" s="1"/>
  <c r="I259" i="19"/>
  <c r="K259" i="19" s="1"/>
  <c r="H259" i="19"/>
  <c r="N259" i="19" s="1"/>
  <c r="E259" i="19"/>
  <c r="V258" i="19"/>
  <c r="U258" i="19"/>
  <c r="H258" i="19"/>
  <c r="E258" i="19"/>
  <c r="V257" i="19"/>
  <c r="U257" i="19"/>
  <c r="N257" i="19"/>
  <c r="K257" i="19"/>
  <c r="H257" i="19"/>
  <c r="I257" i="19" s="1"/>
  <c r="J257" i="19" s="1"/>
  <c r="E257" i="19"/>
  <c r="V256" i="19"/>
  <c r="U256" i="19"/>
  <c r="H256" i="19"/>
  <c r="I256" i="19" s="1"/>
  <c r="K256" i="19" s="1"/>
  <c r="E256" i="19"/>
  <c r="V255" i="19"/>
  <c r="U255" i="19"/>
  <c r="H255" i="19"/>
  <c r="N255" i="19" s="1"/>
  <c r="E255" i="19"/>
  <c r="V254" i="19"/>
  <c r="U254" i="19"/>
  <c r="Q254" i="19" s="1"/>
  <c r="I254" i="19"/>
  <c r="H254" i="19"/>
  <c r="N254" i="19" s="1"/>
  <c r="E254" i="19"/>
  <c r="V253" i="19"/>
  <c r="U253" i="19"/>
  <c r="N253" i="19"/>
  <c r="H253" i="19"/>
  <c r="I253" i="19" s="1"/>
  <c r="E253" i="19"/>
  <c r="V252" i="19"/>
  <c r="U252" i="19"/>
  <c r="Q252" i="19" s="1"/>
  <c r="I252" i="19"/>
  <c r="K252" i="19" s="1"/>
  <c r="H252" i="19"/>
  <c r="N252" i="19" s="1"/>
  <c r="E252" i="19"/>
  <c r="E251" i="19"/>
  <c r="Q251" i="19" s="1"/>
  <c r="E250" i="19"/>
  <c r="Q250" i="19" s="1"/>
  <c r="E249" i="19"/>
  <c r="Q249" i="19" s="1"/>
  <c r="P249" i="19" s="1"/>
  <c r="E248" i="19"/>
  <c r="Q248" i="19" s="1"/>
  <c r="E247" i="19"/>
  <c r="Q247" i="19" s="1"/>
  <c r="E246" i="19"/>
  <c r="Q246" i="19" s="1"/>
  <c r="E245" i="19"/>
  <c r="E244" i="19"/>
  <c r="Q244" i="19" s="1"/>
  <c r="E243" i="19"/>
  <c r="Q243" i="19" s="1"/>
  <c r="E242" i="19"/>
  <c r="Q242" i="19" s="1"/>
  <c r="E241" i="19"/>
  <c r="Q241" i="19" s="1"/>
  <c r="P241" i="19" s="1"/>
  <c r="E240" i="19"/>
  <c r="Q240" i="19" s="1"/>
  <c r="E239" i="19"/>
  <c r="Q239" i="19" s="1"/>
  <c r="E238" i="19"/>
  <c r="Q238" i="19" s="1"/>
  <c r="E237" i="19"/>
  <c r="E236" i="19"/>
  <c r="E235" i="19"/>
  <c r="Q235" i="19" s="1"/>
  <c r="E234" i="19"/>
  <c r="Q234" i="19" s="1"/>
  <c r="P233" i="19"/>
  <c r="E233" i="19"/>
  <c r="Q233" i="19" s="1"/>
  <c r="E232" i="19"/>
  <c r="Q232" i="19" s="1"/>
  <c r="E231" i="19"/>
  <c r="Q231" i="19" s="1"/>
  <c r="E230" i="19"/>
  <c r="Q230" i="19" s="1"/>
  <c r="E229" i="19"/>
  <c r="Q229" i="19" s="1"/>
  <c r="P229" i="19" s="1"/>
  <c r="E228" i="19"/>
  <c r="Q228" i="19" s="1"/>
  <c r="E227" i="19"/>
  <c r="Q227" i="19" s="1"/>
  <c r="E226" i="19"/>
  <c r="Q226" i="19" s="1"/>
  <c r="E225" i="19"/>
  <c r="Q225" i="19" s="1"/>
  <c r="P225" i="19" s="1"/>
  <c r="E224" i="19"/>
  <c r="E223" i="19"/>
  <c r="Q223" i="19" s="1"/>
  <c r="E222" i="19"/>
  <c r="Q222" i="19" s="1"/>
  <c r="E221" i="19"/>
  <c r="E220" i="19"/>
  <c r="E219" i="19"/>
  <c r="Q219" i="19" s="1"/>
  <c r="E218" i="19"/>
  <c r="Q218" i="19" s="1"/>
  <c r="E217" i="19"/>
  <c r="Q217" i="19" s="1"/>
  <c r="P217" i="19" s="1"/>
  <c r="E216" i="19"/>
  <c r="Q216" i="19" s="1"/>
  <c r="E215" i="19"/>
  <c r="Q215" i="19" s="1"/>
  <c r="E214" i="19"/>
  <c r="Q214" i="19" s="1"/>
  <c r="E213" i="19"/>
  <c r="E212" i="19"/>
  <c r="Q212" i="19" s="1"/>
  <c r="E211" i="19"/>
  <c r="Q211" i="19" s="1"/>
  <c r="E210" i="19"/>
  <c r="Q210" i="19" s="1"/>
  <c r="E209" i="19"/>
  <c r="Q209" i="19" s="1"/>
  <c r="P209" i="19" s="1"/>
  <c r="E208" i="19"/>
  <c r="Q208" i="19" s="1"/>
  <c r="E207" i="19"/>
  <c r="Q207" i="19" s="1"/>
  <c r="E206" i="19"/>
  <c r="Q206" i="19" s="1"/>
  <c r="P205" i="19"/>
  <c r="E205" i="19"/>
  <c r="E204" i="19"/>
  <c r="E203" i="19"/>
  <c r="Q203" i="19" s="1"/>
  <c r="E202" i="19"/>
  <c r="E201" i="19"/>
  <c r="Q201" i="19" s="1"/>
  <c r="E200" i="19"/>
  <c r="E199" i="19"/>
  <c r="Q199" i="19" s="1"/>
  <c r="E198" i="19"/>
  <c r="E197" i="19"/>
  <c r="Q197" i="19" s="1"/>
  <c r="E196" i="19"/>
  <c r="E195" i="19"/>
  <c r="Q195" i="19" s="1"/>
  <c r="E194" i="19"/>
  <c r="E193" i="19"/>
  <c r="Q193" i="19" s="1"/>
  <c r="E192" i="19"/>
  <c r="E191" i="19"/>
  <c r="Q191" i="19" s="1"/>
  <c r="E190" i="19"/>
  <c r="E189" i="19"/>
  <c r="E188" i="19"/>
  <c r="E187" i="19"/>
  <c r="Q187" i="19" s="1"/>
  <c r="E186" i="19"/>
  <c r="E185" i="19"/>
  <c r="Q185" i="19" s="1"/>
  <c r="E184" i="19"/>
  <c r="E183" i="19"/>
  <c r="Q183" i="19" s="1"/>
  <c r="E182" i="19"/>
  <c r="Q182" i="19" s="1"/>
  <c r="R181" i="19"/>
  <c r="E181" i="19"/>
  <c r="E180" i="19"/>
  <c r="E179" i="19"/>
  <c r="E178" i="19"/>
  <c r="Q178" i="19" s="1"/>
  <c r="R177" i="19"/>
  <c r="P177" i="19"/>
  <c r="E177" i="19"/>
  <c r="Q177" i="19" s="1"/>
  <c r="E176" i="19"/>
  <c r="E175" i="19"/>
  <c r="E174" i="19"/>
  <c r="Q174" i="19" s="1"/>
  <c r="R173" i="19"/>
  <c r="E173" i="19"/>
  <c r="E172" i="19"/>
  <c r="Q172" i="19" s="1"/>
  <c r="E171" i="19"/>
  <c r="Q171" i="19" s="1"/>
  <c r="E170" i="19"/>
  <c r="Q170" i="19" s="1"/>
  <c r="R169" i="19"/>
  <c r="E169" i="19"/>
  <c r="Q169" i="19" s="1"/>
  <c r="P169" i="19" s="1"/>
  <c r="E168" i="19"/>
  <c r="E167" i="19"/>
  <c r="E166" i="19"/>
  <c r="Q166" i="19" s="1"/>
  <c r="E165" i="19"/>
  <c r="Q165" i="19" s="1"/>
  <c r="E164" i="19"/>
  <c r="E163" i="19"/>
  <c r="E162" i="19"/>
  <c r="Q162" i="19" s="1"/>
  <c r="W161" i="19"/>
  <c r="V161" i="19"/>
  <c r="U161" i="19"/>
  <c r="H161" i="19"/>
  <c r="E161" i="19"/>
  <c r="W160" i="19"/>
  <c r="V160" i="19"/>
  <c r="U160" i="19"/>
  <c r="H160" i="19"/>
  <c r="I160" i="19" s="1"/>
  <c r="E160" i="19"/>
  <c r="W159" i="19"/>
  <c r="V159" i="19"/>
  <c r="U159" i="19"/>
  <c r="H159" i="19"/>
  <c r="I159" i="19" s="1"/>
  <c r="J159" i="19" s="1"/>
  <c r="E159" i="19"/>
  <c r="W158" i="19"/>
  <c r="V158" i="19"/>
  <c r="U158" i="19"/>
  <c r="H158" i="19"/>
  <c r="I158" i="19" s="1"/>
  <c r="E158" i="19"/>
  <c r="W157" i="19"/>
  <c r="V157" i="19"/>
  <c r="U157" i="19"/>
  <c r="I157" i="19"/>
  <c r="K157" i="19" s="1"/>
  <c r="H157" i="19"/>
  <c r="N157" i="19" s="1"/>
  <c r="E157" i="19"/>
  <c r="W156" i="19"/>
  <c r="V156" i="19"/>
  <c r="Q156" i="19" s="1"/>
  <c r="U156" i="19"/>
  <c r="H156" i="19"/>
  <c r="I156" i="19" s="1"/>
  <c r="E156" i="19"/>
  <c r="W155" i="19"/>
  <c r="V155" i="19"/>
  <c r="U155" i="19"/>
  <c r="H155" i="19"/>
  <c r="I155" i="19" s="1"/>
  <c r="E155" i="19"/>
  <c r="W154" i="19"/>
  <c r="V154" i="19"/>
  <c r="U154" i="19"/>
  <c r="H154" i="19"/>
  <c r="N154" i="19" s="1"/>
  <c r="E154" i="19"/>
  <c r="W153" i="19"/>
  <c r="V153" i="19"/>
  <c r="U153" i="19"/>
  <c r="Q153" i="19" s="1"/>
  <c r="I153" i="19"/>
  <c r="K153" i="19" s="1"/>
  <c r="H153" i="19"/>
  <c r="N153" i="19" s="1"/>
  <c r="E153" i="19"/>
  <c r="W152" i="19"/>
  <c r="V152" i="19"/>
  <c r="U152" i="19"/>
  <c r="H152" i="19"/>
  <c r="I152" i="19" s="1"/>
  <c r="E152" i="19"/>
  <c r="V151" i="19"/>
  <c r="U151" i="19"/>
  <c r="H151" i="19"/>
  <c r="N151" i="19" s="1"/>
  <c r="E151" i="19"/>
  <c r="V150" i="19"/>
  <c r="U150" i="19"/>
  <c r="H150" i="19"/>
  <c r="I150" i="19" s="1"/>
  <c r="E150" i="19"/>
  <c r="V149" i="19"/>
  <c r="Q149" i="19" s="1"/>
  <c r="U149" i="19"/>
  <c r="H149" i="19"/>
  <c r="N149" i="19" s="1"/>
  <c r="E149" i="19"/>
  <c r="V148" i="19"/>
  <c r="U148" i="19"/>
  <c r="H148" i="19"/>
  <c r="I148" i="19" s="1"/>
  <c r="E148" i="19"/>
  <c r="V147" i="19"/>
  <c r="U147" i="19"/>
  <c r="Q147" i="19" s="1"/>
  <c r="H147" i="19"/>
  <c r="N147" i="19" s="1"/>
  <c r="E147" i="19"/>
  <c r="V146" i="19"/>
  <c r="U146" i="19"/>
  <c r="H146" i="19"/>
  <c r="I146" i="19" s="1"/>
  <c r="E146" i="19"/>
  <c r="V145" i="19"/>
  <c r="U145" i="19"/>
  <c r="H145" i="19"/>
  <c r="N145" i="19" s="1"/>
  <c r="E145" i="19"/>
  <c r="V144" i="19"/>
  <c r="U144" i="19"/>
  <c r="H144" i="19"/>
  <c r="I144" i="19" s="1"/>
  <c r="E144" i="19"/>
  <c r="Q144" i="19" s="1"/>
  <c r="V143" i="19"/>
  <c r="U143" i="19"/>
  <c r="H143" i="19"/>
  <c r="N143" i="19" s="1"/>
  <c r="E143" i="19"/>
  <c r="V142" i="19"/>
  <c r="U142" i="19"/>
  <c r="H142" i="19"/>
  <c r="I142" i="19" s="1"/>
  <c r="E142" i="19"/>
  <c r="H141" i="19"/>
  <c r="N141" i="19" s="1"/>
  <c r="E141" i="19"/>
  <c r="H140" i="19"/>
  <c r="I140" i="19" s="1"/>
  <c r="E140" i="19"/>
  <c r="H139" i="19"/>
  <c r="N139" i="19" s="1"/>
  <c r="E139" i="19"/>
  <c r="V138" i="19"/>
  <c r="H138" i="19"/>
  <c r="I138" i="19" s="1"/>
  <c r="E138" i="19"/>
  <c r="H137" i="19"/>
  <c r="N137" i="19" s="1"/>
  <c r="E137" i="19"/>
  <c r="H136" i="19"/>
  <c r="I136" i="19" s="1"/>
  <c r="E136" i="19"/>
  <c r="AH135" i="19"/>
  <c r="U135" i="19"/>
  <c r="H135" i="19"/>
  <c r="E135" i="19"/>
  <c r="AH134" i="19"/>
  <c r="U141" i="19" s="1"/>
  <c r="U134" i="19"/>
  <c r="H134" i="19"/>
  <c r="N134" i="19" s="1"/>
  <c r="E134" i="19"/>
  <c r="AH133" i="19"/>
  <c r="U133" i="19"/>
  <c r="H133" i="19"/>
  <c r="N133" i="19" s="1"/>
  <c r="E133" i="19"/>
  <c r="U132" i="19"/>
  <c r="H132" i="19"/>
  <c r="E132" i="19"/>
  <c r="E131" i="19"/>
  <c r="E130" i="19"/>
  <c r="E129" i="19"/>
  <c r="V128" i="19"/>
  <c r="E128" i="19"/>
  <c r="E127" i="19"/>
  <c r="E126" i="19"/>
  <c r="AM125" i="19"/>
  <c r="V130" i="19" s="1"/>
  <c r="V125" i="19"/>
  <c r="E125" i="19"/>
  <c r="AM124" i="19"/>
  <c r="V124" i="19"/>
  <c r="E124" i="19"/>
  <c r="AM123" i="19"/>
  <c r="V123" i="19"/>
  <c r="U123" i="19"/>
  <c r="E123" i="19"/>
  <c r="V122" i="19"/>
  <c r="E122" i="19"/>
  <c r="E121" i="19"/>
  <c r="E120" i="19"/>
  <c r="E119" i="19"/>
  <c r="E118" i="19"/>
  <c r="E117" i="19"/>
  <c r="E116" i="19"/>
  <c r="AC115" i="19"/>
  <c r="V121" i="19" s="1"/>
  <c r="E115" i="19"/>
  <c r="AC114" i="19"/>
  <c r="E114" i="19"/>
  <c r="AC113" i="19"/>
  <c r="U113" i="19"/>
  <c r="E113" i="19"/>
  <c r="E112" i="19"/>
  <c r="P111" i="19"/>
  <c r="E111" i="19"/>
  <c r="Q111" i="19" s="1"/>
  <c r="E110" i="19"/>
  <c r="Q110" i="19" s="1"/>
  <c r="E109" i="19"/>
  <c r="Q109" i="19" s="1"/>
  <c r="R109" i="19" s="1"/>
  <c r="E108" i="19"/>
  <c r="E107" i="19"/>
  <c r="Q107" i="19" s="1"/>
  <c r="P107" i="19" s="1"/>
  <c r="E106" i="19"/>
  <c r="Q106" i="19" s="1"/>
  <c r="R105" i="19"/>
  <c r="E105" i="19"/>
  <c r="Q105" i="19" s="1"/>
  <c r="E104" i="19"/>
  <c r="Q104" i="19" s="1"/>
  <c r="P103" i="19"/>
  <c r="E103" i="19"/>
  <c r="Q103" i="19" s="1"/>
  <c r="E102" i="19"/>
  <c r="Q102" i="19" s="1"/>
  <c r="E101" i="19"/>
  <c r="Q101" i="19" s="1"/>
  <c r="R101" i="19" s="1"/>
  <c r="E100" i="19"/>
  <c r="Q100" i="19" s="1"/>
  <c r="E99" i="19"/>
  <c r="Q99" i="19" s="1"/>
  <c r="P99" i="19" s="1"/>
  <c r="E98" i="19"/>
  <c r="Q98" i="19" s="1"/>
  <c r="E97" i="19"/>
  <c r="Q97" i="19" s="1"/>
  <c r="R97" i="19" s="1"/>
  <c r="E96" i="19"/>
  <c r="E95" i="19"/>
  <c r="Q95" i="19" s="1"/>
  <c r="P95" i="19" s="1"/>
  <c r="E94" i="19"/>
  <c r="E93" i="19"/>
  <c r="E92" i="19"/>
  <c r="AD91" i="19"/>
  <c r="E91" i="19"/>
  <c r="AD90" i="19"/>
  <c r="E90" i="19"/>
  <c r="AD89" i="19"/>
  <c r="E89" i="19"/>
  <c r="AD88" i="19"/>
  <c r="E88" i="19"/>
  <c r="AB87" i="19"/>
  <c r="Y87" i="19"/>
  <c r="E87" i="19"/>
  <c r="AB86" i="19"/>
  <c r="AA86" i="19"/>
  <c r="Y86" i="19"/>
  <c r="E86" i="19"/>
  <c r="AB85" i="19"/>
  <c r="AA85" i="19"/>
  <c r="Y85" i="19"/>
  <c r="AD85" i="19" s="1"/>
  <c r="E85" i="19"/>
  <c r="AD84" i="19"/>
  <c r="E84" i="19"/>
  <c r="AC83" i="19"/>
  <c r="AB83" i="19"/>
  <c r="AA83" i="19"/>
  <c r="Y83" i="19"/>
  <c r="E83" i="19"/>
  <c r="AC82" i="19"/>
  <c r="AB82" i="19"/>
  <c r="AA82" i="19"/>
  <c r="Z82" i="19"/>
  <c r="Y82" i="19"/>
  <c r="E82" i="19"/>
  <c r="E81" i="19"/>
  <c r="Q81" i="19" s="1"/>
  <c r="E80" i="19"/>
  <c r="Q80" i="19" s="1"/>
  <c r="P80" i="19" s="1"/>
  <c r="E79" i="19"/>
  <c r="Q79" i="19" s="1"/>
  <c r="E78" i="19"/>
  <c r="Q78" i="19" s="1"/>
  <c r="E77" i="19"/>
  <c r="E76" i="19"/>
  <c r="Q76" i="19" s="1"/>
  <c r="P76" i="19" s="1"/>
  <c r="E75" i="19"/>
  <c r="Q75" i="19" s="1"/>
  <c r="P75" i="19" s="1"/>
  <c r="E74" i="19"/>
  <c r="Q74" i="19" s="1"/>
  <c r="E73" i="19"/>
  <c r="Q73" i="19" s="1"/>
  <c r="E72" i="19"/>
  <c r="Q72" i="19" s="1"/>
  <c r="P72" i="19" s="1"/>
  <c r="R71" i="19"/>
  <c r="P71" i="19"/>
  <c r="E71" i="19"/>
  <c r="Q71" i="19" s="1"/>
  <c r="E70" i="19"/>
  <c r="Q70" i="19" s="1"/>
  <c r="E69" i="19"/>
  <c r="Q69" i="19" s="1"/>
  <c r="E68" i="19"/>
  <c r="Q68" i="19" s="1"/>
  <c r="P68" i="19" s="1"/>
  <c r="R67" i="19"/>
  <c r="P67" i="19"/>
  <c r="E67" i="19"/>
  <c r="Q67" i="19" s="1"/>
  <c r="E66" i="19"/>
  <c r="Q66" i="19" s="1"/>
  <c r="E65" i="19"/>
  <c r="Q65" i="19" s="1"/>
  <c r="E64" i="19"/>
  <c r="E63" i="19"/>
  <c r="Q63" i="19" s="1"/>
  <c r="R63" i="19" s="1"/>
  <c r="E62" i="19"/>
  <c r="Q62" i="19" s="1"/>
  <c r="H61" i="19"/>
  <c r="E61" i="19"/>
  <c r="H60" i="19"/>
  <c r="N60" i="19" s="1"/>
  <c r="E60" i="19"/>
  <c r="H59" i="19"/>
  <c r="E59" i="19"/>
  <c r="U58" i="19"/>
  <c r="H58" i="19"/>
  <c r="N58" i="19" s="1"/>
  <c r="E58" i="19"/>
  <c r="H57" i="19"/>
  <c r="E57" i="19"/>
  <c r="AR56" i="19"/>
  <c r="V56" i="19"/>
  <c r="H56" i="19"/>
  <c r="N56" i="19" s="1"/>
  <c r="E56" i="19"/>
  <c r="AR55" i="19"/>
  <c r="V61" i="19" s="1"/>
  <c r="V55" i="19"/>
  <c r="H55" i="19"/>
  <c r="N55" i="19" s="1"/>
  <c r="E55" i="19"/>
  <c r="AR54" i="19"/>
  <c r="V54" i="19"/>
  <c r="H54" i="19"/>
  <c r="N54" i="19" s="1"/>
  <c r="E54" i="19"/>
  <c r="AR53" i="19"/>
  <c r="V53" i="19"/>
  <c r="I53" i="19"/>
  <c r="H53" i="19"/>
  <c r="N53" i="19" s="1"/>
  <c r="E53" i="19"/>
  <c r="V52" i="19"/>
  <c r="H52" i="19"/>
  <c r="N52" i="19" s="1"/>
  <c r="E51" i="19"/>
  <c r="Q51" i="19" s="1"/>
  <c r="P51" i="19" s="1"/>
  <c r="E50" i="19"/>
  <c r="Q50" i="19" s="1"/>
  <c r="E49" i="19"/>
  <c r="Q49" i="19" s="1"/>
  <c r="E48" i="19"/>
  <c r="Q48" i="19" s="1"/>
  <c r="P47" i="19"/>
  <c r="E47" i="19"/>
  <c r="Q47" i="19" s="1"/>
  <c r="E46" i="19"/>
  <c r="Q46" i="19" s="1"/>
  <c r="E45" i="19"/>
  <c r="E44" i="19"/>
  <c r="E43" i="19"/>
  <c r="Q43" i="19" s="1"/>
  <c r="P43" i="19" s="1"/>
  <c r="E42" i="19"/>
  <c r="Q42" i="19" s="1"/>
  <c r="E41" i="19"/>
  <c r="Q41" i="19" s="1"/>
  <c r="E40" i="19"/>
  <c r="Q40" i="19" s="1"/>
  <c r="E39" i="19"/>
  <c r="Q39" i="19" s="1"/>
  <c r="P39" i="19" s="1"/>
  <c r="E38" i="19"/>
  <c r="Q38" i="19" s="1"/>
  <c r="E37" i="19"/>
  <c r="E36" i="19"/>
  <c r="Q36" i="19" s="1"/>
  <c r="E35" i="19"/>
  <c r="Q35" i="19" s="1"/>
  <c r="P35" i="19" s="1"/>
  <c r="E34" i="19"/>
  <c r="Q34" i="19" s="1"/>
  <c r="E33" i="19"/>
  <c r="Q33" i="19" s="1"/>
  <c r="E32" i="19"/>
  <c r="E31" i="19"/>
  <c r="Q31" i="19" s="1"/>
  <c r="P31" i="19" s="1"/>
  <c r="E30" i="19"/>
  <c r="Q30" i="19" s="1"/>
  <c r="E29" i="19"/>
  <c r="E28" i="19"/>
  <c r="Q28" i="19" s="1"/>
  <c r="E27" i="19"/>
  <c r="Q27" i="19" s="1"/>
  <c r="P27" i="19" s="1"/>
  <c r="E26" i="19"/>
  <c r="Q26" i="19" s="1"/>
  <c r="E25" i="19"/>
  <c r="Q25" i="19" s="1"/>
  <c r="E24" i="19"/>
  <c r="Q24" i="19" s="1"/>
  <c r="P23" i="19"/>
  <c r="E23" i="19"/>
  <c r="Q23" i="19" s="1"/>
  <c r="E22" i="19"/>
  <c r="Q22" i="19" s="1"/>
  <c r="E21" i="19"/>
  <c r="E20" i="19"/>
  <c r="Q20" i="19" s="1"/>
  <c r="P19" i="19"/>
  <c r="E19" i="19"/>
  <c r="Q19" i="19" s="1"/>
  <c r="E18" i="19"/>
  <c r="Q18" i="19" s="1"/>
  <c r="E17" i="19"/>
  <c r="Q17" i="19" s="1"/>
  <c r="E16" i="19"/>
  <c r="Q16" i="19" s="1"/>
  <c r="P15" i="19"/>
  <c r="E15" i="19"/>
  <c r="Q15" i="19" s="1"/>
  <c r="E14" i="19"/>
  <c r="Q14" i="19" s="1"/>
  <c r="E13" i="19"/>
  <c r="Q13" i="19" s="1"/>
  <c r="E12" i="19"/>
  <c r="E11" i="19"/>
  <c r="Q11" i="19" s="1"/>
  <c r="P11" i="19" s="1"/>
  <c r="E10" i="19"/>
  <c r="Q10" i="19" s="1"/>
  <c r="E9" i="19"/>
  <c r="Q9" i="19" s="1"/>
  <c r="E8" i="19"/>
  <c r="Q8" i="19" s="1"/>
  <c r="E7" i="19"/>
  <c r="Q7" i="19" s="1"/>
  <c r="P7" i="19" s="1"/>
  <c r="E6" i="19"/>
  <c r="Q6" i="19" s="1"/>
  <c r="E5" i="19"/>
  <c r="E4" i="19"/>
  <c r="Q4" i="19" s="1"/>
  <c r="E3" i="19"/>
  <c r="Q3" i="19" s="1"/>
  <c r="P3" i="19" s="1"/>
  <c r="E2" i="19"/>
  <c r="Q2" i="19" s="1"/>
  <c r="R336" i="19" l="1"/>
  <c r="O336" i="19" s="1"/>
  <c r="P336" i="19"/>
  <c r="S396" i="19"/>
  <c r="T396" i="19" s="1"/>
  <c r="O396" i="19"/>
  <c r="R165" i="19"/>
  <c r="P165" i="19"/>
  <c r="R357" i="19"/>
  <c r="S357" i="19" s="1"/>
  <c r="T357" i="19" s="1"/>
  <c r="P357" i="19"/>
  <c r="R381" i="19"/>
  <c r="P381" i="19"/>
  <c r="N161" i="19"/>
  <c r="I161" i="19"/>
  <c r="K161" i="19" s="1"/>
  <c r="U410" i="19"/>
  <c r="U411" i="19"/>
  <c r="U407" i="19"/>
  <c r="Q407" i="19" s="1"/>
  <c r="I56" i="19"/>
  <c r="K56" i="19" s="1"/>
  <c r="P267" i="19"/>
  <c r="V141" i="19"/>
  <c r="Q141" i="19" s="1"/>
  <c r="R141" i="19" s="1"/>
  <c r="V136" i="19"/>
  <c r="V140" i="19"/>
  <c r="N57" i="19"/>
  <c r="I57" i="19"/>
  <c r="V132" i="19"/>
  <c r="Q163" i="19"/>
  <c r="P163" i="19" s="1"/>
  <c r="R255" i="19"/>
  <c r="O255" i="19" s="1"/>
  <c r="U366" i="19"/>
  <c r="Q366" i="19" s="1"/>
  <c r="U364" i="19"/>
  <c r="Q364" i="19" s="1"/>
  <c r="U362" i="19"/>
  <c r="Q362" i="19" s="1"/>
  <c r="R362" i="19" s="1"/>
  <c r="R391" i="19"/>
  <c r="S391" i="19" s="1"/>
  <c r="T391" i="19" s="1"/>
  <c r="Q391" i="19"/>
  <c r="U131" i="19"/>
  <c r="U122" i="19"/>
  <c r="Q122" i="19" s="1"/>
  <c r="P122" i="19" s="1"/>
  <c r="U124" i="19"/>
  <c r="Q124" i="19" s="1"/>
  <c r="R124" i="19" s="1"/>
  <c r="R164" i="19"/>
  <c r="O164" i="19" s="1"/>
  <c r="Q164" i="19"/>
  <c r="Q196" i="19"/>
  <c r="P196" i="19" s="1"/>
  <c r="N258" i="19"/>
  <c r="I258" i="19"/>
  <c r="Q266" i="19"/>
  <c r="P266" i="19" s="1"/>
  <c r="AC282" i="19"/>
  <c r="AE343" i="19"/>
  <c r="S355" i="19"/>
  <c r="T355" i="19" s="1"/>
  <c r="I429" i="19"/>
  <c r="Q467" i="19"/>
  <c r="P467" i="19" s="1"/>
  <c r="N135" i="19"/>
  <c r="I135" i="19"/>
  <c r="R543" i="19"/>
  <c r="S543" i="19" s="1"/>
  <c r="T543" i="19" s="1"/>
  <c r="Q543" i="19"/>
  <c r="R352" i="19"/>
  <c r="P352" i="19"/>
  <c r="R79" i="19"/>
  <c r="P79" i="19"/>
  <c r="Q184" i="19"/>
  <c r="P184" i="19" s="1"/>
  <c r="R383" i="19"/>
  <c r="S383" i="19" s="1"/>
  <c r="T383" i="19" s="1"/>
  <c r="P383" i="19"/>
  <c r="I425" i="19"/>
  <c r="J425" i="19" s="1"/>
  <c r="P517" i="19"/>
  <c r="U56" i="19"/>
  <c r="Q56" i="19" s="1"/>
  <c r="U55" i="19"/>
  <c r="Q55" i="19" s="1"/>
  <c r="U54" i="19"/>
  <c r="Q54" i="19" s="1"/>
  <c r="P54" i="19" s="1"/>
  <c r="U53" i="19"/>
  <c r="Q53" i="19" s="1"/>
  <c r="P53" i="19" s="1"/>
  <c r="P63" i="19"/>
  <c r="U60" i="19"/>
  <c r="U118" i="19"/>
  <c r="U120" i="19"/>
  <c r="U112" i="19"/>
  <c r="U116" i="19"/>
  <c r="V134" i="19"/>
  <c r="Q134" i="19" s="1"/>
  <c r="Q202" i="19"/>
  <c r="R202" i="19" s="1"/>
  <c r="S202" i="19" s="1"/>
  <c r="T202" i="19" s="1"/>
  <c r="Q274" i="19"/>
  <c r="P274" i="19" s="1"/>
  <c r="N426" i="19"/>
  <c r="I426" i="19"/>
  <c r="J426" i="19" s="1"/>
  <c r="U52" i="19"/>
  <c r="Q52" i="19" s="1"/>
  <c r="N61" i="19"/>
  <c r="I61" i="19"/>
  <c r="AD82" i="19"/>
  <c r="AF82" i="19" s="1"/>
  <c r="U129" i="19"/>
  <c r="Q159" i="19"/>
  <c r="I255" i="19"/>
  <c r="Q276" i="19"/>
  <c r="P276" i="19" s="1"/>
  <c r="Q326" i="19"/>
  <c r="U344" i="19"/>
  <c r="Q344" i="19" s="1"/>
  <c r="R344" i="19" s="1"/>
  <c r="U342" i="19"/>
  <c r="Q342" i="19" s="1"/>
  <c r="O360" i="19"/>
  <c r="R380" i="19"/>
  <c r="Q423" i="19"/>
  <c r="Q435" i="19"/>
  <c r="P435" i="19" s="1"/>
  <c r="Q455" i="19"/>
  <c r="P455" i="19" s="1"/>
  <c r="R172" i="19"/>
  <c r="O172" i="19" s="1"/>
  <c r="R441" i="19"/>
  <c r="S441" i="19" s="1"/>
  <c r="T441" i="19" s="1"/>
  <c r="Q441" i="19"/>
  <c r="P441" i="19" s="1"/>
  <c r="P376" i="19"/>
  <c r="Q395" i="19"/>
  <c r="P395" i="19" s="1"/>
  <c r="N59" i="19"/>
  <c r="I59" i="19"/>
  <c r="Q148" i="19"/>
  <c r="P148" i="19" s="1"/>
  <c r="Q152" i="19"/>
  <c r="Q179" i="19"/>
  <c r="P179" i="19" s="1"/>
  <c r="R192" i="19"/>
  <c r="S192" i="19" s="1"/>
  <c r="T192" i="19" s="1"/>
  <c r="V409" i="19"/>
  <c r="V404" i="19"/>
  <c r="V405" i="19"/>
  <c r="V408" i="19"/>
  <c r="V402" i="19"/>
  <c r="N422" i="19"/>
  <c r="I422" i="19"/>
  <c r="Q425" i="19"/>
  <c r="K53" i="19"/>
  <c r="J53" i="19"/>
  <c r="N132" i="19"/>
  <c r="I132" i="19"/>
  <c r="Q180" i="19"/>
  <c r="P180" i="19" s="1"/>
  <c r="Q200" i="19"/>
  <c r="P200" i="19" s="1"/>
  <c r="AC283" i="19"/>
  <c r="U291" i="19" s="1"/>
  <c r="Q291" i="19" s="1"/>
  <c r="U328" i="19"/>
  <c r="U330" i="19"/>
  <c r="U322" i="19"/>
  <c r="U329" i="19"/>
  <c r="Q329" i="19" s="1"/>
  <c r="P354" i="19"/>
  <c r="P372" i="19"/>
  <c r="R397" i="19"/>
  <c r="O397" i="19" s="1"/>
  <c r="N431" i="19"/>
  <c r="I431" i="19"/>
  <c r="J431" i="19" s="1"/>
  <c r="Q451" i="19"/>
  <c r="P451" i="19" s="1"/>
  <c r="Q469" i="19"/>
  <c r="P469" i="19" s="1"/>
  <c r="Q190" i="19"/>
  <c r="P190" i="19" s="1"/>
  <c r="U409" i="19"/>
  <c r="N427" i="19"/>
  <c r="I427" i="19"/>
  <c r="J427" i="19" s="1"/>
  <c r="Q123" i="19"/>
  <c r="J158" i="19"/>
  <c r="K158" i="19"/>
  <c r="R96" i="19"/>
  <c r="S96" i="19" s="1"/>
  <c r="T96" i="19" s="1"/>
  <c r="Q155" i="19"/>
  <c r="P155" i="19" s="1"/>
  <c r="R263" i="19"/>
  <c r="P263" i="19"/>
  <c r="P362" i="19"/>
  <c r="Q388" i="19"/>
  <c r="R388" i="19" s="1"/>
  <c r="U402" i="19"/>
  <c r="Q402" i="19" s="1"/>
  <c r="P402" i="19" s="1"/>
  <c r="V410" i="19"/>
  <c r="R443" i="19"/>
  <c r="Q443" i="19"/>
  <c r="P443" i="19" s="1"/>
  <c r="P523" i="19"/>
  <c r="Q523" i="19"/>
  <c r="R523" i="19" s="1"/>
  <c r="R75" i="19"/>
  <c r="AD83" i="19"/>
  <c r="U88" i="19" s="1"/>
  <c r="Q88" i="19" s="1"/>
  <c r="U114" i="19"/>
  <c r="Q114" i="19" s="1"/>
  <c r="R114" i="19" s="1"/>
  <c r="S114" i="19" s="1"/>
  <c r="T114" i="19" s="1"/>
  <c r="Q132" i="19"/>
  <c r="P132" i="19" s="1"/>
  <c r="Q175" i="19"/>
  <c r="P175" i="19" s="1"/>
  <c r="Q194" i="19"/>
  <c r="R194" i="19" s="1"/>
  <c r="J253" i="19"/>
  <c r="K253" i="19"/>
  <c r="J259" i="19"/>
  <c r="I261" i="19"/>
  <c r="N261" i="19"/>
  <c r="P269" i="19"/>
  <c r="Q337" i="19"/>
  <c r="P337" i="19" s="1"/>
  <c r="U367" i="19"/>
  <c r="Q367" i="19" s="1"/>
  <c r="P367" i="19" s="1"/>
  <c r="U403" i="19"/>
  <c r="Q403" i="19" s="1"/>
  <c r="R403" i="19" s="1"/>
  <c r="V406" i="19"/>
  <c r="J424" i="19"/>
  <c r="K424" i="19"/>
  <c r="R445" i="19"/>
  <c r="Q459" i="19"/>
  <c r="P459" i="19" s="1"/>
  <c r="Q465" i="19"/>
  <c r="P465" i="19" s="1"/>
  <c r="AD86" i="19"/>
  <c r="Q94" i="19"/>
  <c r="R94" i="19" s="1"/>
  <c r="Q154" i="19"/>
  <c r="P154" i="19" s="1"/>
  <c r="Q167" i="19"/>
  <c r="P167" i="19" s="1"/>
  <c r="R188" i="19"/>
  <c r="R259" i="19"/>
  <c r="O259" i="19" s="1"/>
  <c r="AE344" i="19"/>
  <c r="Q359" i="19"/>
  <c r="R359" i="19" s="1"/>
  <c r="O359" i="19" s="1"/>
  <c r="R433" i="19"/>
  <c r="S433" i="19" s="1"/>
  <c r="T433" i="19" s="1"/>
  <c r="Q433" i="19"/>
  <c r="P433" i="19" s="1"/>
  <c r="Q527" i="19"/>
  <c r="R527" i="19" s="1"/>
  <c r="S527" i="19" s="1"/>
  <c r="T527" i="19" s="1"/>
  <c r="Q143" i="19"/>
  <c r="P143" i="19" s="1"/>
  <c r="Q145" i="19"/>
  <c r="R145" i="19" s="1"/>
  <c r="Q151" i="19"/>
  <c r="P160" i="19"/>
  <c r="R168" i="19"/>
  <c r="O168" i="19" s="1"/>
  <c r="Q257" i="19"/>
  <c r="Q262" i="19"/>
  <c r="P262" i="19" s="1"/>
  <c r="Q265" i="19"/>
  <c r="R265" i="19" s="1"/>
  <c r="O265" i="19" s="1"/>
  <c r="Q393" i="19"/>
  <c r="R393" i="19" s="1"/>
  <c r="U426" i="19"/>
  <c r="J430" i="19"/>
  <c r="Q439" i="19"/>
  <c r="P439" i="19" s="1"/>
  <c r="R463" i="19"/>
  <c r="O463" i="19" s="1"/>
  <c r="Q463" i="19"/>
  <c r="P463" i="19" s="1"/>
  <c r="R485" i="19"/>
  <c r="U494" i="19"/>
  <c r="Q494" i="19" s="1"/>
  <c r="U500" i="19"/>
  <c r="U498" i="19"/>
  <c r="Q387" i="19"/>
  <c r="P387" i="19" s="1"/>
  <c r="V58" i="19"/>
  <c r="Q58" i="19" s="1"/>
  <c r="V60" i="19"/>
  <c r="R92" i="19"/>
  <c r="Q142" i="19"/>
  <c r="Q146" i="19"/>
  <c r="R146" i="19" s="1"/>
  <c r="Q150" i="19"/>
  <c r="R176" i="19"/>
  <c r="O176" i="19" s="1"/>
  <c r="Q186" i="19"/>
  <c r="R186" i="19" s="1"/>
  <c r="O186" i="19" s="1"/>
  <c r="P198" i="19"/>
  <c r="Q198" i="19"/>
  <c r="Q270" i="19"/>
  <c r="P270" i="19" s="1"/>
  <c r="Q273" i="19"/>
  <c r="R273" i="19" s="1"/>
  <c r="O273" i="19" s="1"/>
  <c r="P355" i="19"/>
  <c r="R389" i="19"/>
  <c r="O389" i="19" s="1"/>
  <c r="R447" i="19"/>
  <c r="O447" i="19" s="1"/>
  <c r="Q447" i="19"/>
  <c r="P447" i="19" s="1"/>
  <c r="Q471" i="19"/>
  <c r="P471" i="19" s="1"/>
  <c r="AC473" i="19"/>
  <c r="P483" i="19"/>
  <c r="I54" i="19"/>
  <c r="I133" i="19"/>
  <c r="K133" i="19" s="1"/>
  <c r="Q158" i="19"/>
  <c r="P158" i="19" s="1"/>
  <c r="Q161" i="19"/>
  <c r="P171" i="19"/>
  <c r="Q255" i="19"/>
  <c r="P255" i="19" s="1"/>
  <c r="Q258" i="19"/>
  <c r="R341" i="19"/>
  <c r="Q390" i="19"/>
  <c r="R390" i="19" s="1"/>
  <c r="I423" i="19"/>
  <c r="J423" i="19" s="1"/>
  <c r="U424" i="19"/>
  <c r="Q424" i="19" s="1"/>
  <c r="U427" i="19"/>
  <c r="U429" i="19"/>
  <c r="Q429" i="19" s="1"/>
  <c r="P429" i="19" s="1"/>
  <c r="U431" i="19"/>
  <c r="R437" i="19"/>
  <c r="U493" i="19"/>
  <c r="U496" i="19"/>
  <c r="Q496" i="19" s="1"/>
  <c r="P525" i="19"/>
  <c r="Q168" i="19"/>
  <c r="P513" i="19"/>
  <c r="P541" i="19"/>
  <c r="P519" i="19"/>
  <c r="Q529" i="19"/>
  <c r="R529" i="19" s="1"/>
  <c r="S529" i="19" s="1"/>
  <c r="T529" i="19" s="1"/>
  <c r="Q521" i="19"/>
  <c r="R521" i="19" s="1"/>
  <c r="S521" i="19" s="1"/>
  <c r="T521" i="19" s="1"/>
  <c r="Q513" i="19"/>
  <c r="R513" i="19" s="1"/>
  <c r="P515" i="19"/>
  <c r="P531" i="19"/>
  <c r="P537" i="19"/>
  <c r="Q519" i="19"/>
  <c r="R519" i="19" s="1"/>
  <c r="R533" i="19"/>
  <c r="S533" i="19" s="1"/>
  <c r="T533" i="19" s="1"/>
  <c r="P539" i="19"/>
  <c r="R457" i="19"/>
  <c r="S457" i="19" s="1"/>
  <c r="T457" i="19" s="1"/>
  <c r="R453" i="19"/>
  <c r="R461" i="19"/>
  <c r="S461" i="19" s="1"/>
  <c r="T461" i="19" s="1"/>
  <c r="R449" i="19"/>
  <c r="S449" i="19" s="1"/>
  <c r="T449" i="19" s="1"/>
  <c r="S484" i="19"/>
  <c r="T484" i="19" s="1"/>
  <c r="S338" i="19"/>
  <c r="T338" i="19" s="1"/>
  <c r="R17" i="19"/>
  <c r="P17" i="19"/>
  <c r="P30" i="19"/>
  <c r="R30" i="19"/>
  <c r="R36" i="19"/>
  <c r="P36" i="19"/>
  <c r="P46" i="19"/>
  <c r="R46" i="19"/>
  <c r="R49" i="19"/>
  <c r="P49" i="19"/>
  <c r="R65" i="19"/>
  <c r="P65" i="19"/>
  <c r="S67" i="19"/>
  <c r="T67" i="19" s="1"/>
  <c r="O67" i="19"/>
  <c r="R70" i="19"/>
  <c r="P70" i="19"/>
  <c r="R81" i="19"/>
  <c r="P81" i="19"/>
  <c r="U90" i="19"/>
  <c r="Q90" i="19" s="1"/>
  <c r="U91" i="19"/>
  <c r="Q91" i="19" s="1"/>
  <c r="U84" i="19"/>
  <c r="Q84" i="19" s="1"/>
  <c r="U89" i="19"/>
  <c r="Q89" i="19" s="1"/>
  <c r="U83" i="19"/>
  <c r="Q83" i="19" s="1"/>
  <c r="P14" i="19"/>
  <c r="R14" i="19"/>
  <c r="R20" i="19"/>
  <c r="P20" i="19"/>
  <c r="R33" i="19"/>
  <c r="P33" i="19"/>
  <c r="R55" i="19"/>
  <c r="P55" i="19"/>
  <c r="P2" i="19"/>
  <c r="R2" i="19"/>
  <c r="R5" i="19"/>
  <c r="P5" i="19"/>
  <c r="R8" i="19"/>
  <c r="P8" i="19"/>
  <c r="P18" i="19"/>
  <c r="R18" i="19"/>
  <c r="R21" i="19"/>
  <c r="P21" i="19"/>
  <c r="R24" i="19"/>
  <c r="P24" i="19"/>
  <c r="P34" i="19"/>
  <c r="R34" i="19"/>
  <c r="R37" i="19"/>
  <c r="P37" i="19"/>
  <c r="R40" i="19"/>
  <c r="P40" i="19"/>
  <c r="P50" i="19"/>
  <c r="R50" i="19"/>
  <c r="S63" i="19"/>
  <c r="T63" i="19" s="1"/>
  <c r="O63" i="19"/>
  <c r="R66" i="19"/>
  <c r="P66" i="19"/>
  <c r="R77" i="19"/>
  <c r="P77" i="19"/>
  <c r="S79" i="19"/>
  <c r="T79" i="19" s="1"/>
  <c r="O79" i="19"/>
  <c r="P6" i="19"/>
  <c r="R6" i="19"/>
  <c r="R9" i="19"/>
  <c r="P9" i="19"/>
  <c r="R12" i="19"/>
  <c r="P12" i="19"/>
  <c r="P22" i="19"/>
  <c r="R22" i="19"/>
  <c r="R25" i="19"/>
  <c r="P25" i="19"/>
  <c r="R28" i="19"/>
  <c r="P28" i="19"/>
  <c r="P38" i="19"/>
  <c r="R38" i="19"/>
  <c r="R41" i="19"/>
  <c r="P41" i="19"/>
  <c r="R44" i="19"/>
  <c r="P44" i="19"/>
  <c r="R62" i="19"/>
  <c r="P62" i="19"/>
  <c r="R73" i="19"/>
  <c r="P73" i="19"/>
  <c r="S75" i="19"/>
  <c r="T75" i="19" s="1"/>
  <c r="O75" i="19"/>
  <c r="R78" i="19"/>
  <c r="P78" i="19"/>
  <c r="R4" i="19"/>
  <c r="P4" i="19"/>
  <c r="P10" i="19"/>
  <c r="R10" i="19"/>
  <c r="R13" i="19"/>
  <c r="P13" i="19"/>
  <c r="R16" i="19"/>
  <c r="P16" i="19"/>
  <c r="P26" i="19"/>
  <c r="R26" i="19"/>
  <c r="R29" i="19"/>
  <c r="P29" i="19"/>
  <c r="R32" i="19"/>
  <c r="P32" i="19"/>
  <c r="P42" i="19"/>
  <c r="R42" i="19"/>
  <c r="R45" i="19"/>
  <c r="P45" i="19"/>
  <c r="R48" i="19"/>
  <c r="P48" i="19"/>
  <c r="R69" i="19"/>
  <c r="P69" i="19"/>
  <c r="S71" i="19"/>
  <c r="T71" i="19" s="1"/>
  <c r="O71" i="19"/>
  <c r="R74" i="19"/>
  <c r="P74" i="19"/>
  <c r="R3" i="19"/>
  <c r="R7" i="19"/>
  <c r="R11" i="19"/>
  <c r="R15" i="19"/>
  <c r="R19" i="19"/>
  <c r="R23" i="19"/>
  <c r="R27" i="19"/>
  <c r="R31" i="19"/>
  <c r="R35" i="19"/>
  <c r="R39" i="19"/>
  <c r="R43" i="19"/>
  <c r="R47" i="19"/>
  <c r="R51" i="19"/>
  <c r="I52" i="19"/>
  <c r="I55" i="19"/>
  <c r="J56" i="19"/>
  <c r="U57" i="19"/>
  <c r="I58" i="19"/>
  <c r="U59" i="19"/>
  <c r="I60" i="19"/>
  <c r="U61" i="19"/>
  <c r="Q61" i="19" s="1"/>
  <c r="R64" i="19"/>
  <c r="R68" i="19"/>
  <c r="R72" i="19"/>
  <c r="R76" i="19"/>
  <c r="R80" i="19"/>
  <c r="O96" i="19"/>
  <c r="P98" i="19"/>
  <c r="R98" i="19"/>
  <c r="P106" i="19"/>
  <c r="R106" i="19"/>
  <c r="J140" i="19"/>
  <c r="K140" i="19"/>
  <c r="R143" i="19"/>
  <c r="R147" i="19"/>
  <c r="P147" i="19"/>
  <c r="R149" i="19"/>
  <c r="P149" i="19"/>
  <c r="R151" i="19"/>
  <c r="P151" i="19"/>
  <c r="P156" i="19"/>
  <c r="R156" i="19"/>
  <c r="P159" i="19"/>
  <c r="R159" i="19"/>
  <c r="K160" i="19"/>
  <c r="J160" i="19"/>
  <c r="P166" i="19"/>
  <c r="R166" i="19"/>
  <c r="P174" i="19"/>
  <c r="R174" i="19"/>
  <c r="V57" i="19"/>
  <c r="V59" i="19"/>
  <c r="AD87" i="19"/>
  <c r="S92" i="19"/>
  <c r="T92" i="19" s="1"/>
  <c r="O92" i="19"/>
  <c r="R93" i="19"/>
  <c r="P93" i="19"/>
  <c r="P96" i="19"/>
  <c r="S101" i="19"/>
  <c r="T101" i="19" s="1"/>
  <c r="O101" i="19"/>
  <c r="R104" i="19"/>
  <c r="P104" i="19"/>
  <c r="S109" i="19"/>
  <c r="T109" i="19" s="1"/>
  <c r="O109" i="19"/>
  <c r="J142" i="19"/>
  <c r="K142" i="19"/>
  <c r="J144" i="19"/>
  <c r="K144" i="19"/>
  <c r="J146" i="19"/>
  <c r="K146" i="19"/>
  <c r="J148" i="19"/>
  <c r="K148" i="19"/>
  <c r="J150" i="19"/>
  <c r="K150" i="19"/>
  <c r="J152" i="19"/>
  <c r="K152" i="19"/>
  <c r="P153" i="19"/>
  <c r="R153" i="19"/>
  <c r="K155" i="19"/>
  <c r="J155" i="19"/>
  <c r="P102" i="19"/>
  <c r="R102" i="19"/>
  <c r="P110" i="19"/>
  <c r="R110" i="19"/>
  <c r="P123" i="19"/>
  <c r="R123" i="19"/>
  <c r="J136" i="19"/>
  <c r="K136" i="19"/>
  <c r="J156" i="19"/>
  <c r="K156" i="19"/>
  <c r="P157" i="19"/>
  <c r="R157" i="19"/>
  <c r="P162" i="19"/>
  <c r="R162" i="19"/>
  <c r="P170" i="19"/>
  <c r="R170" i="19"/>
  <c r="P178" i="19"/>
  <c r="R178" i="19"/>
  <c r="P182" i="19"/>
  <c r="R182" i="19"/>
  <c r="S94" i="19"/>
  <c r="T94" i="19" s="1"/>
  <c r="O94" i="19"/>
  <c r="S97" i="19"/>
  <c r="T97" i="19" s="1"/>
  <c r="O97" i="19"/>
  <c r="R100" i="19"/>
  <c r="P100" i="19"/>
  <c r="S105" i="19"/>
  <c r="T105" i="19" s="1"/>
  <c r="O105" i="19"/>
  <c r="R108" i="19"/>
  <c r="P108" i="19"/>
  <c r="O114" i="19"/>
  <c r="R132" i="19"/>
  <c r="J138" i="19"/>
  <c r="K138" i="19"/>
  <c r="P142" i="19"/>
  <c r="R142" i="19"/>
  <c r="P144" i="19"/>
  <c r="R144" i="19"/>
  <c r="P146" i="19"/>
  <c r="R148" i="19"/>
  <c r="P150" i="19"/>
  <c r="R150" i="19"/>
  <c r="P152" i="19"/>
  <c r="R152" i="19"/>
  <c r="R154" i="19"/>
  <c r="R95" i="19"/>
  <c r="P97" i="19"/>
  <c r="R99" i="19"/>
  <c r="P101" i="19"/>
  <c r="R103" i="19"/>
  <c r="P105" i="19"/>
  <c r="R107" i="19"/>
  <c r="P109" i="19"/>
  <c r="R111" i="19"/>
  <c r="V113" i="19"/>
  <c r="Q113" i="19" s="1"/>
  <c r="V115" i="19"/>
  <c r="V118" i="19"/>
  <c r="U119" i="19"/>
  <c r="U125" i="19"/>
  <c r="Q125" i="19" s="1"/>
  <c r="V127" i="19"/>
  <c r="U128" i="19"/>
  <c r="Q128" i="19" s="1"/>
  <c r="V131" i="19"/>
  <c r="V133" i="19"/>
  <c r="Q133" i="19" s="1"/>
  <c r="I134" i="19"/>
  <c r="U136" i="19"/>
  <c r="I137" i="19"/>
  <c r="U138" i="19"/>
  <c r="Q138" i="19" s="1"/>
  <c r="I139" i="19"/>
  <c r="U140" i="19"/>
  <c r="Q140" i="19" s="1"/>
  <c r="I141" i="19"/>
  <c r="I143" i="19"/>
  <c r="I145" i="19"/>
  <c r="I147" i="19"/>
  <c r="I149" i="19"/>
  <c r="I151" i="19"/>
  <c r="I154" i="19"/>
  <c r="N160" i="19"/>
  <c r="S165" i="19"/>
  <c r="T165" i="19" s="1"/>
  <c r="O165" i="19"/>
  <c r="S169" i="19"/>
  <c r="T169" i="19" s="1"/>
  <c r="O169" i="19"/>
  <c r="S172" i="19"/>
  <c r="T172" i="19" s="1"/>
  <c r="S173" i="19"/>
  <c r="T173" i="19" s="1"/>
  <c r="O173" i="19"/>
  <c r="S176" i="19"/>
  <c r="T176" i="19" s="1"/>
  <c r="S177" i="19"/>
  <c r="T177" i="19" s="1"/>
  <c r="O177" i="19"/>
  <c r="S181" i="19"/>
  <c r="T181" i="19" s="1"/>
  <c r="O181" i="19"/>
  <c r="P185" i="19"/>
  <c r="R185" i="19"/>
  <c r="R190" i="19"/>
  <c r="P193" i="19"/>
  <c r="R193" i="19"/>
  <c r="R198" i="19"/>
  <c r="P201" i="19"/>
  <c r="R201" i="19"/>
  <c r="P204" i="19"/>
  <c r="R204" i="19"/>
  <c r="R207" i="19"/>
  <c r="P207" i="19"/>
  <c r="R210" i="19"/>
  <c r="P210" i="19"/>
  <c r="P220" i="19"/>
  <c r="R220" i="19"/>
  <c r="R223" i="19"/>
  <c r="P223" i="19"/>
  <c r="R226" i="19"/>
  <c r="P226" i="19"/>
  <c r="P236" i="19"/>
  <c r="R236" i="19"/>
  <c r="R239" i="19"/>
  <c r="P239" i="19"/>
  <c r="R242" i="19"/>
  <c r="P242" i="19"/>
  <c r="R252" i="19"/>
  <c r="P252" i="19"/>
  <c r="V119" i="19"/>
  <c r="N136" i="19"/>
  <c r="N138" i="19"/>
  <c r="N140" i="19"/>
  <c r="N142" i="19"/>
  <c r="N144" i="19"/>
  <c r="N146" i="19"/>
  <c r="N148" i="19"/>
  <c r="N150" i="19"/>
  <c r="N152" i="19"/>
  <c r="N156" i="19"/>
  <c r="R183" i="19"/>
  <c r="P183" i="19"/>
  <c r="R191" i="19"/>
  <c r="P191" i="19"/>
  <c r="R199" i="19"/>
  <c r="P199" i="19"/>
  <c r="P208" i="19"/>
  <c r="R208" i="19"/>
  <c r="R211" i="19"/>
  <c r="P211" i="19"/>
  <c r="R214" i="19"/>
  <c r="P214" i="19"/>
  <c r="P224" i="19"/>
  <c r="R224" i="19"/>
  <c r="R227" i="19"/>
  <c r="P227" i="19"/>
  <c r="R230" i="19"/>
  <c r="P230" i="19"/>
  <c r="P240" i="19"/>
  <c r="R240" i="19"/>
  <c r="R243" i="19"/>
  <c r="P243" i="19"/>
  <c r="R246" i="19"/>
  <c r="P246" i="19"/>
  <c r="P257" i="19"/>
  <c r="R257" i="19"/>
  <c r="V114" i="19"/>
  <c r="V116" i="19"/>
  <c r="U117" i="19"/>
  <c r="V120" i="19"/>
  <c r="U121" i="19"/>
  <c r="Q121" i="19" s="1"/>
  <c r="U126" i="19"/>
  <c r="V129" i="19"/>
  <c r="U130" i="19"/>
  <c r="Q130" i="19" s="1"/>
  <c r="V135" i="19"/>
  <c r="Q135" i="19" s="1"/>
  <c r="U137" i="19"/>
  <c r="U139" i="19"/>
  <c r="J153" i="19"/>
  <c r="N155" i="19"/>
  <c r="J157" i="19"/>
  <c r="K159" i="19"/>
  <c r="R160" i="19"/>
  <c r="S188" i="19"/>
  <c r="T188" i="19" s="1"/>
  <c r="O188" i="19"/>
  <c r="P189" i="19"/>
  <c r="R189" i="19"/>
  <c r="S194" i="19"/>
  <c r="T194" i="19" s="1"/>
  <c r="O194" i="19"/>
  <c r="P197" i="19"/>
  <c r="R197" i="19"/>
  <c r="P212" i="19"/>
  <c r="R212" i="19"/>
  <c r="R215" i="19"/>
  <c r="P215" i="19"/>
  <c r="R218" i="19"/>
  <c r="P218" i="19"/>
  <c r="P228" i="19"/>
  <c r="R228" i="19"/>
  <c r="R231" i="19"/>
  <c r="P231" i="19"/>
  <c r="R234" i="19"/>
  <c r="P234" i="19"/>
  <c r="P244" i="19"/>
  <c r="R244" i="19"/>
  <c r="R247" i="19"/>
  <c r="P247" i="19"/>
  <c r="R250" i="19"/>
  <c r="P250" i="19"/>
  <c r="V112" i="19"/>
  <c r="U115" i="19"/>
  <c r="V117" i="19"/>
  <c r="V126" i="19"/>
  <c r="U127" i="19"/>
  <c r="Q127" i="19" s="1"/>
  <c r="V137" i="19"/>
  <c r="V139" i="19"/>
  <c r="N159" i="19"/>
  <c r="P164" i="19"/>
  <c r="R167" i="19"/>
  <c r="P168" i="19"/>
  <c r="R171" i="19"/>
  <c r="P172" i="19"/>
  <c r="R175" i="19"/>
  <c r="P176" i="19"/>
  <c r="R187" i="19"/>
  <c r="P187" i="19"/>
  <c r="P188" i="19"/>
  <c r="R195" i="19"/>
  <c r="P195" i="19"/>
  <c r="R203" i="19"/>
  <c r="P203" i="19"/>
  <c r="R206" i="19"/>
  <c r="P206" i="19"/>
  <c r="P216" i="19"/>
  <c r="R216" i="19"/>
  <c r="R219" i="19"/>
  <c r="P219" i="19"/>
  <c r="R222" i="19"/>
  <c r="P222" i="19"/>
  <c r="P232" i="19"/>
  <c r="R232" i="19"/>
  <c r="R235" i="19"/>
  <c r="P235" i="19"/>
  <c r="R238" i="19"/>
  <c r="P238" i="19"/>
  <c r="P248" i="19"/>
  <c r="R248" i="19"/>
  <c r="R251" i="19"/>
  <c r="P251" i="19"/>
  <c r="P253" i="19"/>
  <c r="R253" i="19"/>
  <c r="P261" i="19"/>
  <c r="R261" i="19"/>
  <c r="N158" i="19"/>
  <c r="R205" i="19"/>
  <c r="R209" i="19"/>
  <c r="R213" i="19"/>
  <c r="R217" i="19"/>
  <c r="R221" i="19"/>
  <c r="R225" i="19"/>
  <c r="R229" i="19"/>
  <c r="R233" i="19"/>
  <c r="R237" i="19"/>
  <c r="R241" i="19"/>
  <c r="R245" i="19"/>
  <c r="R249" i="19"/>
  <c r="J252" i="19"/>
  <c r="J256" i="19"/>
  <c r="P259" i="19"/>
  <c r="J260" i="19"/>
  <c r="S263" i="19"/>
  <c r="T263" i="19" s="1"/>
  <c r="O263" i="19"/>
  <c r="R264" i="19"/>
  <c r="S265" i="19"/>
  <c r="T265" i="19" s="1"/>
  <c r="S267" i="19"/>
  <c r="T267" i="19" s="1"/>
  <c r="O267" i="19"/>
  <c r="R268" i="19"/>
  <c r="S269" i="19"/>
  <c r="T269" i="19" s="1"/>
  <c r="S271" i="19"/>
  <c r="T271" i="19" s="1"/>
  <c r="O271" i="19"/>
  <c r="R272" i="19"/>
  <c r="S273" i="19"/>
  <c r="T273" i="19" s="1"/>
  <c r="R277" i="19"/>
  <c r="P277" i="19"/>
  <c r="P298" i="19"/>
  <c r="R298" i="19"/>
  <c r="R301" i="19"/>
  <c r="P301" i="19"/>
  <c r="R304" i="19"/>
  <c r="P304" i="19"/>
  <c r="P314" i="19"/>
  <c r="R314" i="19"/>
  <c r="R317" i="19"/>
  <c r="P317" i="19"/>
  <c r="R320" i="19"/>
  <c r="P320" i="19"/>
  <c r="P340" i="19"/>
  <c r="R340" i="19"/>
  <c r="P275" i="19"/>
  <c r="R275" i="19"/>
  <c r="R280" i="19"/>
  <c r="P280" i="19"/>
  <c r="U287" i="19"/>
  <c r="Q287" i="19" s="1"/>
  <c r="R292" i="19"/>
  <c r="P292" i="19"/>
  <c r="P302" i="19"/>
  <c r="R302" i="19"/>
  <c r="R305" i="19"/>
  <c r="P305" i="19"/>
  <c r="R308" i="19"/>
  <c r="P308" i="19"/>
  <c r="P318" i="19"/>
  <c r="R318" i="19"/>
  <c r="R321" i="19"/>
  <c r="P321" i="19"/>
  <c r="R332" i="19"/>
  <c r="P332" i="19"/>
  <c r="R335" i="19"/>
  <c r="P335" i="19"/>
  <c r="S341" i="19"/>
  <c r="T341" i="19" s="1"/>
  <c r="O341" i="19"/>
  <c r="P256" i="19"/>
  <c r="P260" i="19"/>
  <c r="P278" i="19"/>
  <c r="R278" i="19"/>
  <c r="R281" i="19"/>
  <c r="P281" i="19"/>
  <c r="R293" i="19"/>
  <c r="P293" i="19"/>
  <c r="R296" i="19"/>
  <c r="P296" i="19"/>
  <c r="P306" i="19"/>
  <c r="R306" i="19"/>
  <c r="R309" i="19"/>
  <c r="P309" i="19"/>
  <c r="R312" i="19"/>
  <c r="P312" i="19"/>
  <c r="P333" i="19"/>
  <c r="R333" i="19"/>
  <c r="K254" i="19"/>
  <c r="J254" i="19"/>
  <c r="S256" i="19"/>
  <c r="T256" i="19" s="1"/>
  <c r="O256" i="19"/>
  <c r="K258" i="19"/>
  <c r="J258" i="19"/>
  <c r="S260" i="19"/>
  <c r="T260" i="19" s="1"/>
  <c r="O260" i="19"/>
  <c r="R276" i="19"/>
  <c r="P294" i="19"/>
  <c r="R294" i="19"/>
  <c r="R297" i="19"/>
  <c r="P297" i="19"/>
  <c r="R300" i="19"/>
  <c r="P300" i="19"/>
  <c r="P310" i="19"/>
  <c r="R310" i="19"/>
  <c r="R313" i="19"/>
  <c r="P313" i="19"/>
  <c r="R316" i="19"/>
  <c r="P316" i="19"/>
  <c r="R329" i="19"/>
  <c r="P329" i="19"/>
  <c r="R342" i="19"/>
  <c r="P342" i="19"/>
  <c r="N256" i="19"/>
  <c r="N260" i="19"/>
  <c r="R279" i="19"/>
  <c r="R295" i="19"/>
  <c r="R299" i="19"/>
  <c r="R303" i="19"/>
  <c r="R307" i="19"/>
  <c r="R311" i="19"/>
  <c r="R315" i="19"/>
  <c r="R319" i="19"/>
  <c r="V324" i="19"/>
  <c r="Q324" i="19" s="1"/>
  <c r="V326" i="19"/>
  <c r="U327" i="19"/>
  <c r="V330" i="19"/>
  <c r="U331" i="19"/>
  <c r="R334" i="19"/>
  <c r="S336" i="19"/>
  <c r="T336" i="19" s="1"/>
  <c r="R339" i="19"/>
  <c r="S356" i="19"/>
  <c r="T356" i="19" s="1"/>
  <c r="R358" i="19"/>
  <c r="S359" i="19"/>
  <c r="T359" i="19" s="1"/>
  <c r="P361" i="19"/>
  <c r="R361" i="19"/>
  <c r="O383" i="19"/>
  <c r="V322" i="19"/>
  <c r="U325" i="19"/>
  <c r="V327" i="19"/>
  <c r="V331" i="19"/>
  <c r="P338" i="19"/>
  <c r="P341" i="19"/>
  <c r="R378" i="19"/>
  <c r="P378" i="19"/>
  <c r="S380" i="19"/>
  <c r="T380" i="19" s="1"/>
  <c r="O380" i="19"/>
  <c r="S381" i="19"/>
  <c r="T381" i="19" s="1"/>
  <c r="O381" i="19"/>
  <c r="V323" i="19"/>
  <c r="Q323" i="19" s="1"/>
  <c r="V325" i="19"/>
  <c r="V328" i="19"/>
  <c r="U343" i="19"/>
  <c r="Q343" i="19" s="1"/>
  <c r="P353" i="19"/>
  <c r="AA362" i="19"/>
  <c r="S362" i="19"/>
  <c r="T362" i="19" s="1"/>
  <c r="O362" i="19"/>
  <c r="R374" i="19"/>
  <c r="P374" i="19"/>
  <c r="S376" i="19"/>
  <c r="T376" i="19" s="1"/>
  <c r="O376" i="19"/>
  <c r="R379" i="19"/>
  <c r="P379" i="19"/>
  <c r="O391" i="19"/>
  <c r="U351" i="19"/>
  <c r="Q351" i="19" s="1"/>
  <c r="U350" i="19"/>
  <c r="Q350" i="19" s="1"/>
  <c r="U349" i="19"/>
  <c r="Q349" i="19" s="1"/>
  <c r="U348" i="19"/>
  <c r="Q348" i="19" s="1"/>
  <c r="U347" i="19"/>
  <c r="Q347" i="19" s="1"/>
  <c r="U346" i="19"/>
  <c r="Q346" i="19" s="1"/>
  <c r="U345" i="19"/>
  <c r="Q345" i="19" s="1"/>
  <c r="S353" i="19"/>
  <c r="T353" i="19" s="1"/>
  <c r="O353" i="19"/>
  <c r="S354" i="19"/>
  <c r="T354" i="19" s="1"/>
  <c r="O354" i="19"/>
  <c r="P364" i="19"/>
  <c r="R364" i="19"/>
  <c r="S372" i="19"/>
  <c r="T372" i="19" s="1"/>
  <c r="O372" i="19"/>
  <c r="R375" i="19"/>
  <c r="P375" i="19"/>
  <c r="R385" i="19"/>
  <c r="P385" i="19"/>
  <c r="U365" i="19"/>
  <c r="Q365" i="19" s="1"/>
  <c r="U368" i="19"/>
  <c r="Q368" i="19" s="1"/>
  <c r="U369" i="19"/>
  <c r="Q369" i="19" s="1"/>
  <c r="U370" i="19"/>
  <c r="Q370" i="19" s="1"/>
  <c r="U371" i="19"/>
  <c r="Q371" i="19" s="1"/>
  <c r="R373" i="19"/>
  <c r="R377" i="19"/>
  <c r="R382" i="19"/>
  <c r="R384" i="19"/>
  <c r="R386" i="19"/>
  <c r="P388" i="19"/>
  <c r="P389" i="19"/>
  <c r="P390" i="19"/>
  <c r="P391" i="19"/>
  <c r="R414" i="19"/>
  <c r="P414" i="19"/>
  <c r="S419" i="19"/>
  <c r="T419" i="19" s="1"/>
  <c r="O419" i="19"/>
  <c r="O433" i="19"/>
  <c r="S437" i="19"/>
  <c r="T437" i="19" s="1"/>
  <c r="O437" i="19"/>
  <c r="O441" i="19"/>
  <c r="S443" i="19"/>
  <c r="T443" i="19" s="1"/>
  <c r="O443" i="19"/>
  <c r="S445" i="19"/>
  <c r="T445" i="19" s="1"/>
  <c r="O445" i="19"/>
  <c r="S447" i="19"/>
  <c r="T447" i="19" s="1"/>
  <c r="S453" i="19"/>
  <c r="T453" i="19" s="1"/>
  <c r="O453" i="19"/>
  <c r="O461" i="19"/>
  <c r="R472" i="19"/>
  <c r="P472" i="19"/>
  <c r="U363" i="19"/>
  <c r="Q363" i="19" s="1"/>
  <c r="R392" i="19"/>
  <c r="P392" i="19"/>
  <c r="P394" i="19"/>
  <c r="R394" i="19"/>
  <c r="S400" i="19"/>
  <c r="T400" i="19" s="1"/>
  <c r="O400" i="19"/>
  <c r="P403" i="19"/>
  <c r="P412" i="19"/>
  <c r="R412" i="19"/>
  <c r="P420" i="19"/>
  <c r="R420" i="19"/>
  <c r="AG386" i="19"/>
  <c r="Y388" i="19" s="1"/>
  <c r="Y389" i="19" s="1"/>
  <c r="Y390" i="19" s="1"/>
  <c r="P398" i="19"/>
  <c r="R398" i="19"/>
  <c r="P401" i="19"/>
  <c r="R401" i="19"/>
  <c r="S415" i="19"/>
  <c r="T415" i="19" s="1"/>
  <c r="O415" i="19"/>
  <c r="R418" i="19"/>
  <c r="P418" i="19"/>
  <c r="P397" i="19"/>
  <c r="R399" i="19"/>
  <c r="P399" i="19"/>
  <c r="P416" i="19"/>
  <c r="R416" i="19"/>
  <c r="P423" i="19"/>
  <c r="R423" i="19"/>
  <c r="R429" i="19"/>
  <c r="P396" i="19"/>
  <c r="P400" i="19"/>
  <c r="R402" i="19"/>
  <c r="U405" i="19"/>
  <c r="Q405" i="19" s="1"/>
  <c r="V407" i="19"/>
  <c r="U408" i="19"/>
  <c r="V411" i="19"/>
  <c r="R413" i="19"/>
  <c r="P415" i="19"/>
  <c r="R417" i="19"/>
  <c r="P419" i="19"/>
  <c r="R421" i="19"/>
  <c r="K425" i="19"/>
  <c r="J428" i="19"/>
  <c r="P502" i="19"/>
  <c r="R502" i="19"/>
  <c r="P509" i="19"/>
  <c r="R509" i="19"/>
  <c r="N428" i="19"/>
  <c r="S483" i="19"/>
  <c r="T483" i="19" s="1"/>
  <c r="O483" i="19"/>
  <c r="S488" i="19"/>
  <c r="T488" i="19" s="1"/>
  <c r="O488" i="19"/>
  <c r="R491" i="19"/>
  <c r="P491" i="19"/>
  <c r="U404" i="19"/>
  <c r="Q404" i="19" s="1"/>
  <c r="U406" i="19"/>
  <c r="Q406" i="19" s="1"/>
  <c r="K426" i="19"/>
  <c r="N430" i="19"/>
  <c r="K431" i="19"/>
  <c r="R432" i="19"/>
  <c r="P432" i="19"/>
  <c r="P434" i="19"/>
  <c r="R434" i="19"/>
  <c r="R436" i="19"/>
  <c r="P436" i="19"/>
  <c r="P438" i="19"/>
  <c r="R438" i="19"/>
  <c r="R440" i="19"/>
  <c r="P440" i="19"/>
  <c r="P442" i="19"/>
  <c r="R442" i="19"/>
  <c r="R444" i="19"/>
  <c r="P444" i="19"/>
  <c r="P446" i="19"/>
  <c r="R446" i="19"/>
  <c r="R448" i="19"/>
  <c r="P448" i="19"/>
  <c r="P450" i="19"/>
  <c r="R450" i="19"/>
  <c r="R452" i="19"/>
  <c r="P452" i="19"/>
  <c r="P454" i="19"/>
  <c r="R454" i="19"/>
  <c r="R456" i="19"/>
  <c r="P456" i="19"/>
  <c r="P458" i="19"/>
  <c r="R458" i="19"/>
  <c r="R460" i="19"/>
  <c r="P460" i="19"/>
  <c r="P462" i="19"/>
  <c r="R462" i="19"/>
  <c r="R464" i="19"/>
  <c r="P464" i="19"/>
  <c r="P466" i="19"/>
  <c r="R466" i="19"/>
  <c r="R468" i="19"/>
  <c r="P468" i="19"/>
  <c r="P470" i="19"/>
  <c r="R470" i="19"/>
  <c r="S485" i="19"/>
  <c r="T485" i="19" s="1"/>
  <c r="O485" i="19"/>
  <c r="P486" i="19"/>
  <c r="R486" i="19"/>
  <c r="P489" i="19"/>
  <c r="R489" i="19"/>
  <c r="P424" i="19"/>
  <c r="R424" i="19"/>
  <c r="P482" i="19"/>
  <c r="R482" i="19"/>
  <c r="R487" i="19"/>
  <c r="P487" i="19"/>
  <c r="P492" i="19"/>
  <c r="R492" i="19"/>
  <c r="V425" i="19"/>
  <c r="V426" i="19"/>
  <c r="V427" i="19"/>
  <c r="U430" i="19"/>
  <c r="Q430" i="19" s="1"/>
  <c r="V431" i="19"/>
  <c r="P484" i="19"/>
  <c r="P488" i="19"/>
  <c r="R490" i="19"/>
  <c r="V500" i="19"/>
  <c r="V496" i="19"/>
  <c r="V494" i="19"/>
  <c r="V498" i="19"/>
  <c r="V495" i="19"/>
  <c r="Q495" i="19" s="1"/>
  <c r="V493" i="19"/>
  <c r="V499" i="19"/>
  <c r="U505" i="19"/>
  <c r="Q505" i="19" s="1"/>
  <c r="U507" i="19"/>
  <c r="Q507" i="19" s="1"/>
  <c r="U511" i="19"/>
  <c r="Q511" i="19" s="1"/>
  <c r="P533" i="19"/>
  <c r="P535" i="19"/>
  <c r="R535" i="19"/>
  <c r="U504" i="19"/>
  <c r="Q504" i="19" s="1"/>
  <c r="U501" i="19"/>
  <c r="Q501" i="19" s="1"/>
  <c r="U497" i="19"/>
  <c r="Q497" i="19" s="1"/>
  <c r="U499" i="19"/>
  <c r="Q499" i="19" s="1"/>
  <c r="V497" i="19"/>
  <c r="V501" i="19"/>
  <c r="R531" i="19"/>
  <c r="U508" i="19"/>
  <c r="Q508" i="19" s="1"/>
  <c r="U506" i="19"/>
  <c r="Q506" i="19" s="1"/>
  <c r="U503" i="19"/>
  <c r="Q503" i="19" s="1"/>
  <c r="U510" i="19"/>
  <c r="Q510" i="19" s="1"/>
  <c r="P512" i="19"/>
  <c r="R512" i="19"/>
  <c r="S513" i="19"/>
  <c r="T513" i="19" s="1"/>
  <c r="O513" i="19"/>
  <c r="R514" i="19"/>
  <c r="P514" i="19"/>
  <c r="S515" i="19"/>
  <c r="T515" i="19" s="1"/>
  <c r="O515" i="19"/>
  <c r="P516" i="19"/>
  <c r="R516" i="19"/>
  <c r="S517" i="19"/>
  <c r="T517" i="19" s="1"/>
  <c r="O517" i="19"/>
  <c r="R518" i="19"/>
  <c r="P518" i="19"/>
  <c r="S519" i="19"/>
  <c r="T519" i="19" s="1"/>
  <c r="O519" i="19"/>
  <c r="P520" i="19"/>
  <c r="R520" i="19"/>
  <c r="R522" i="19"/>
  <c r="P522" i="19"/>
  <c r="S523" i="19"/>
  <c r="T523" i="19" s="1"/>
  <c r="O523" i="19"/>
  <c r="P524" i="19"/>
  <c r="R524" i="19"/>
  <c r="S525" i="19"/>
  <c r="T525" i="19" s="1"/>
  <c r="O525" i="19"/>
  <c r="R526" i="19"/>
  <c r="P526" i="19"/>
  <c r="P528" i="19"/>
  <c r="R528" i="19"/>
  <c r="R530" i="19"/>
  <c r="P530" i="19"/>
  <c r="S534" i="19"/>
  <c r="T534" i="19" s="1"/>
  <c r="O534" i="19"/>
  <c r="R532" i="19"/>
  <c r="P534" i="19"/>
  <c r="P543" i="19"/>
  <c r="S546" i="19"/>
  <c r="T546" i="19" s="1"/>
  <c r="O546" i="19"/>
  <c r="R549" i="19"/>
  <c r="P549" i="19"/>
  <c r="S554" i="19"/>
  <c r="T554" i="19" s="1"/>
  <c r="O554" i="19"/>
  <c r="R557" i="19"/>
  <c r="P557" i="19"/>
  <c r="S562" i="19"/>
  <c r="T562" i="19" s="1"/>
  <c r="O562" i="19"/>
  <c r="R565" i="19"/>
  <c r="P565" i="19"/>
  <c r="S570" i="19"/>
  <c r="T570" i="19" s="1"/>
  <c r="O570" i="19"/>
  <c r="R573" i="19"/>
  <c r="P573" i="19"/>
  <c r="S578" i="19"/>
  <c r="T578" i="19" s="1"/>
  <c r="O578" i="19"/>
  <c r="R581" i="19"/>
  <c r="P581" i="19"/>
  <c r="S586" i="19"/>
  <c r="T586" i="19" s="1"/>
  <c r="O586" i="19"/>
  <c r="R589" i="19"/>
  <c r="P589" i="19"/>
  <c r="P536" i="19"/>
  <c r="R536" i="19"/>
  <c r="S537" i="19"/>
  <c r="T537" i="19" s="1"/>
  <c r="O537" i="19"/>
  <c r="R538" i="19"/>
  <c r="P538" i="19"/>
  <c r="S539" i="19"/>
  <c r="T539" i="19" s="1"/>
  <c r="O539" i="19"/>
  <c r="P540" i="19"/>
  <c r="R540" i="19"/>
  <c r="S541" i="19"/>
  <c r="T541" i="19" s="1"/>
  <c r="O541" i="19"/>
  <c r="R542" i="19"/>
  <c r="P542" i="19"/>
  <c r="P544" i="19"/>
  <c r="R544" i="19"/>
  <c r="P547" i="19"/>
  <c r="R547" i="19"/>
  <c r="P555" i="19"/>
  <c r="R555" i="19"/>
  <c r="P563" i="19"/>
  <c r="R563" i="19"/>
  <c r="P571" i="19"/>
  <c r="R571" i="19"/>
  <c r="P579" i="19"/>
  <c r="R579" i="19"/>
  <c r="P587" i="19"/>
  <c r="R587" i="19"/>
  <c r="R545" i="19"/>
  <c r="P545" i="19"/>
  <c r="S550" i="19"/>
  <c r="T550" i="19" s="1"/>
  <c r="O550" i="19"/>
  <c r="R553" i="19"/>
  <c r="P553" i="19"/>
  <c r="S558" i="19"/>
  <c r="T558" i="19" s="1"/>
  <c r="O558" i="19"/>
  <c r="R561" i="19"/>
  <c r="P561" i="19"/>
  <c r="S566" i="19"/>
  <c r="T566" i="19" s="1"/>
  <c r="O566" i="19"/>
  <c r="R569" i="19"/>
  <c r="P569" i="19"/>
  <c r="S574" i="19"/>
  <c r="T574" i="19" s="1"/>
  <c r="O574" i="19"/>
  <c r="R577" i="19"/>
  <c r="P577" i="19"/>
  <c r="S582" i="19"/>
  <c r="T582" i="19" s="1"/>
  <c r="O582" i="19"/>
  <c r="R585" i="19"/>
  <c r="P585" i="19"/>
  <c r="S590" i="19"/>
  <c r="T590" i="19" s="1"/>
  <c r="O590" i="19"/>
  <c r="P551" i="19"/>
  <c r="R551" i="19"/>
  <c r="P559" i="19"/>
  <c r="R559" i="19"/>
  <c r="P567" i="19"/>
  <c r="R567" i="19"/>
  <c r="P575" i="19"/>
  <c r="R575" i="19"/>
  <c r="P583" i="19"/>
  <c r="R583" i="19"/>
  <c r="P591" i="19"/>
  <c r="R591" i="19"/>
  <c r="P546" i="19"/>
  <c r="R548" i="19"/>
  <c r="P550" i="19"/>
  <c r="R552" i="19"/>
  <c r="P554" i="19"/>
  <c r="R556" i="19"/>
  <c r="P558" i="19"/>
  <c r="R560" i="19"/>
  <c r="P562" i="19"/>
  <c r="R564" i="19"/>
  <c r="P566" i="19"/>
  <c r="R568" i="19"/>
  <c r="P570" i="19"/>
  <c r="R572" i="19"/>
  <c r="P574" i="19"/>
  <c r="R576" i="19"/>
  <c r="P578" i="19"/>
  <c r="R580" i="19"/>
  <c r="P582" i="19"/>
  <c r="R584" i="19"/>
  <c r="P586" i="19"/>
  <c r="R588" i="19"/>
  <c r="P590" i="19"/>
  <c r="D4" i="13"/>
  <c r="O390" i="19" l="1"/>
  <c r="S390" i="19"/>
  <c r="T390" i="19" s="1"/>
  <c r="S388" i="19"/>
  <c r="T388" i="19" s="1"/>
  <c r="O388" i="19"/>
  <c r="R58" i="19"/>
  <c r="P58" i="19"/>
  <c r="R134" i="19"/>
  <c r="P134" i="19"/>
  <c r="S393" i="19"/>
  <c r="T393" i="19" s="1"/>
  <c r="O393" i="19"/>
  <c r="U288" i="19"/>
  <c r="Q288" i="19" s="1"/>
  <c r="R288" i="19" s="1"/>
  <c r="R455" i="19"/>
  <c r="P202" i="19"/>
  <c r="U283" i="19"/>
  <c r="Q283" i="19" s="1"/>
  <c r="R283" i="19" s="1"/>
  <c r="P145" i="19"/>
  <c r="Q120" i="19"/>
  <c r="O527" i="19"/>
  <c r="K427" i="19"/>
  <c r="Q408" i="19"/>
  <c r="R408" i="19" s="1"/>
  <c r="S397" i="19"/>
  <c r="T397" i="19" s="1"/>
  <c r="O449" i="19"/>
  <c r="P393" i="19"/>
  <c r="O357" i="19"/>
  <c r="Q327" i="19"/>
  <c r="P344" i="19"/>
  <c r="U282" i="19"/>
  <c r="Q282" i="19" s="1"/>
  <c r="U284" i="19"/>
  <c r="Q284" i="19" s="1"/>
  <c r="R284" i="19" s="1"/>
  <c r="S259" i="19"/>
  <c r="T259" i="19" s="1"/>
  <c r="O202" i="19"/>
  <c r="O192" i="19"/>
  <c r="R122" i="19"/>
  <c r="R158" i="19"/>
  <c r="O158" i="19" s="1"/>
  <c r="R155" i="19"/>
  <c r="R53" i="19"/>
  <c r="U85" i="19"/>
  <c r="Q85" i="19" s="1"/>
  <c r="R85" i="19" s="1"/>
  <c r="R54" i="19"/>
  <c r="S54" i="19" s="1"/>
  <c r="T54" i="19" s="1"/>
  <c r="P521" i="19"/>
  <c r="Q427" i="19"/>
  <c r="P427" i="19" s="1"/>
  <c r="R471" i="19"/>
  <c r="R270" i="19"/>
  <c r="R451" i="19"/>
  <c r="Q330" i="19"/>
  <c r="K59" i="19"/>
  <c r="J59" i="19"/>
  <c r="Q118" i="19"/>
  <c r="O352" i="19"/>
  <c r="S352" i="19"/>
  <c r="T352" i="19" s="1"/>
  <c r="R196" i="19"/>
  <c r="Q411" i="19"/>
  <c r="R395" i="19"/>
  <c r="K61" i="19"/>
  <c r="J61" i="19"/>
  <c r="S389" i="19"/>
  <c r="T389" i="19" s="1"/>
  <c r="J133" i="19"/>
  <c r="Q322" i="19"/>
  <c r="J132" i="19"/>
  <c r="K132" i="19"/>
  <c r="K255" i="19"/>
  <c r="J255" i="19"/>
  <c r="J429" i="19"/>
  <c r="K429" i="19"/>
  <c r="K57" i="19"/>
  <c r="J57" i="19"/>
  <c r="O533" i="19"/>
  <c r="K423" i="19"/>
  <c r="O457" i="19"/>
  <c r="U286" i="19"/>
  <c r="Q286" i="19" s="1"/>
  <c r="P286" i="19" s="1"/>
  <c r="U285" i="19"/>
  <c r="Q285" i="19" s="1"/>
  <c r="R285" i="19" s="1"/>
  <c r="S255" i="19"/>
  <c r="T255" i="19" s="1"/>
  <c r="S168" i="19"/>
  <c r="T168" i="19" s="1"/>
  <c r="Q136" i="19"/>
  <c r="Q119" i="19"/>
  <c r="P119" i="19" s="1"/>
  <c r="U86" i="19"/>
  <c r="Q86" i="19" s="1"/>
  <c r="R387" i="19"/>
  <c r="P359" i="19"/>
  <c r="P94" i="19"/>
  <c r="J261" i="19"/>
  <c r="K261" i="19"/>
  <c r="Q409" i="19"/>
  <c r="Q328" i="19"/>
  <c r="R328" i="19" s="1"/>
  <c r="Q129" i="19"/>
  <c r="R274" i="19"/>
  <c r="Q60" i="19"/>
  <c r="Q410" i="19"/>
  <c r="Q325" i="19"/>
  <c r="O529" i="19"/>
  <c r="O521" i="19"/>
  <c r="U289" i="19"/>
  <c r="Q289" i="19" s="1"/>
  <c r="R289" i="19" s="1"/>
  <c r="Q115" i="19"/>
  <c r="Q139" i="19"/>
  <c r="Q493" i="19"/>
  <c r="P186" i="19"/>
  <c r="R439" i="19"/>
  <c r="J422" i="19"/>
  <c r="K422" i="19"/>
  <c r="S463" i="19"/>
  <c r="T463" i="19" s="1"/>
  <c r="R367" i="19"/>
  <c r="U290" i="19"/>
  <c r="Q290" i="19" s="1"/>
  <c r="R179" i="19"/>
  <c r="S179" i="19" s="1"/>
  <c r="T179" i="19" s="1"/>
  <c r="R163" i="19"/>
  <c r="O163" i="19" s="1"/>
  <c r="S186" i="19"/>
  <c r="T186" i="19" s="1"/>
  <c r="Q137" i="19"/>
  <c r="Q117" i="19"/>
  <c r="P141" i="19"/>
  <c r="P124" i="19"/>
  <c r="U87" i="19"/>
  <c r="Q87" i="19" s="1"/>
  <c r="Q498" i="19"/>
  <c r="P498" i="19" s="1"/>
  <c r="R262" i="19"/>
  <c r="P527" i="19"/>
  <c r="R435" i="19"/>
  <c r="P52" i="19"/>
  <c r="R52" i="19"/>
  <c r="Q116" i="19"/>
  <c r="Q131" i="19"/>
  <c r="Q126" i="19"/>
  <c r="P265" i="19"/>
  <c r="J135" i="19"/>
  <c r="K135" i="19"/>
  <c r="S164" i="19"/>
  <c r="T164" i="19" s="1"/>
  <c r="P114" i="19"/>
  <c r="Q59" i="19"/>
  <c r="K54" i="19"/>
  <c r="J54" i="19"/>
  <c r="R465" i="19"/>
  <c r="R200" i="19"/>
  <c r="R184" i="19"/>
  <c r="R266" i="19"/>
  <c r="O543" i="19"/>
  <c r="Q331" i="19"/>
  <c r="J161" i="19"/>
  <c r="Q57" i="19"/>
  <c r="P57" i="19" s="1"/>
  <c r="U82" i="19"/>
  <c r="Q82" i="19" s="1"/>
  <c r="P82" i="19" s="1"/>
  <c r="P529" i="19"/>
  <c r="Q431" i="19"/>
  <c r="P431" i="19" s="1"/>
  <c r="P273" i="19"/>
  <c r="Q500" i="19"/>
  <c r="P500" i="19" s="1"/>
  <c r="Q426" i="19"/>
  <c r="R459" i="19"/>
  <c r="R337" i="19"/>
  <c r="P194" i="19"/>
  <c r="R180" i="19"/>
  <c r="Q112" i="19"/>
  <c r="P112" i="19" s="1"/>
  <c r="R467" i="19"/>
  <c r="R469" i="19"/>
  <c r="R493" i="19"/>
  <c r="P493" i="19"/>
  <c r="R427" i="19"/>
  <c r="P425" i="19"/>
  <c r="R425" i="19"/>
  <c r="P131" i="19"/>
  <c r="R131" i="19"/>
  <c r="S585" i="19"/>
  <c r="T585" i="19" s="1"/>
  <c r="O585" i="19"/>
  <c r="S577" i="19"/>
  <c r="T577" i="19" s="1"/>
  <c r="O577" i="19"/>
  <c r="S569" i="19"/>
  <c r="T569" i="19" s="1"/>
  <c r="O569" i="19"/>
  <c r="S561" i="19"/>
  <c r="T561" i="19" s="1"/>
  <c r="O561" i="19"/>
  <c r="S553" i="19"/>
  <c r="T553" i="19" s="1"/>
  <c r="O553" i="19"/>
  <c r="S545" i="19"/>
  <c r="T545" i="19" s="1"/>
  <c r="O545" i="19"/>
  <c r="S542" i="19"/>
  <c r="T542" i="19" s="1"/>
  <c r="O542" i="19"/>
  <c r="S538" i="19"/>
  <c r="T538" i="19" s="1"/>
  <c r="O538" i="19"/>
  <c r="P510" i="19"/>
  <c r="R510" i="19"/>
  <c r="S531" i="19"/>
  <c r="T531" i="19" s="1"/>
  <c r="O531" i="19"/>
  <c r="P497" i="19"/>
  <c r="R497" i="19"/>
  <c r="R505" i="19"/>
  <c r="P505" i="19"/>
  <c r="S490" i="19"/>
  <c r="T490" i="19" s="1"/>
  <c r="O490" i="19"/>
  <c r="P430" i="19"/>
  <c r="R430" i="19"/>
  <c r="S487" i="19"/>
  <c r="T487" i="19" s="1"/>
  <c r="O487" i="19"/>
  <c r="R473" i="19"/>
  <c r="P473" i="19"/>
  <c r="P480" i="19"/>
  <c r="R480" i="19"/>
  <c r="O509" i="19"/>
  <c r="S509" i="19"/>
  <c r="T509" i="19" s="1"/>
  <c r="P495" i="19"/>
  <c r="R495" i="19"/>
  <c r="R428" i="19"/>
  <c r="P428" i="19"/>
  <c r="P407" i="19"/>
  <c r="R407" i="19"/>
  <c r="S399" i="19"/>
  <c r="T399" i="19" s="1"/>
  <c r="O399" i="19"/>
  <c r="S401" i="19"/>
  <c r="T401" i="19" s="1"/>
  <c r="O401" i="19"/>
  <c r="S420" i="19"/>
  <c r="T420" i="19" s="1"/>
  <c r="O420" i="19"/>
  <c r="AD472" i="19"/>
  <c r="S472" i="19"/>
  <c r="T472" i="19" s="1"/>
  <c r="O472" i="19"/>
  <c r="S382" i="19"/>
  <c r="T382" i="19" s="1"/>
  <c r="O382" i="19"/>
  <c r="P370" i="19"/>
  <c r="R370" i="19"/>
  <c r="S364" i="19"/>
  <c r="T364" i="19" s="1"/>
  <c r="O364" i="19"/>
  <c r="AA364" i="19"/>
  <c r="R347" i="19"/>
  <c r="P347" i="19"/>
  <c r="R351" i="19"/>
  <c r="P351" i="19"/>
  <c r="S379" i="19"/>
  <c r="T379" i="19" s="1"/>
  <c r="O379" i="19"/>
  <c r="S374" i="19"/>
  <c r="T374" i="19" s="1"/>
  <c r="O374" i="19"/>
  <c r="R323" i="19"/>
  <c r="P323" i="19"/>
  <c r="P322" i="19"/>
  <c r="R322" i="19"/>
  <c r="P331" i="19"/>
  <c r="R331" i="19"/>
  <c r="P324" i="19"/>
  <c r="R324" i="19"/>
  <c r="S307" i="19"/>
  <c r="T307" i="19" s="1"/>
  <c r="O307" i="19"/>
  <c r="S279" i="19"/>
  <c r="T279" i="19" s="1"/>
  <c r="O279" i="19"/>
  <c r="O342" i="19"/>
  <c r="S342" i="19"/>
  <c r="T342" i="19" s="1"/>
  <c r="S316" i="19"/>
  <c r="T316" i="19" s="1"/>
  <c r="O316" i="19"/>
  <c r="S297" i="19"/>
  <c r="T297" i="19" s="1"/>
  <c r="O297" i="19"/>
  <c r="S333" i="19"/>
  <c r="T333" i="19" s="1"/>
  <c r="O333" i="19"/>
  <c r="S321" i="19"/>
  <c r="T321" i="19" s="1"/>
  <c r="O321" i="19"/>
  <c r="S308" i="19"/>
  <c r="T308" i="19" s="1"/>
  <c r="O308" i="19"/>
  <c r="P290" i="19"/>
  <c r="R290" i="19"/>
  <c r="P258" i="19"/>
  <c r="R258" i="19"/>
  <c r="S317" i="19"/>
  <c r="T317" i="19" s="1"/>
  <c r="O317" i="19"/>
  <c r="S304" i="19"/>
  <c r="T304" i="19" s="1"/>
  <c r="O304" i="19"/>
  <c r="S272" i="19"/>
  <c r="T272" i="19" s="1"/>
  <c r="O272" i="19"/>
  <c r="S268" i="19"/>
  <c r="T268" i="19" s="1"/>
  <c r="O268" i="19"/>
  <c r="S264" i="19"/>
  <c r="T264" i="19" s="1"/>
  <c r="O264" i="19"/>
  <c r="S249" i="19"/>
  <c r="T249" i="19" s="1"/>
  <c r="O249" i="19"/>
  <c r="S233" i="19"/>
  <c r="T233" i="19" s="1"/>
  <c r="O233" i="19"/>
  <c r="S217" i="19"/>
  <c r="T217" i="19" s="1"/>
  <c r="O217" i="19"/>
  <c r="S235" i="19"/>
  <c r="T235" i="19" s="1"/>
  <c r="O235" i="19"/>
  <c r="S222" i="19"/>
  <c r="T222" i="19" s="1"/>
  <c r="O222" i="19"/>
  <c r="S203" i="19"/>
  <c r="T203" i="19" s="1"/>
  <c r="O203" i="19"/>
  <c r="O175" i="19"/>
  <c r="S175" i="19"/>
  <c r="T175" i="19" s="1"/>
  <c r="O167" i="19"/>
  <c r="S167" i="19"/>
  <c r="T167" i="19" s="1"/>
  <c r="P115" i="19"/>
  <c r="R115" i="19"/>
  <c r="S250" i="19"/>
  <c r="T250" i="19" s="1"/>
  <c r="O250" i="19"/>
  <c r="S231" i="19"/>
  <c r="T231" i="19" s="1"/>
  <c r="O231" i="19"/>
  <c r="S218" i="19"/>
  <c r="T218" i="19" s="1"/>
  <c r="O218" i="19"/>
  <c r="S160" i="19"/>
  <c r="T160" i="19" s="1"/>
  <c r="O160" i="19"/>
  <c r="R117" i="19"/>
  <c r="P117" i="19"/>
  <c r="S257" i="19"/>
  <c r="T257" i="19" s="1"/>
  <c r="O257" i="19"/>
  <c r="S224" i="19"/>
  <c r="T224" i="19" s="1"/>
  <c r="O224" i="19"/>
  <c r="R120" i="19"/>
  <c r="P120" i="19"/>
  <c r="S252" i="19"/>
  <c r="T252" i="19" s="1"/>
  <c r="O252" i="19"/>
  <c r="S239" i="19"/>
  <c r="T239" i="19" s="1"/>
  <c r="O239" i="19"/>
  <c r="S226" i="19"/>
  <c r="T226" i="19" s="1"/>
  <c r="O226" i="19"/>
  <c r="S207" i="19"/>
  <c r="T207" i="19" s="1"/>
  <c r="O207" i="19"/>
  <c r="S193" i="19"/>
  <c r="T193" i="19" s="1"/>
  <c r="O193" i="19"/>
  <c r="S190" i="19"/>
  <c r="T190" i="19" s="1"/>
  <c r="O190" i="19"/>
  <c r="K154" i="19"/>
  <c r="J154" i="19"/>
  <c r="K145" i="19"/>
  <c r="J145" i="19"/>
  <c r="K139" i="19"/>
  <c r="J139" i="19"/>
  <c r="K134" i="19"/>
  <c r="J134" i="19"/>
  <c r="S150" i="19"/>
  <c r="T150" i="19" s="1"/>
  <c r="O150" i="19"/>
  <c r="S146" i="19"/>
  <c r="T146" i="19" s="1"/>
  <c r="O146" i="19"/>
  <c r="S142" i="19"/>
  <c r="T142" i="19" s="1"/>
  <c r="O142" i="19"/>
  <c r="S166" i="19"/>
  <c r="T166" i="19" s="1"/>
  <c r="O166" i="19"/>
  <c r="S159" i="19"/>
  <c r="T159" i="19" s="1"/>
  <c r="O159" i="19"/>
  <c r="S106" i="19"/>
  <c r="T106" i="19" s="1"/>
  <c r="O106" i="19"/>
  <c r="S72" i="19"/>
  <c r="T72" i="19" s="1"/>
  <c r="O72" i="19"/>
  <c r="P61" i="19"/>
  <c r="R61" i="19"/>
  <c r="K58" i="19"/>
  <c r="J58" i="19"/>
  <c r="K55" i="19"/>
  <c r="J55" i="19"/>
  <c r="S47" i="19"/>
  <c r="T47" i="19" s="1"/>
  <c r="O47" i="19"/>
  <c r="S31" i="19"/>
  <c r="T31" i="19" s="1"/>
  <c r="O31" i="19"/>
  <c r="S15" i="19"/>
  <c r="T15" i="19" s="1"/>
  <c r="O15" i="19"/>
  <c r="S26" i="19"/>
  <c r="T26" i="19" s="1"/>
  <c r="O26" i="19"/>
  <c r="S22" i="19"/>
  <c r="T22" i="19" s="1"/>
  <c r="O22" i="19"/>
  <c r="S53" i="19"/>
  <c r="T53" i="19" s="1"/>
  <c r="O53" i="19"/>
  <c r="S34" i="19"/>
  <c r="T34" i="19" s="1"/>
  <c r="O34" i="19"/>
  <c r="S2" i="19"/>
  <c r="T2" i="19" s="1"/>
  <c r="O2" i="19"/>
  <c r="S14" i="19"/>
  <c r="T14" i="19" s="1"/>
  <c r="O14" i="19"/>
  <c r="R91" i="19"/>
  <c r="P91" i="19"/>
  <c r="S46" i="19"/>
  <c r="T46" i="19" s="1"/>
  <c r="O46" i="19"/>
  <c r="S30" i="19"/>
  <c r="T30" i="19" s="1"/>
  <c r="O30" i="19"/>
  <c r="S584" i="19"/>
  <c r="T584" i="19" s="1"/>
  <c r="O584" i="19"/>
  <c r="S576" i="19"/>
  <c r="T576" i="19" s="1"/>
  <c r="O576" i="19"/>
  <c r="S568" i="19"/>
  <c r="T568" i="19" s="1"/>
  <c r="O568" i="19"/>
  <c r="S560" i="19"/>
  <c r="T560" i="19" s="1"/>
  <c r="O560" i="19"/>
  <c r="S552" i="19"/>
  <c r="T552" i="19" s="1"/>
  <c r="O552" i="19"/>
  <c r="S591" i="19"/>
  <c r="T591" i="19" s="1"/>
  <c r="O591" i="19"/>
  <c r="S575" i="19"/>
  <c r="T575" i="19" s="1"/>
  <c r="O575" i="19"/>
  <c r="S559" i="19"/>
  <c r="T559" i="19" s="1"/>
  <c r="O559" i="19"/>
  <c r="S587" i="19"/>
  <c r="T587" i="19" s="1"/>
  <c r="O587" i="19"/>
  <c r="S571" i="19"/>
  <c r="T571" i="19" s="1"/>
  <c r="O571" i="19"/>
  <c r="S555" i="19"/>
  <c r="T555" i="19" s="1"/>
  <c r="O555" i="19"/>
  <c r="S544" i="19"/>
  <c r="T544" i="19" s="1"/>
  <c r="O544" i="19"/>
  <c r="R503" i="19"/>
  <c r="P503" i="19"/>
  <c r="R494" i="19"/>
  <c r="P494" i="19"/>
  <c r="S492" i="19"/>
  <c r="T492" i="19" s="1"/>
  <c r="O492" i="19"/>
  <c r="S482" i="19"/>
  <c r="T482" i="19" s="1"/>
  <c r="O482" i="19"/>
  <c r="S486" i="19"/>
  <c r="T486" i="19" s="1"/>
  <c r="O486" i="19"/>
  <c r="R477" i="19"/>
  <c r="P477" i="19"/>
  <c r="S468" i="19"/>
  <c r="T468" i="19" s="1"/>
  <c r="O468" i="19"/>
  <c r="S464" i="19"/>
  <c r="T464" i="19" s="1"/>
  <c r="O464" i="19"/>
  <c r="S460" i="19"/>
  <c r="T460" i="19" s="1"/>
  <c r="O460" i="19"/>
  <c r="S456" i="19"/>
  <c r="T456" i="19" s="1"/>
  <c r="O456" i="19"/>
  <c r="S452" i="19"/>
  <c r="T452" i="19" s="1"/>
  <c r="O452" i="19"/>
  <c r="S448" i="19"/>
  <c r="T448" i="19" s="1"/>
  <c r="O448" i="19"/>
  <c r="S444" i="19"/>
  <c r="T444" i="19" s="1"/>
  <c r="O444" i="19"/>
  <c r="S440" i="19"/>
  <c r="T440" i="19" s="1"/>
  <c r="O440" i="19"/>
  <c r="S436" i="19"/>
  <c r="T436" i="19" s="1"/>
  <c r="O436" i="19"/>
  <c r="S432" i="19"/>
  <c r="T432" i="19" s="1"/>
  <c r="O432" i="19"/>
  <c r="S491" i="19"/>
  <c r="T491" i="19" s="1"/>
  <c r="O491" i="19"/>
  <c r="R476" i="19"/>
  <c r="P476" i="19"/>
  <c r="P481" i="19"/>
  <c r="R481" i="19"/>
  <c r="S421" i="19"/>
  <c r="T421" i="19" s="1"/>
  <c r="O421" i="19"/>
  <c r="S413" i="19"/>
  <c r="T413" i="19" s="1"/>
  <c r="O413" i="19"/>
  <c r="P405" i="19"/>
  <c r="R405" i="19"/>
  <c r="S416" i="19"/>
  <c r="T416" i="19" s="1"/>
  <c r="O416" i="19"/>
  <c r="S418" i="19"/>
  <c r="T418" i="19" s="1"/>
  <c r="O418" i="19"/>
  <c r="S392" i="19"/>
  <c r="T392" i="19" s="1"/>
  <c r="O392" i="19"/>
  <c r="S414" i="19"/>
  <c r="T414" i="19" s="1"/>
  <c r="O414" i="19"/>
  <c r="S377" i="19"/>
  <c r="T377" i="19" s="1"/>
  <c r="O377" i="19"/>
  <c r="P369" i="19"/>
  <c r="R369" i="19"/>
  <c r="S375" i="19"/>
  <c r="T375" i="19" s="1"/>
  <c r="O375" i="19"/>
  <c r="R348" i="19"/>
  <c r="P348" i="19"/>
  <c r="R343" i="19"/>
  <c r="P343" i="19"/>
  <c r="P366" i="19"/>
  <c r="R366" i="19"/>
  <c r="S358" i="19"/>
  <c r="T358" i="19" s="1"/>
  <c r="O358" i="19"/>
  <c r="S339" i="19"/>
  <c r="T339" i="19" s="1"/>
  <c r="O339" i="19"/>
  <c r="P330" i="19"/>
  <c r="R330" i="19"/>
  <c r="S319" i="19"/>
  <c r="T319" i="19" s="1"/>
  <c r="O319" i="19"/>
  <c r="S303" i="19"/>
  <c r="T303" i="19" s="1"/>
  <c r="O303" i="19"/>
  <c r="O344" i="19"/>
  <c r="S344" i="19"/>
  <c r="T344" i="19" s="1"/>
  <c r="S294" i="19"/>
  <c r="T294" i="19" s="1"/>
  <c r="O294" i="19"/>
  <c r="S309" i="19"/>
  <c r="T309" i="19" s="1"/>
  <c r="O309" i="19"/>
  <c r="S296" i="19"/>
  <c r="T296" i="19" s="1"/>
  <c r="O296" i="19"/>
  <c r="S281" i="19"/>
  <c r="T281" i="19" s="1"/>
  <c r="O281" i="19"/>
  <c r="S332" i="19"/>
  <c r="T332" i="19" s="1"/>
  <c r="O332" i="19"/>
  <c r="S318" i="19"/>
  <c r="T318" i="19" s="1"/>
  <c r="O318" i="19"/>
  <c r="P287" i="19"/>
  <c r="R287" i="19"/>
  <c r="P291" i="19"/>
  <c r="R291" i="19"/>
  <c r="S314" i="19"/>
  <c r="T314" i="19" s="1"/>
  <c r="O314" i="19"/>
  <c r="S245" i="19"/>
  <c r="T245" i="19" s="1"/>
  <c r="O245" i="19"/>
  <c r="S229" i="19"/>
  <c r="T229" i="19" s="1"/>
  <c r="O229" i="19"/>
  <c r="S213" i="19"/>
  <c r="T213" i="19" s="1"/>
  <c r="O213" i="19"/>
  <c r="S261" i="19"/>
  <c r="T261" i="19" s="1"/>
  <c r="O261" i="19"/>
  <c r="S232" i="19"/>
  <c r="T232" i="19" s="1"/>
  <c r="O232" i="19"/>
  <c r="S187" i="19"/>
  <c r="T187" i="19" s="1"/>
  <c r="O187" i="19"/>
  <c r="P118" i="19"/>
  <c r="R118" i="19"/>
  <c r="P113" i="19"/>
  <c r="R113" i="19"/>
  <c r="S228" i="19"/>
  <c r="T228" i="19" s="1"/>
  <c r="O228" i="19"/>
  <c r="S189" i="19"/>
  <c r="T189" i="19" s="1"/>
  <c r="O189" i="19"/>
  <c r="R130" i="19"/>
  <c r="P130" i="19"/>
  <c r="R121" i="19"/>
  <c r="P121" i="19"/>
  <c r="S243" i="19"/>
  <c r="T243" i="19" s="1"/>
  <c r="O243" i="19"/>
  <c r="S230" i="19"/>
  <c r="T230" i="19" s="1"/>
  <c r="O230" i="19"/>
  <c r="S211" i="19"/>
  <c r="T211" i="19" s="1"/>
  <c r="O211" i="19"/>
  <c r="S199" i="19"/>
  <c r="T199" i="19" s="1"/>
  <c r="O199" i="19"/>
  <c r="S183" i="19"/>
  <c r="T183" i="19" s="1"/>
  <c r="O183" i="19"/>
  <c r="S236" i="19"/>
  <c r="T236" i="19" s="1"/>
  <c r="O236" i="19"/>
  <c r="S204" i="19"/>
  <c r="T204" i="19" s="1"/>
  <c r="O204" i="19"/>
  <c r="S185" i="19"/>
  <c r="T185" i="19" s="1"/>
  <c r="O185" i="19"/>
  <c r="K151" i="19"/>
  <c r="J151" i="19"/>
  <c r="K143" i="19"/>
  <c r="J143" i="19"/>
  <c r="P138" i="19"/>
  <c r="R138" i="19"/>
  <c r="P133" i="19"/>
  <c r="R133" i="19"/>
  <c r="P125" i="19"/>
  <c r="R125" i="19"/>
  <c r="S111" i="19"/>
  <c r="T111" i="19" s="1"/>
  <c r="O111" i="19"/>
  <c r="S103" i="19"/>
  <c r="T103" i="19" s="1"/>
  <c r="O103" i="19"/>
  <c r="S95" i="19"/>
  <c r="T95" i="19" s="1"/>
  <c r="O95" i="19"/>
  <c r="S154" i="19"/>
  <c r="T154" i="19" s="1"/>
  <c r="O154" i="19"/>
  <c r="S132" i="19"/>
  <c r="T132" i="19" s="1"/>
  <c r="O132" i="19"/>
  <c r="S178" i="19"/>
  <c r="T178" i="19" s="1"/>
  <c r="O178" i="19"/>
  <c r="S162" i="19"/>
  <c r="T162" i="19" s="1"/>
  <c r="O162" i="19"/>
  <c r="S110" i="19"/>
  <c r="T110" i="19" s="1"/>
  <c r="O110" i="19"/>
  <c r="R56" i="19"/>
  <c r="P56" i="19"/>
  <c r="S155" i="19"/>
  <c r="T155" i="19" s="1"/>
  <c r="O155" i="19"/>
  <c r="S149" i="19"/>
  <c r="T149" i="19" s="1"/>
  <c r="O149" i="19"/>
  <c r="S145" i="19"/>
  <c r="T145" i="19" s="1"/>
  <c r="O145" i="19"/>
  <c r="S68" i="19"/>
  <c r="T68" i="19" s="1"/>
  <c r="O68" i="19"/>
  <c r="K60" i="19"/>
  <c r="J60" i="19"/>
  <c r="S43" i="19"/>
  <c r="T43" i="19" s="1"/>
  <c r="O43" i="19"/>
  <c r="S27" i="19"/>
  <c r="T27" i="19" s="1"/>
  <c r="O27" i="19"/>
  <c r="S11" i="19"/>
  <c r="T11" i="19" s="1"/>
  <c r="O11" i="19"/>
  <c r="S74" i="19"/>
  <c r="T74" i="19" s="1"/>
  <c r="O74" i="19"/>
  <c r="S69" i="19"/>
  <c r="T69" i="19" s="1"/>
  <c r="O69" i="19"/>
  <c r="S45" i="19"/>
  <c r="T45" i="19" s="1"/>
  <c r="O45" i="19"/>
  <c r="S32" i="19"/>
  <c r="T32" i="19" s="1"/>
  <c r="O32" i="19"/>
  <c r="S13" i="19"/>
  <c r="T13" i="19" s="1"/>
  <c r="O13" i="19"/>
  <c r="S4" i="19"/>
  <c r="T4" i="19" s="1"/>
  <c r="O4" i="19"/>
  <c r="S62" i="19"/>
  <c r="T62" i="19" s="1"/>
  <c r="O62" i="19"/>
  <c r="S58" i="19"/>
  <c r="T58" i="19" s="1"/>
  <c r="O58" i="19"/>
  <c r="S41" i="19"/>
  <c r="T41" i="19" s="1"/>
  <c r="O41" i="19"/>
  <c r="S28" i="19"/>
  <c r="T28" i="19" s="1"/>
  <c r="O28" i="19"/>
  <c r="S9" i="19"/>
  <c r="T9" i="19" s="1"/>
  <c r="O9" i="19"/>
  <c r="S66" i="19"/>
  <c r="T66" i="19" s="1"/>
  <c r="O66" i="19"/>
  <c r="S40" i="19"/>
  <c r="T40" i="19" s="1"/>
  <c r="O40" i="19"/>
  <c r="S21" i="19"/>
  <c r="T21" i="19" s="1"/>
  <c r="O21" i="19"/>
  <c r="S8" i="19"/>
  <c r="T8" i="19" s="1"/>
  <c r="O8" i="19"/>
  <c r="S33" i="19"/>
  <c r="T33" i="19" s="1"/>
  <c r="O33" i="19"/>
  <c r="R86" i="19"/>
  <c r="P86" i="19"/>
  <c r="P87" i="19"/>
  <c r="R87" i="19"/>
  <c r="S81" i="19"/>
  <c r="T81" i="19" s="1"/>
  <c r="O81" i="19"/>
  <c r="S589" i="19"/>
  <c r="T589" i="19" s="1"/>
  <c r="O589" i="19"/>
  <c r="S581" i="19"/>
  <c r="T581" i="19" s="1"/>
  <c r="O581" i="19"/>
  <c r="S573" i="19"/>
  <c r="T573" i="19" s="1"/>
  <c r="O573" i="19"/>
  <c r="S565" i="19"/>
  <c r="T565" i="19" s="1"/>
  <c r="O565" i="19"/>
  <c r="S557" i="19"/>
  <c r="T557" i="19" s="1"/>
  <c r="O557" i="19"/>
  <c r="S549" i="19"/>
  <c r="T549" i="19" s="1"/>
  <c r="O549" i="19"/>
  <c r="O528" i="19"/>
  <c r="S528" i="19"/>
  <c r="T528" i="19" s="1"/>
  <c r="O524" i="19"/>
  <c r="S524" i="19"/>
  <c r="T524" i="19" s="1"/>
  <c r="O520" i="19"/>
  <c r="S520" i="19"/>
  <c r="T520" i="19" s="1"/>
  <c r="O516" i="19"/>
  <c r="S516" i="19"/>
  <c r="T516" i="19" s="1"/>
  <c r="O512" i="19"/>
  <c r="S512" i="19"/>
  <c r="T512" i="19" s="1"/>
  <c r="R506" i="19"/>
  <c r="P506" i="19"/>
  <c r="P504" i="19"/>
  <c r="R504" i="19"/>
  <c r="P511" i="19"/>
  <c r="R511" i="19"/>
  <c r="R496" i="19"/>
  <c r="P496" i="19"/>
  <c r="S470" i="19"/>
  <c r="T470" i="19" s="1"/>
  <c r="O470" i="19"/>
  <c r="S466" i="19"/>
  <c r="T466" i="19" s="1"/>
  <c r="O466" i="19"/>
  <c r="S462" i="19"/>
  <c r="T462" i="19" s="1"/>
  <c r="O462" i="19"/>
  <c r="S458" i="19"/>
  <c r="T458" i="19" s="1"/>
  <c r="O458" i="19"/>
  <c r="S454" i="19"/>
  <c r="T454" i="19" s="1"/>
  <c r="O454" i="19"/>
  <c r="S450" i="19"/>
  <c r="T450" i="19" s="1"/>
  <c r="O450" i="19"/>
  <c r="S446" i="19"/>
  <c r="T446" i="19" s="1"/>
  <c r="O446" i="19"/>
  <c r="S442" i="19"/>
  <c r="T442" i="19" s="1"/>
  <c r="O442" i="19"/>
  <c r="S438" i="19"/>
  <c r="T438" i="19" s="1"/>
  <c r="O438" i="19"/>
  <c r="S434" i="19"/>
  <c r="T434" i="19" s="1"/>
  <c r="O434" i="19"/>
  <c r="R406" i="19"/>
  <c r="P406" i="19"/>
  <c r="P474" i="19"/>
  <c r="R474" i="19"/>
  <c r="R478" i="19"/>
  <c r="P478" i="19"/>
  <c r="AE502" i="19"/>
  <c r="S502" i="19"/>
  <c r="T502" i="19" s="1"/>
  <c r="O502" i="19"/>
  <c r="P411" i="19"/>
  <c r="R411" i="19"/>
  <c r="S402" i="19"/>
  <c r="T402" i="19" s="1"/>
  <c r="O402" i="19"/>
  <c r="O429" i="19"/>
  <c r="S429" i="19"/>
  <c r="T429" i="19" s="1"/>
  <c r="S398" i="19"/>
  <c r="T398" i="19" s="1"/>
  <c r="O398" i="19"/>
  <c r="S412" i="19"/>
  <c r="T412" i="19" s="1"/>
  <c r="O412" i="19"/>
  <c r="S403" i="19"/>
  <c r="T403" i="19" s="1"/>
  <c r="O403" i="19"/>
  <c r="S394" i="19"/>
  <c r="T394" i="19" s="1"/>
  <c r="O394" i="19"/>
  <c r="R363" i="19"/>
  <c r="P363" i="19"/>
  <c r="O386" i="19"/>
  <c r="S386" i="19"/>
  <c r="T386" i="19" s="1"/>
  <c r="S373" i="19"/>
  <c r="T373" i="19" s="1"/>
  <c r="O373" i="19"/>
  <c r="R368" i="19"/>
  <c r="P368" i="19"/>
  <c r="R345" i="19"/>
  <c r="P345" i="19"/>
  <c r="R349" i="19"/>
  <c r="P349" i="19"/>
  <c r="S378" i="19"/>
  <c r="T378" i="19" s="1"/>
  <c r="O378" i="19"/>
  <c r="S361" i="19"/>
  <c r="T361" i="19" s="1"/>
  <c r="O361" i="19"/>
  <c r="S315" i="19"/>
  <c r="T315" i="19" s="1"/>
  <c r="O315" i="19"/>
  <c r="S299" i="19"/>
  <c r="T299" i="19" s="1"/>
  <c r="O299" i="19"/>
  <c r="S329" i="19"/>
  <c r="T329" i="19" s="1"/>
  <c r="O329" i="19"/>
  <c r="S313" i="19"/>
  <c r="T313" i="19" s="1"/>
  <c r="O313" i="19"/>
  <c r="S300" i="19"/>
  <c r="T300" i="19" s="1"/>
  <c r="O300" i="19"/>
  <c r="S306" i="19"/>
  <c r="T306" i="19" s="1"/>
  <c r="O306" i="19"/>
  <c r="S278" i="19"/>
  <c r="T278" i="19" s="1"/>
  <c r="O278" i="19"/>
  <c r="S305" i="19"/>
  <c r="T305" i="19" s="1"/>
  <c r="O305" i="19"/>
  <c r="S292" i="19"/>
  <c r="T292" i="19" s="1"/>
  <c r="O292" i="19"/>
  <c r="P288" i="19"/>
  <c r="P283" i="19"/>
  <c r="S280" i="19"/>
  <c r="T280" i="19" s="1"/>
  <c r="O280" i="19"/>
  <c r="P254" i="19"/>
  <c r="R254" i="19"/>
  <c r="S320" i="19"/>
  <c r="T320" i="19" s="1"/>
  <c r="O320" i="19"/>
  <c r="S301" i="19"/>
  <c r="T301" i="19" s="1"/>
  <c r="O301" i="19"/>
  <c r="S277" i="19"/>
  <c r="T277" i="19" s="1"/>
  <c r="O277" i="19"/>
  <c r="S241" i="19"/>
  <c r="T241" i="19" s="1"/>
  <c r="O241" i="19"/>
  <c r="S225" i="19"/>
  <c r="T225" i="19" s="1"/>
  <c r="O225" i="19"/>
  <c r="S209" i="19"/>
  <c r="T209" i="19" s="1"/>
  <c r="O209" i="19"/>
  <c r="S251" i="19"/>
  <c r="T251" i="19" s="1"/>
  <c r="O251" i="19"/>
  <c r="S238" i="19"/>
  <c r="T238" i="19" s="1"/>
  <c r="O238" i="19"/>
  <c r="S219" i="19"/>
  <c r="T219" i="19" s="1"/>
  <c r="O219" i="19"/>
  <c r="S206" i="19"/>
  <c r="T206" i="19" s="1"/>
  <c r="O206" i="19"/>
  <c r="S195" i="19"/>
  <c r="T195" i="19" s="1"/>
  <c r="O195" i="19"/>
  <c r="O179" i="19"/>
  <c r="O171" i="19"/>
  <c r="S171" i="19"/>
  <c r="T171" i="19" s="1"/>
  <c r="S247" i="19"/>
  <c r="T247" i="19" s="1"/>
  <c r="O247" i="19"/>
  <c r="S234" i="19"/>
  <c r="T234" i="19" s="1"/>
  <c r="O234" i="19"/>
  <c r="S215" i="19"/>
  <c r="T215" i="19" s="1"/>
  <c r="O215" i="19"/>
  <c r="R129" i="19"/>
  <c r="P129" i="19"/>
  <c r="S240" i="19"/>
  <c r="T240" i="19" s="1"/>
  <c r="O240" i="19"/>
  <c r="S208" i="19"/>
  <c r="T208" i="19" s="1"/>
  <c r="O208" i="19"/>
  <c r="R116" i="19"/>
  <c r="P116" i="19"/>
  <c r="S242" i="19"/>
  <c r="T242" i="19" s="1"/>
  <c r="O242" i="19"/>
  <c r="S223" i="19"/>
  <c r="T223" i="19" s="1"/>
  <c r="O223" i="19"/>
  <c r="S210" i="19"/>
  <c r="T210" i="19" s="1"/>
  <c r="O210" i="19"/>
  <c r="K149" i="19"/>
  <c r="J149" i="19"/>
  <c r="K141" i="19"/>
  <c r="J141" i="19"/>
  <c r="K137" i="19"/>
  <c r="J137" i="19"/>
  <c r="S122" i="19"/>
  <c r="T122" i="19" s="1"/>
  <c r="O122" i="19"/>
  <c r="S152" i="19"/>
  <c r="T152" i="19" s="1"/>
  <c r="O152" i="19"/>
  <c r="S148" i="19"/>
  <c r="T148" i="19" s="1"/>
  <c r="O148" i="19"/>
  <c r="S144" i="19"/>
  <c r="T144" i="19" s="1"/>
  <c r="O144" i="19"/>
  <c r="S108" i="19"/>
  <c r="T108" i="19" s="1"/>
  <c r="O108" i="19"/>
  <c r="S100" i="19"/>
  <c r="T100" i="19" s="1"/>
  <c r="O100" i="19"/>
  <c r="S141" i="19"/>
  <c r="T141" i="19" s="1"/>
  <c r="O141" i="19"/>
  <c r="S134" i="19"/>
  <c r="T134" i="19" s="1"/>
  <c r="O134" i="19"/>
  <c r="S104" i="19"/>
  <c r="T104" i="19" s="1"/>
  <c r="O104" i="19"/>
  <c r="S174" i="19"/>
  <c r="T174" i="19" s="1"/>
  <c r="O174" i="19"/>
  <c r="S156" i="19"/>
  <c r="T156" i="19" s="1"/>
  <c r="O156" i="19"/>
  <c r="S98" i="19"/>
  <c r="T98" i="19" s="1"/>
  <c r="O98" i="19"/>
  <c r="S80" i="19"/>
  <c r="T80" i="19" s="1"/>
  <c r="O80" i="19"/>
  <c r="S64" i="19"/>
  <c r="T64" i="19" s="1"/>
  <c r="O64" i="19"/>
  <c r="R57" i="19"/>
  <c r="K52" i="19"/>
  <c r="J52" i="19"/>
  <c r="S39" i="19"/>
  <c r="T39" i="19" s="1"/>
  <c r="O39" i="19"/>
  <c r="S23" i="19"/>
  <c r="T23" i="19" s="1"/>
  <c r="O23" i="19"/>
  <c r="S7" i="19"/>
  <c r="T7" i="19" s="1"/>
  <c r="O7" i="19"/>
  <c r="S42" i="19"/>
  <c r="T42" i="19" s="1"/>
  <c r="O42" i="19"/>
  <c r="S10" i="19"/>
  <c r="T10" i="19" s="1"/>
  <c r="O10" i="19"/>
  <c r="S38" i="19"/>
  <c r="T38" i="19" s="1"/>
  <c r="O38" i="19"/>
  <c r="S6" i="19"/>
  <c r="T6" i="19" s="1"/>
  <c r="O6" i="19"/>
  <c r="S50" i="19"/>
  <c r="T50" i="19" s="1"/>
  <c r="O50" i="19"/>
  <c r="S18" i="19"/>
  <c r="T18" i="19" s="1"/>
  <c r="O18" i="19"/>
  <c r="R89" i="19"/>
  <c r="P89" i="19"/>
  <c r="P88" i="19"/>
  <c r="R88" i="19"/>
  <c r="S588" i="19"/>
  <c r="T588" i="19" s="1"/>
  <c r="O588" i="19"/>
  <c r="S580" i="19"/>
  <c r="T580" i="19" s="1"/>
  <c r="O580" i="19"/>
  <c r="S572" i="19"/>
  <c r="T572" i="19" s="1"/>
  <c r="O572" i="19"/>
  <c r="S564" i="19"/>
  <c r="T564" i="19" s="1"/>
  <c r="O564" i="19"/>
  <c r="S556" i="19"/>
  <c r="T556" i="19" s="1"/>
  <c r="O556" i="19"/>
  <c r="S548" i="19"/>
  <c r="T548" i="19" s="1"/>
  <c r="O548" i="19"/>
  <c r="S583" i="19"/>
  <c r="T583" i="19" s="1"/>
  <c r="O583" i="19"/>
  <c r="S567" i="19"/>
  <c r="T567" i="19" s="1"/>
  <c r="O567" i="19"/>
  <c r="S551" i="19"/>
  <c r="T551" i="19" s="1"/>
  <c r="O551" i="19"/>
  <c r="S579" i="19"/>
  <c r="T579" i="19" s="1"/>
  <c r="O579" i="19"/>
  <c r="S563" i="19"/>
  <c r="T563" i="19" s="1"/>
  <c r="O563" i="19"/>
  <c r="S547" i="19"/>
  <c r="T547" i="19" s="1"/>
  <c r="O547" i="19"/>
  <c r="S540" i="19"/>
  <c r="T540" i="19" s="1"/>
  <c r="O540" i="19"/>
  <c r="S536" i="19"/>
  <c r="T536" i="19" s="1"/>
  <c r="O536" i="19"/>
  <c r="S532" i="19"/>
  <c r="T532" i="19" s="1"/>
  <c r="O532" i="19"/>
  <c r="O530" i="19"/>
  <c r="S530" i="19"/>
  <c r="T530" i="19" s="1"/>
  <c r="O526" i="19"/>
  <c r="S526" i="19"/>
  <c r="T526" i="19" s="1"/>
  <c r="O522" i="19"/>
  <c r="S522" i="19"/>
  <c r="T522" i="19" s="1"/>
  <c r="O518" i="19"/>
  <c r="S518" i="19"/>
  <c r="T518" i="19" s="1"/>
  <c r="O514" i="19"/>
  <c r="S514" i="19"/>
  <c r="T514" i="19" s="1"/>
  <c r="R508" i="19"/>
  <c r="P508" i="19"/>
  <c r="S535" i="19"/>
  <c r="T535" i="19" s="1"/>
  <c r="O535" i="19"/>
  <c r="R507" i="19"/>
  <c r="P507" i="19"/>
  <c r="R500" i="19"/>
  <c r="P426" i="19"/>
  <c r="R426" i="19"/>
  <c r="O424" i="19"/>
  <c r="S424" i="19"/>
  <c r="T424" i="19" s="1"/>
  <c r="S489" i="19"/>
  <c r="T489" i="19" s="1"/>
  <c r="O489" i="19"/>
  <c r="R404" i="19"/>
  <c r="P404" i="19"/>
  <c r="P475" i="19"/>
  <c r="R475" i="19"/>
  <c r="P479" i="19"/>
  <c r="R479" i="19"/>
  <c r="R422" i="19"/>
  <c r="P422" i="19"/>
  <c r="S417" i="19"/>
  <c r="T417" i="19" s="1"/>
  <c r="O417" i="19"/>
  <c r="P408" i="19"/>
  <c r="O423" i="19"/>
  <c r="S423" i="19"/>
  <c r="T423" i="19" s="1"/>
  <c r="S384" i="19"/>
  <c r="T384" i="19" s="1"/>
  <c r="O384" i="19"/>
  <c r="P371" i="19"/>
  <c r="R371" i="19"/>
  <c r="R365" i="19"/>
  <c r="P365" i="19"/>
  <c r="S385" i="19"/>
  <c r="T385" i="19" s="1"/>
  <c r="O385" i="19"/>
  <c r="R346" i="19"/>
  <c r="P346" i="19"/>
  <c r="R350" i="19"/>
  <c r="P350" i="19"/>
  <c r="S334" i="19"/>
  <c r="T334" i="19" s="1"/>
  <c r="O334" i="19"/>
  <c r="P326" i="19"/>
  <c r="R326" i="19"/>
  <c r="S311" i="19"/>
  <c r="T311" i="19" s="1"/>
  <c r="O311" i="19"/>
  <c r="S295" i="19"/>
  <c r="T295" i="19" s="1"/>
  <c r="O295" i="19"/>
  <c r="S367" i="19"/>
  <c r="T367" i="19" s="1"/>
  <c r="O367" i="19"/>
  <c r="S310" i="19"/>
  <c r="T310" i="19" s="1"/>
  <c r="O310" i="19"/>
  <c r="S276" i="19"/>
  <c r="T276" i="19" s="1"/>
  <c r="O276" i="19"/>
  <c r="S312" i="19"/>
  <c r="T312" i="19" s="1"/>
  <c r="O312" i="19"/>
  <c r="S293" i="19"/>
  <c r="T293" i="19" s="1"/>
  <c r="O293" i="19"/>
  <c r="S335" i="19"/>
  <c r="T335" i="19" s="1"/>
  <c r="O335" i="19"/>
  <c r="S302" i="19"/>
  <c r="T302" i="19" s="1"/>
  <c r="O302" i="19"/>
  <c r="P282" i="19"/>
  <c r="R282" i="19"/>
  <c r="P289" i="19"/>
  <c r="P284" i="19"/>
  <c r="S275" i="19"/>
  <c r="T275" i="19" s="1"/>
  <c r="O275" i="19"/>
  <c r="O340" i="19"/>
  <c r="S340" i="19"/>
  <c r="T340" i="19" s="1"/>
  <c r="S298" i="19"/>
  <c r="T298" i="19" s="1"/>
  <c r="O298" i="19"/>
  <c r="S237" i="19"/>
  <c r="T237" i="19" s="1"/>
  <c r="O237" i="19"/>
  <c r="S221" i="19"/>
  <c r="T221" i="19" s="1"/>
  <c r="O221" i="19"/>
  <c r="S205" i="19"/>
  <c r="T205" i="19" s="1"/>
  <c r="O205" i="19"/>
  <c r="S253" i="19"/>
  <c r="T253" i="19" s="1"/>
  <c r="O253" i="19"/>
  <c r="S248" i="19"/>
  <c r="T248" i="19" s="1"/>
  <c r="O248" i="19"/>
  <c r="S216" i="19"/>
  <c r="T216" i="19" s="1"/>
  <c r="O216" i="19"/>
  <c r="R161" i="19"/>
  <c r="P161" i="19"/>
  <c r="S244" i="19"/>
  <c r="T244" i="19" s="1"/>
  <c r="O244" i="19"/>
  <c r="S212" i="19"/>
  <c r="T212" i="19" s="1"/>
  <c r="O212" i="19"/>
  <c r="S197" i="19"/>
  <c r="T197" i="19" s="1"/>
  <c r="O197" i="19"/>
  <c r="R135" i="19"/>
  <c r="P135" i="19"/>
  <c r="R112" i="19"/>
  <c r="S246" i="19"/>
  <c r="T246" i="19" s="1"/>
  <c r="O246" i="19"/>
  <c r="S227" i="19"/>
  <c r="T227" i="19" s="1"/>
  <c r="O227" i="19"/>
  <c r="S214" i="19"/>
  <c r="T214" i="19" s="1"/>
  <c r="O214" i="19"/>
  <c r="S191" i="19"/>
  <c r="T191" i="19" s="1"/>
  <c r="O191" i="19"/>
  <c r="S220" i="19"/>
  <c r="T220" i="19" s="1"/>
  <c r="O220" i="19"/>
  <c r="S201" i="19"/>
  <c r="T201" i="19" s="1"/>
  <c r="O201" i="19"/>
  <c r="S198" i="19"/>
  <c r="T198" i="19" s="1"/>
  <c r="O198" i="19"/>
  <c r="K147" i="19"/>
  <c r="J147" i="19"/>
  <c r="P140" i="19"/>
  <c r="R140" i="19"/>
  <c r="P136" i="19"/>
  <c r="R136" i="19"/>
  <c r="P128" i="19"/>
  <c r="R128" i="19"/>
  <c r="S107" i="19"/>
  <c r="T107" i="19" s="1"/>
  <c r="O107" i="19"/>
  <c r="S99" i="19"/>
  <c r="T99" i="19" s="1"/>
  <c r="O99" i="19"/>
  <c r="S158" i="19"/>
  <c r="T158" i="19" s="1"/>
  <c r="S182" i="19"/>
  <c r="T182" i="19" s="1"/>
  <c r="O182" i="19"/>
  <c r="S170" i="19"/>
  <c r="T170" i="19" s="1"/>
  <c r="O170" i="19"/>
  <c r="S157" i="19"/>
  <c r="T157" i="19" s="1"/>
  <c r="O157" i="19"/>
  <c r="S123" i="19"/>
  <c r="T123" i="19" s="1"/>
  <c r="O123" i="19"/>
  <c r="S102" i="19"/>
  <c r="T102" i="19" s="1"/>
  <c r="O102" i="19"/>
  <c r="S153" i="19"/>
  <c r="T153" i="19" s="1"/>
  <c r="O153" i="19"/>
  <c r="S93" i="19"/>
  <c r="T93" i="19" s="1"/>
  <c r="O93" i="19"/>
  <c r="S151" i="19"/>
  <c r="T151" i="19" s="1"/>
  <c r="O151" i="19"/>
  <c r="S147" i="19"/>
  <c r="T147" i="19" s="1"/>
  <c r="O147" i="19"/>
  <c r="S143" i="19"/>
  <c r="T143" i="19" s="1"/>
  <c r="O143" i="19"/>
  <c r="S124" i="19"/>
  <c r="T124" i="19" s="1"/>
  <c r="O124" i="19"/>
  <c r="S76" i="19"/>
  <c r="T76" i="19" s="1"/>
  <c r="O76" i="19"/>
  <c r="P59" i="19"/>
  <c r="R59" i="19"/>
  <c r="S51" i="19"/>
  <c r="T51" i="19" s="1"/>
  <c r="O51" i="19"/>
  <c r="S35" i="19"/>
  <c r="T35" i="19" s="1"/>
  <c r="O35" i="19"/>
  <c r="S19" i="19"/>
  <c r="T19" i="19" s="1"/>
  <c r="O19" i="19"/>
  <c r="S3" i="19"/>
  <c r="T3" i="19" s="1"/>
  <c r="O3" i="19"/>
  <c r="S48" i="19"/>
  <c r="T48" i="19" s="1"/>
  <c r="O48" i="19"/>
  <c r="S29" i="19"/>
  <c r="T29" i="19" s="1"/>
  <c r="O29" i="19"/>
  <c r="S16" i="19"/>
  <c r="T16" i="19" s="1"/>
  <c r="O16" i="19"/>
  <c r="S78" i="19"/>
  <c r="T78" i="19" s="1"/>
  <c r="O78" i="19"/>
  <c r="S73" i="19"/>
  <c r="T73" i="19" s="1"/>
  <c r="O73" i="19"/>
  <c r="S44" i="19"/>
  <c r="T44" i="19" s="1"/>
  <c r="O44" i="19"/>
  <c r="S25" i="19"/>
  <c r="T25" i="19" s="1"/>
  <c r="O25" i="19"/>
  <c r="S12" i="19"/>
  <c r="T12" i="19" s="1"/>
  <c r="O12" i="19"/>
  <c r="S77" i="19"/>
  <c r="T77" i="19" s="1"/>
  <c r="O77" i="19"/>
  <c r="S37" i="19"/>
  <c r="T37" i="19" s="1"/>
  <c r="O37" i="19"/>
  <c r="S24" i="19"/>
  <c r="T24" i="19" s="1"/>
  <c r="O24" i="19"/>
  <c r="S5" i="19"/>
  <c r="T5" i="19" s="1"/>
  <c r="O5" i="19"/>
  <c r="S55" i="19"/>
  <c r="T55" i="19" s="1"/>
  <c r="O55" i="19"/>
  <c r="S20" i="19"/>
  <c r="T20" i="19" s="1"/>
  <c r="O20" i="19"/>
  <c r="R83" i="19"/>
  <c r="P83" i="19"/>
  <c r="P84" i="19"/>
  <c r="R84" i="19"/>
  <c r="P90" i="19"/>
  <c r="R90" i="19"/>
  <c r="S70" i="19"/>
  <c r="T70" i="19" s="1"/>
  <c r="O70" i="19"/>
  <c r="S65" i="19"/>
  <c r="T65" i="19" s="1"/>
  <c r="O65" i="19"/>
  <c r="S49" i="19"/>
  <c r="T49" i="19" s="1"/>
  <c r="O49" i="19"/>
  <c r="S36" i="19"/>
  <c r="T36" i="19" s="1"/>
  <c r="O36" i="19"/>
  <c r="S17" i="19"/>
  <c r="T17" i="19" s="1"/>
  <c r="O17" i="19"/>
  <c r="X4" i="14"/>
  <c r="AI4" i="14" s="1"/>
  <c r="Y4" i="14"/>
  <c r="AJ4" i="14" s="1"/>
  <c r="Z4" i="14"/>
  <c r="AK4" i="14" s="1"/>
  <c r="AA4" i="14"/>
  <c r="AL4" i="14" s="1"/>
  <c r="AB4" i="14"/>
  <c r="AM4" i="14" s="1"/>
  <c r="AC4" i="14"/>
  <c r="AN4" i="14" s="1"/>
  <c r="AD4" i="14"/>
  <c r="AO4" i="14" s="1"/>
  <c r="AE4" i="14"/>
  <c r="AP4" i="14" s="1"/>
  <c r="AF4" i="14"/>
  <c r="AQ4" i="14" s="1"/>
  <c r="AG4" i="14"/>
  <c r="AR4" i="14" s="1"/>
  <c r="X5" i="14"/>
  <c r="AI5" i="14" s="1"/>
  <c r="Y5" i="14"/>
  <c r="AJ5" i="14" s="1"/>
  <c r="Z5" i="14"/>
  <c r="AK5" i="14" s="1"/>
  <c r="AA5" i="14"/>
  <c r="AL5" i="14" s="1"/>
  <c r="AB5" i="14"/>
  <c r="AM5" i="14" s="1"/>
  <c r="AC5" i="14"/>
  <c r="AN5" i="14" s="1"/>
  <c r="AD5" i="14"/>
  <c r="AO5" i="14" s="1"/>
  <c r="AE5" i="14"/>
  <c r="AP5" i="14" s="1"/>
  <c r="AF5" i="14"/>
  <c r="AQ5" i="14" s="1"/>
  <c r="AG5" i="14"/>
  <c r="AR5" i="14" s="1"/>
  <c r="X6" i="14"/>
  <c r="AI6" i="14" s="1"/>
  <c r="Y6" i="14"/>
  <c r="AJ6" i="14" s="1"/>
  <c r="Z6" i="14"/>
  <c r="AK6" i="14" s="1"/>
  <c r="AA6" i="14"/>
  <c r="AL6" i="14" s="1"/>
  <c r="AB6" i="14"/>
  <c r="AM6" i="14" s="1"/>
  <c r="AC6" i="14"/>
  <c r="AN6" i="14" s="1"/>
  <c r="AD6" i="14"/>
  <c r="AO6" i="14" s="1"/>
  <c r="AE6" i="14"/>
  <c r="AP6" i="14" s="1"/>
  <c r="AF6" i="14"/>
  <c r="AQ6" i="14" s="1"/>
  <c r="AG6" i="14"/>
  <c r="AR6" i="14" s="1"/>
  <c r="X7" i="14"/>
  <c r="AI7" i="14" s="1"/>
  <c r="Y7" i="14"/>
  <c r="AJ7" i="14" s="1"/>
  <c r="Z7" i="14"/>
  <c r="AK7" i="14" s="1"/>
  <c r="AA7" i="14"/>
  <c r="AL7" i="14" s="1"/>
  <c r="AB7" i="14"/>
  <c r="AM7" i="14" s="1"/>
  <c r="AC7" i="14"/>
  <c r="AN7" i="14" s="1"/>
  <c r="AD7" i="14"/>
  <c r="AO7" i="14" s="1"/>
  <c r="AE7" i="14"/>
  <c r="AP7" i="14" s="1"/>
  <c r="AF7" i="14"/>
  <c r="AQ7" i="14" s="1"/>
  <c r="AG7" i="14"/>
  <c r="AR7" i="14" s="1"/>
  <c r="X8" i="14"/>
  <c r="AI8" i="14" s="1"/>
  <c r="Y8" i="14"/>
  <c r="AJ8" i="14" s="1"/>
  <c r="Z8" i="14"/>
  <c r="AK8" i="14" s="1"/>
  <c r="AA8" i="14"/>
  <c r="AL8" i="14" s="1"/>
  <c r="AB8" i="14"/>
  <c r="AM8" i="14" s="1"/>
  <c r="AC8" i="14"/>
  <c r="AN8" i="14" s="1"/>
  <c r="AD8" i="14"/>
  <c r="AO8" i="14" s="1"/>
  <c r="AE8" i="14"/>
  <c r="AP8" i="14" s="1"/>
  <c r="AF8" i="14"/>
  <c r="AQ8" i="14" s="1"/>
  <c r="AG8" i="14"/>
  <c r="AR8" i="14" s="1"/>
  <c r="X9" i="14"/>
  <c r="AI9" i="14" s="1"/>
  <c r="Y9" i="14"/>
  <c r="AJ9" i="14" s="1"/>
  <c r="Z9" i="14"/>
  <c r="AK9" i="14" s="1"/>
  <c r="AA9" i="14"/>
  <c r="AL9" i="14" s="1"/>
  <c r="AB9" i="14"/>
  <c r="AM9" i="14" s="1"/>
  <c r="AC9" i="14"/>
  <c r="AN9" i="14" s="1"/>
  <c r="AD9" i="14"/>
  <c r="AO9" i="14" s="1"/>
  <c r="AE9" i="14"/>
  <c r="AP9" i="14" s="1"/>
  <c r="AF9" i="14"/>
  <c r="AQ9" i="14" s="1"/>
  <c r="AG9" i="14"/>
  <c r="AR9" i="14" s="1"/>
  <c r="X10" i="14"/>
  <c r="AI10" i="14" s="1"/>
  <c r="Y10" i="14"/>
  <c r="AJ10" i="14" s="1"/>
  <c r="Z10" i="14"/>
  <c r="AK10" i="14" s="1"/>
  <c r="AA10" i="14"/>
  <c r="AL10" i="14" s="1"/>
  <c r="AB10" i="14"/>
  <c r="AM10" i="14" s="1"/>
  <c r="AC10" i="14"/>
  <c r="AN10" i="14" s="1"/>
  <c r="AD10" i="14"/>
  <c r="AO10" i="14" s="1"/>
  <c r="AE10" i="14"/>
  <c r="AP10" i="14" s="1"/>
  <c r="AF10" i="14"/>
  <c r="AQ10" i="14" s="1"/>
  <c r="AG10" i="14"/>
  <c r="AR10" i="14" s="1"/>
  <c r="X11" i="14"/>
  <c r="AI11" i="14" s="1"/>
  <c r="Y11" i="14"/>
  <c r="AJ11" i="14" s="1"/>
  <c r="Z11" i="14"/>
  <c r="AK11" i="14" s="1"/>
  <c r="AA11" i="14"/>
  <c r="AL11" i="14" s="1"/>
  <c r="AB11" i="14"/>
  <c r="AM11" i="14" s="1"/>
  <c r="AC11" i="14"/>
  <c r="AN11" i="14" s="1"/>
  <c r="AD11" i="14"/>
  <c r="AO11" i="14" s="1"/>
  <c r="AE11" i="14"/>
  <c r="AP11" i="14" s="1"/>
  <c r="AF11" i="14"/>
  <c r="AQ11" i="14" s="1"/>
  <c r="AG11" i="14"/>
  <c r="AR11" i="14" s="1"/>
  <c r="X12" i="14"/>
  <c r="AI12" i="14" s="1"/>
  <c r="Y12" i="14"/>
  <c r="AJ12" i="14" s="1"/>
  <c r="Z12" i="14"/>
  <c r="AK12" i="14" s="1"/>
  <c r="AA12" i="14"/>
  <c r="AL12" i="14" s="1"/>
  <c r="AB12" i="14"/>
  <c r="AM12" i="14" s="1"/>
  <c r="AC12" i="14"/>
  <c r="AN12" i="14" s="1"/>
  <c r="AD12" i="14"/>
  <c r="AO12" i="14" s="1"/>
  <c r="AE12" i="14"/>
  <c r="AP12" i="14" s="1"/>
  <c r="AF12" i="14"/>
  <c r="AQ12" i="14" s="1"/>
  <c r="AG12" i="14"/>
  <c r="AR12" i="14" s="1"/>
  <c r="X13" i="14"/>
  <c r="AI13" i="14" s="1"/>
  <c r="Y13" i="14"/>
  <c r="AJ13" i="14" s="1"/>
  <c r="Z13" i="14"/>
  <c r="AK13" i="14" s="1"/>
  <c r="AA13" i="14"/>
  <c r="AL13" i="14" s="1"/>
  <c r="AB13" i="14"/>
  <c r="AM13" i="14" s="1"/>
  <c r="AC13" i="14"/>
  <c r="AN13" i="14" s="1"/>
  <c r="AD13" i="14"/>
  <c r="AO13" i="14" s="1"/>
  <c r="AE13" i="14"/>
  <c r="AP13" i="14" s="1"/>
  <c r="AF13" i="14"/>
  <c r="AQ13" i="14" s="1"/>
  <c r="AG13" i="14"/>
  <c r="AR13" i="14" s="1"/>
  <c r="X14" i="14"/>
  <c r="AI14" i="14" s="1"/>
  <c r="Y14" i="14"/>
  <c r="AJ14" i="14" s="1"/>
  <c r="Z14" i="14"/>
  <c r="AK14" i="14" s="1"/>
  <c r="AA14" i="14"/>
  <c r="AL14" i="14" s="1"/>
  <c r="AB14" i="14"/>
  <c r="AM14" i="14" s="1"/>
  <c r="AC14" i="14"/>
  <c r="AN14" i="14" s="1"/>
  <c r="AD14" i="14"/>
  <c r="AO14" i="14" s="1"/>
  <c r="AE14" i="14"/>
  <c r="AP14" i="14" s="1"/>
  <c r="AF14" i="14"/>
  <c r="AQ14" i="14" s="1"/>
  <c r="AG14" i="14"/>
  <c r="AR14" i="14" s="1"/>
  <c r="X15" i="14"/>
  <c r="AI15" i="14" s="1"/>
  <c r="Y15" i="14"/>
  <c r="AJ15" i="14" s="1"/>
  <c r="Z15" i="14"/>
  <c r="AK15" i="14" s="1"/>
  <c r="AA15" i="14"/>
  <c r="AL15" i="14" s="1"/>
  <c r="AB15" i="14"/>
  <c r="AM15" i="14" s="1"/>
  <c r="AC15" i="14"/>
  <c r="AN15" i="14" s="1"/>
  <c r="AD15" i="14"/>
  <c r="AO15" i="14" s="1"/>
  <c r="AE15" i="14"/>
  <c r="AP15" i="14" s="1"/>
  <c r="AF15" i="14"/>
  <c r="AQ15" i="14" s="1"/>
  <c r="AG15" i="14"/>
  <c r="AR15" i="14" s="1"/>
  <c r="X16" i="14"/>
  <c r="AI16" i="14" s="1"/>
  <c r="Y16" i="14"/>
  <c r="AJ16" i="14" s="1"/>
  <c r="Z16" i="14"/>
  <c r="AK16" i="14" s="1"/>
  <c r="AA16" i="14"/>
  <c r="AL16" i="14" s="1"/>
  <c r="AB16" i="14"/>
  <c r="AM16" i="14" s="1"/>
  <c r="AC16" i="14"/>
  <c r="AN16" i="14" s="1"/>
  <c r="AD16" i="14"/>
  <c r="AO16" i="14" s="1"/>
  <c r="AE16" i="14"/>
  <c r="AP16" i="14" s="1"/>
  <c r="AF16" i="14"/>
  <c r="AQ16" i="14" s="1"/>
  <c r="AG16" i="14"/>
  <c r="AR16" i="14" s="1"/>
  <c r="X17" i="14"/>
  <c r="AI17" i="14" s="1"/>
  <c r="Y17" i="14"/>
  <c r="AJ17" i="14" s="1"/>
  <c r="Z17" i="14"/>
  <c r="AK17" i="14" s="1"/>
  <c r="AA17" i="14"/>
  <c r="AL17" i="14" s="1"/>
  <c r="AB17" i="14"/>
  <c r="AM17" i="14" s="1"/>
  <c r="AC17" i="14"/>
  <c r="AN17" i="14" s="1"/>
  <c r="AD17" i="14"/>
  <c r="AO17" i="14" s="1"/>
  <c r="AE17" i="14"/>
  <c r="AP17" i="14" s="1"/>
  <c r="AF17" i="14"/>
  <c r="AQ17" i="14" s="1"/>
  <c r="AG17" i="14"/>
  <c r="AR17" i="14" s="1"/>
  <c r="X18" i="14"/>
  <c r="AI18" i="14" s="1"/>
  <c r="Y18" i="14"/>
  <c r="AJ18" i="14" s="1"/>
  <c r="Z18" i="14"/>
  <c r="AK18" i="14" s="1"/>
  <c r="AA18" i="14"/>
  <c r="AL18" i="14" s="1"/>
  <c r="AB18" i="14"/>
  <c r="AM18" i="14" s="1"/>
  <c r="AC18" i="14"/>
  <c r="AN18" i="14" s="1"/>
  <c r="AD18" i="14"/>
  <c r="AO18" i="14" s="1"/>
  <c r="AE18" i="14"/>
  <c r="AP18" i="14" s="1"/>
  <c r="AF18" i="14"/>
  <c r="AQ18" i="14" s="1"/>
  <c r="AG18" i="14"/>
  <c r="AR18" i="14" s="1"/>
  <c r="X19" i="14"/>
  <c r="AI19" i="14" s="1"/>
  <c r="Y19" i="14"/>
  <c r="AJ19" i="14" s="1"/>
  <c r="Z19" i="14"/>
  <c r="AK19" i="14" s="1"/>
  <c r="AA19" i="14"/>
  <c r="AL19" i="14" s="1"/>
  <c r="AB19" i="14"/>
  <c r="AM19" i="14" s="1"/>
  <c r="AC19" i="14"/>
  <c r="AN19" i="14" s="1"/>
  <c r="AD19" i="14"/>
  <c r="AO19" i="14" s="1"/>
  <c r="AE19" i="14"/>
  <c r="AP19" i="14" s="1"/>
  <c r="AF19" i="14"/>
  <c r="AQ19" i="14" s="1"/>
  <c r="AG19" i="14"/>
  <c r="AR19" i="14" s="1"/>
  <c r="X20" i="14"/>
  <c r="AI20" i="14" s="1"/>
  <c r="Y20" i="14"/>
  <c r="AJ20" i="14" s="1"/>
  <c r="Z20" i="14"/>
  <c r="AK20" i="14" s="1"/>
  <c r="AA20" i="14"/>
  <c r="AL20" i="14" s="1"/>
  <c r="AB20" i="14"/>
  <c r="AM20" i="14" s="1"/>
  <c r="AC20" i="14"/>
  <c r="AN20" i="14" s="1"/>
  <c r="AD20" i="14"/>
  <c r="AO20" i="14" s="1"/>
  <c r="AE20" i="14"/>
  <c r="AP20" i="14" s="1"/>
  <c r="AF20" i="14"/>
  <c r="AQ20" i="14" s="1"/>
  <c r="AG20" i="14"/>
  <c r="AR20" i="14" s="1"/>
  <c r="X21" i="14"/>
  <c r="AI21" i="14" s="1"/>
  <c r="Y21" i="14"/>
  <c r="AJ21" i="14" s="1"/>
  <c r="Z21" i="14"/>
  <c r="AK21" i="14" s="1"/>
  <c r="AA21" i="14"/>
  <c r="AL21" i="14" s="1"/>
  <c r="AB21" i="14"/>
  <c r="AM21" i="14" s="1"/>
  <c r="AC21" i="14"/>
  <c r="AN21" i="14" s="1"/>
  <c r="AD21" i="14"/>
  <c r="AO21" i="14" s="1"/>
  <c r="AE21" i="14"/>
  <c r="AP21" i="14" s="1"/>
  <c r="AF21" i="14"/>
  <c r="AQ21" i="14" s="1"/>
  <c r="AG21" i="14"/>
  <c r="AR21" i="14" s="1"/>
  <c r="X22" i="14"/>
  <c r="AI22" i="14" s="1"/>
  <c r="Y22" i="14"/>
  <c r="AJ22" i="14" s="1"/>
  <c r="Z22" i="14"/>
  <c r="AK22" i="14" s="1"/>
  <c r="AA22" i="14"/>
  <c r="AL22" i="14" s="1"/>
  <c r="AB22" i="14"/>
  <c r="AM22" i="14" s="1"/>
  <c r="AC22" i="14"/>
  <c r="AN22" i="14" s="1"/>
  <c r="AD22" i="14"/>
  <c r="AO22" i="14" s="1"/>
  <c r="AE22" i="14"/>
  <c r="AP22" i="14" s="1"/>
  <c r="AF22" i="14"/>
  <c r="AQ22" i="14" s="1"/>
  <c r="AG22" i="14"/>
  <c r="AR22" i="14" s="1"/>
  <c r="X23" i="14"/>
  <c r="AI23" i="14" s="1"/>
  <c r="Y23" i="14"/>
  <c r="AJ23" i="14" s="1"/>
  <c r="Z23" i="14"/>
  <c r="AK23" i="14" s="1"/>
  <c r="AA23" i="14"/>
  <c r="AL23" i="14" s="1"/>
  <c r="AB23" i="14"/>
  <c r="AM23" i="14" s="1"/>
  <c r="AC23" i="14"/>
  <c r="AN23" i="14" s="1"/>
  <c r="AD23" i="14"/>
  <c r="AO23" i="14" s="1"/>
  <c r="AE23" i="14"/>
  <c r="AP23" i="14" s="1"/>
  <c r="AF23" i="14"/>
  <c r="AQ23" i="14" s="1"/>
  <c r="AG23" i="14"/>
  <c r="AR23" i="14" s="1"/>
  <c r="X24" i="14"/>
  <c r="AI24" i="14" s="1"/>
  <c r="Y24" i="14"/>
  <c r="AJ24" i="14" s="1"/>
  <c r="Z24" i="14"/>
  <c r="AK24" i="14" s="1"/>
  <c r="AA24" i="14"/>
  <c r="AL24" i="14" s="1"/>
  <c r="AB24" i="14"/>
  <c r="AM24" i="14" s="1"/>
  <c r="AC24" i="14"/>
  <c r="AN24" i="14" s="1"/>
  <c r="AD24" i="14"/>
  <c r="AO24" i="14" s="1"/>
  <c r="AE24" i="14"/>
  <c r="AP24" i="14" s="1"/>
  <c r="AF24" i="14"/>
  <c r="AQ24" i="14" s="1"/>
  <c r="AG24" i="14"/>
  <c r="AR24" i="14" s="1"/>
  <c r="X25" i="14"/>
  <c r="AI25" i="14" s="1"/>
  <c r="Y25" i="14"/>
  <c r="AJ25" i="14" s="1"/>
  <c r="Z25" i="14"/>
  <c r="AK25" i="14" s="1"/>
  <c r="AA25" i="14"/>
  <c r="AL25" i="14" s="1"/>
  <c r="AB25" i="14"/>
  <c r="AM25" i="14" s="1"/>
  <c r="AC25" i="14"/>
  <c r="AN25" i="14" s="1"/>
  <c r="AD25" i="14"/>
  <c r="AO25" i="14" s="1"/>
  <c r="AE25" i="14"/>
  <c r="AP25" i="14" s="1"/>
  <c r="AF25" i="14"/>
  <c r="AQ25" i="14" s="1"/>
  <c r="AG25" i="14"/>
  <c r="AR25" i="14" s="1"/>
  <c r="X26" i="14"/>
  <c r="AI26" i="14" s="1"/>
  <c r="Y26" i="14"/>
  <c r="AJ26" i="14" s="1"/>
  <c r="Z26" i="14"/>
  <c r="AK26" i="14" s="1"/>
  <c r="AA26" i="14"/>
  <c r="AL26" i="14" s="1"/>
  <c r="AB26" i="14"/>
  <c r="AM26" i="14" s="1"/>
  <c r="AC26" i="14"/>
  <c r="AN26" i="14" s="1"/>
  <c r="AD26" i="14"/>
  <c r="AO26" i="14" s="1"/>
  <c r="AE26" i="14"/>
  <c r="AP26" i="14" s="1"/>
  <c r="AF26" i="14"/>
  <c r="AQ26" i="14" s="1"/>
  <c r="AG26" i="14"/>
  <c r="AR26" i="14" s="1"/>
  <c r="X27" i="14"/>
  <c r="AI27" i="14" s="1"/>
  <c r="Y27" i="14"/>
  <c r="AJ27" i="14" s="1"/>
  <c r="Z27" i="14"/>
  <c r="AK27" i="14" s="1"/>
  <c r="AA27" i="14"/>
  <c r="AL27" i="14" s="1"/>
  <c r="AB27" i="14"/>
  <c r="AM27" i="14" s="1"/>
  <c r="AC27" i="14"/>
  <c r="AN27" i="14" s="1"/>
  <c r="AD27" i="14"/>
  <c r="AO27" i="14" s="1"/>
  <c r="AE27" i="14"/>
  <c r="AP27" i="14" s="1"/>
  <c r="AF27" i="14"/>
  <c r="AQ27" i="14" s="1"/>
  <c r="AG27" i="14"/>
  <c r="AR27" i="14" s="1"/>
  <c r="X28" i="14"/>
  <c r="AI28" i="14" s="1"/>
  <c r="Y28" i="14"/>
  <c r="AJ28" i="14" s="1"/>
  <c r="Z28" i="14"/>
  <c r="AK28" i="14" s="1"/>
  <c r="AA28" i="14"/>
  <c r="AL28" i="14" s="1"/>
  <c r="AB28" i="14"/>
  <c r="AM28" i="14" s="1"/>
  <c r="AC28" i="14"/>
  <c r="AN28" i="14" s="1"/>
  <c r="AD28" i="14"/>
  <c r="AO28" i="14" s="1"/>
  <c r="AE28" i="14"/>
  <c r="AP28" i="14" s="1"/>
  <c r="AF28" i="14"/>
  <c r="AQ28" i="14" s="1"/>
  <c r="AG28" i="14"/>
  <c r="AR28" i="14" s="1"/>
  <c r="X29" i="14"/>
  <c r="AI29" i="14" s="1"/>
  <c r="Y29" i="14"/>
  <c r="AJ29" i="14" s="1"/>
  <c r="Z29" i="14"/>
  <c r="AK29" i="14" s="1"/>
  <c r="AA29" i="14"/>
  <c r="AL29" i="14" s="1"/>
  <c r="AB29" i="14"/>
  <c r="AM29" i="14" s="1"/>
  <c r="AC29" i="14"/>
  <c r="AN29" i="14" s="1"/>
  <c r="AD29" i="14"/>
  <c r="AO29" i="14" s="1"/>
  <c r="AE29" i="14"/>
  <c r="AP29" i="14" s="1"/>
  <c r="AF29" i="14"/>
  <c r="AQ29" i="14" s="1"/>
  <c r="AG29" i="14"/>
  <c r="AR29" i="14" s="1"/>
  <c r="X30" i="14"/>
  <c r="AI30" i="14" s="1"/>
  <c r="Y30" i="14"/>
  <c r="AJ30" i="14" s="1"/>
  <c r="Z30" i="14"/>
  <c r="AK30" i="14" s="1"/>
  <c r="AA30" i="14"/>
  <c r="AL30" i="14" s="1"/>
  <c r="AB30" i="14"/>
  <c r="AM30" i="14" s="1"/>
  <c r="AC30" i="14"/>
  <c r="AN30" i="14" s="1"/>
  <c r="AD30" i="14"/>
  <c r="AO30" i="14" s="1"/>
  <c r="AE30" i="14"/>
  <c r="AP30" i="14" s="1"/>
  <c r="AF30" i="14"/>
  <c r="AQ30" i="14" s="1"/>
  <c r="AG30" i="14"/>
  <c r="AR30" i="14" s="1"/>
  <c r="X31" i="14"/>
  <c r="AI31" i="14" s="1"/>
  <c r="Y31" i="14"/>
  <c r="AJ31" i="14" s="1"/>
  <c r="Z31" i="14"/>
  <c r="AK31" i="14" s="1"/>
  <c r="AA31" i="14"/>
  <c r="AL31" i="14" s="1"/>
  <c r="AB31" i="14"/>
  <c r="AM31" i="14" s="1"/>
  <c r="AC31" i="14"/>
  <c r="AN31" i="14" s="1"/>
  <c r="AD31" i="14"/>
  <c r="AO31" i="14" s="1"/>
  <c r="AE31" i="14"/>
  <c r="AP31" i="14" s="1"/>
  <c r="AF31" i="14"/>
  <c r="AQ31" i="14" s="1"/>
  <c r="AG31" i="14"/>
  <c r="AR31" i="14" s="1"/>
  <c r="X32" i="14"/>
  <c r="AI32" i="14" s="1"/>
  <c r="Y32" i="14"/>
  <c r="AJ32" i="14" s="1"/>
  <c r="Z32" i="14"/>
  <c r="AK32" i="14" s="1"/>
  <c r="AA32" i="14"/>
  <c r="AL32" i="14" s="1"/>
  <c r="AB32" i="14"/>
  <c r="AM32" i="14" s="1"/>
  <c r="AC32" i="14"/>
  <c r="AN32" i="14" s="1"/>
  <c r="AD32" i="14"/>
  <c r="AO32" i="14" s="1"/>
  <c r="AE32" i="14"/>
  <c r="AP32" i="14" s="1"/>
  <c r="AF32" i="14"/>
  <c r="AQ32" i="14" s="1"/>
  <c r="AG32" i="14"/>
  <c r="AR32" i="14" s="1"/>
  <c r="X33" i="14"/>
  <c r="AI33" i="14" s="1"/>
  <c r="Y33" i="14"/>
  <c r="AJ33" i="14" s="1"/>
  <c r="Z33" i="14"/>
  <c r="AK33" i="14" s="1"/>
  <c r="AA33" i="14"/>
  <c r="AL33" i="14" s="1"/>
  <c r="AB33" i="14"/>
  <c r="AM33" i="14" s="1"/>
  <c r="AC33" i="14"/>
  <c r="AN33" i="14" s="1"/>
  <c r="AD33" i="14"/>
  <c r="AO33" i="14" s="1"/>
  <c r="AE33" i="14"/>
  <c r="AP33" i="14" s="1"/>
  <c r="AF33" i="14"/>
  <c r="AQ33" i="14" s="1"/>
  <c r="AG33" i="14"/>
  <c r="AR33" i="14" s="1"/>
  <c r="X34" i="14"/>
  <c r="AI34" i="14" s="1"/>
  <c r="Y34" i="14"/>
  <c r="AJ34" i="14" s="1"/>
  <c r="Z34" i="14"/>
  <c r="AK34" i="14" s="1"/>
  <c r="AA34" i="14"/>
  <c r="AL34" i="14" s="1"/>
  <c r="AB34" i="14"/>
  <c r="AM34" i="14" s="1"/>
  <c r="AC34" i="14"/>
  <c r="AN34" i="14" s="1"/>
  <c r="AD34" i="14"/>
  <c r="AO34" i="14" s="1"/>
  <c r="AE34" i="14"/>
  <c r="AP34" i="14" s="1"/>
  <c r="AF34" i="14"/>
  <c r="AQ34" i="14" s="1"/>
  <c r="AG34" i="14"/>
  <c r="AR34" i="14" s="1"/>
  <c r="X35" i="14"/>
  <c r="AI35" i="14" s="1"/>
  <c r="Y35" i="14"/>
  <c r="AJ35" i="14" s="1"/>
  <c r="Z35" i="14"/>
  <c r="AK35" i="14" s="1"/>
  <c r="AA35" i="14"/>
  <c r="AL35" i="14" s="1"/>
  <c r="AB35" i="14"/>
  <c r="AM35" i="14" s="1"/>
  <c r="AC35" i="14"/>
  <c r="AN35" i="14" s="1"/>
  <c r="AD35" i="14"/>
  <c r="AO35" i="14" s="1"/>
  <c r="AE35" i="14"/>
  <c r="AP35" i="14" s="1"/>
  <c r="AF35" i="14"/>
  <c r="AQ35" i="14" s="1"/>
  <c r="AG35" i="14"/>
  <c r="AR35" i="14" s="1"/>
  <c r="X36" i="14"/>
  <c r="AI36" i="14" s="1"/>
  <c r="Y36" i="14"/>
  <c r="AJ36" i="14" s="1"/>
  <c r="Z36" i="14"/>
  <c r="AK36" i="14" s="1"/>
  <c r="AA36" i="14"/>
  <c r="AL36" i="14" s="1"/>
  <c r="AB36" i="14"/>
  <c r="AM36" i="14" s="1"/>
  <c r="AC36" i="14"/>
  <c r="AN36" i="14" s="1"/>
  <c r="AD36" i="14"/>
  <c r="AO36" i="14" s="1"/>
  <c r="AE36" i="14"/>
  <c r="AP36" i="14" s="1"/>
  <c r="AF36" i="14"/>
  <c r="AQ36" i="14" s="1"/>
  <c r="AG36" i="14"/>
  <c r="AR36" i="14" s="1"/>
  <c r="X37" i="14"/>
  <c r="AI37" i="14" s="1"/>
  <c r="Y37" i="14"/>
  <c r="AJ37" i="14" s="1"/>
  <c r="Z37" i="14"/>
  <c r="AK37" i="14" s="1"/>
  <c r="AA37" i="14"/>
  <c r="AL37" i="14" s="1"/>
  <c r="AB37" i="14"/>
  <c r="AM37" i="14" s="1"/>
  <c r="AC37" i="14"/>
  <c r="AN37" i="14" s="1"/>
  <c r="AD37" i="14"/>
  <c r="AO37" i="14" s="1"/>
  <c r="AE37" i="14"/>
  <c r="AP37" i="14" s="1"/>
  <c r="AF37" i="14"/>
  <c r="AQ37" i="14" s="1"/>
  <c r="AG37" i="14"/>
  <c r="AR37" i="14" s="1"/>
  <c r="X38" i="14"/>
  <c r="AI38" i="14" s="1"/>
  <c r="Y38" i="14"/>
  <c r="AJ38" i="14" s="1"/>
  <c r="Z38" i="14"/>
  <c r="AK38" i="14" s="1"/>
  <c r="AA38" i="14"/>
  <c r="AL38" i="14" s="1"/>
  <c r="AB38" i="14"/>
  <c r="AM38" i="14" s="1"/>
  <c r="AC38" i="14"/>
  <c r="AN38" i="14" s="1"/>
  <c r="AD38" i="14"/>
  <c r="AO38" i="14" s="1"/>
  <c r="AE38" i="14"/>
  <c r="AP38" i="14" s="1"/>
  <c r="AF38" i="14"/>
  <c r="AQ38" i="14" s="1"/>
  <c r="AG38" i="14"/>
  <c r="AR38" i="14" s="1"/>
  <c r="X39" i="14"/>
  <c r="AI39" i="14" s="1"/>
  <c r="Y39" i="14"/>
  <c r="AJ39" i="14" s="1"/>
  <c r="Z39" i="14"/>
  <c r="AK39" i="14" s="1"/>
  <c r="AA39" i="14"/>
  <c r="AL39" i="14" s="1"/>
  <c r="AB39" i="14"/>
  <c r="AM39" i="14" s="1"/>
  <c r="AC39" i="14"/>
  <c r="AN39" i="14" s="1"/>
  <c r="AD39" i="14"/>
  <c r="AO39" i="14" s="1"/>
  <c r="AE39" i="14"/>
  <c r="AP39" i="14" s="1"/>
  <c r="AF39" i="14"/>
  <c r="AQ39" i="14" s="1"/>
  <c r="AG39" i="14"/>
  <c r="AR39" i="14" s="1"/>
  <c r="X40" i="14"/>
  <c r="AI40" i="14" s="1"/>
  <c r="Y40" i="14"/>
  <c r="AJ40" i="14" s="1"/>
  <c r="Z40" i="14"/>
  <c r="AK40" i="14" s="1"/>
  <c r="AA40" i="14"/>
  <c r="AL40" i="14" s="1"/>
  <c r="AB40" i="14"/>
  <c r="AM40" i="14" s="1"/>
  <c r="AC40" i="14"/>
  <c r="AN40" i="14" s="1"/>
  <c r="AD40" i="14"/>
  <c r="AO40" i="14" s="1"/>
  <c r="AE40" i="14"/>
  <c r="AP40" i="14" s="1"/>
  <c r="AF40" i="14"/>
  <c r="AQ40" i="14" s="1"/>
  <c r="AG40" i="14"/>
  <c r="AR40" i="14" s="1"/>
  <c r="X41" i="14"/>
  <c r="AI41" i="14" s="1"/>
  <c r="Y41" i="14"/>
  <c r="AJ41" i="14" s="1"/>
  <c r="Z41" i="14"/>
  <c r="AK41" i="14" s="1"/>
  <c r="AA41" i="14"/>
  <c r="AL41" i="14" s="1"/>
  <c r="AB41" i="14"/>
  <c r="AM41" i="14" s="1"/>
  <c r="AC41" i="14"/>
  <c r="AN41" i="14" s="1"/>
  <c r="AD41" i="14"/>
  <c r="AO41" i="14" s="1"/>
  <c r="AE41" i="14"/>
  <c r="AP41" i="14" s="1"/>
  <c r="AF41" i="14"/>
  <c r="AQ41" i="14" s="1"/>
  <c r="AG41" i="14"/>
  <c r="AR41" i="14" s="1"/>
  <c r="X42" i="14"/>
  <c r="AI42" i="14" s="1"/>
  <c r="Y42" i="14"/>
  <c r="AJ42" i="14" s="1"/>
  <c r="Z42" i="14"/>
  <c r="AK42" i="14" s="1"/>
  <c r="AA42" i="14"/>
  <c r="AL42" i="14" s="1"/>
  <c r="AB42" i="14"/>
  <c r="AM42" i="14" s="1"/>
  <c r="AC42" i="14"/>
  <c r="AN42" i="14" s="1"/>
  <c r="AD42" i="14"/>
  <c r="AO42" i="14" s="1"/>
  <c r="AE42" i="14"/>
  <c r="AP42" i="14" s="1"/>
  <c r="AF42" i="14"/>
  <c r="AQ42" i="14" s="1"/>
  <c r="AG42" i="14"/>
  <c r="AR42" i="14" s="1"/>
  <c r="X43" i="14"/>
  <c r="AI43" i="14" s="1"/>
  <c r="Y43" i="14"/>
  <c r="AJ43" i="14" s="1"/>
  <c r="Z43" i="14"/>
  <c r="AK43" i="14" s="1"/>
  <c r="AA43" i="14"/>
  <c r="AL43" i="14" s="1"/>
  <c r="AB43" i="14"/>
  <c r="AM43" i="14" s="1"/>
  <c r="AC43" i="14"/>
  <c r="AN43" i="14" s="1"/>
  <c r="AD43" i="14"/>
  <c r="AO43" i="14" s="1"/>
  <c r="AE43" i="14"/>
  <c r="AP43" i="14" s="1"/>
  <c r="AF43" i="14"/>
  <c r="AQ43" i="14" s="1"/>
  <c r="AG43" i="14"/>
  <c r="AR43" i="14" s="1"/>
  <c r="X44" i="14"/>
  <c r="AI44" i="14" s="1"/>
  <c r="Y44" i="14"/>
  <c r="AJ44" i="14" s="1"/>
  <c r="Z44" i="14"/>
  <c r="AK44" i="14" s="1"/>
  <c r="AA44" i="14"/>
  <c r="AL44" i="14" s="1"/>
  <c r="AB44" i="14"/>
  <c r="AM44" i="14" s="1"/>
  <c r="AC44" i="14"/>
  <c r="AN44" i="14" s="1"/>
  <c r="AD44" i="14"/>
  <c r="AO44" i="14" s="1"/>
  <c r="AE44" i="14"/>
  <c r="AP44" i="14" s="1"/>
  <c r="AF44" i="14"/>
  <c r="AQ44" i="14" s="1"/>
  <c r="AG44" i="14"/>
  <c r="AR44" i="14" s="1"/>
  <c r="X45" i="14"/>
  <c r="AI45" i="14" s="1"/>
  <c r="Y45" i="14"/>
  <c r="AJ45" i="14" s="1"/>
  <c r="Z45" i="14"/>
  <c r="AK45" i="14" s="1"/>
  <c r="AA45" i="14"/>
  <c r="AL45" i="14" s="1"/>
  <c r="AB45" i="14"/>
  <c r="AM45" i="14" s="1"/>
  <c r="AC45" i="14"/>
  <c r="AN45" i="14" s="1"/>
  <c r="AD45" i="14"/>
  <c r="AO45" i="14" s="1"/>
  <c r="AE45" i="14"/>
  <c r="AP45" i="14" s="1"/>
  <c r="AF45" i="14"/>
  <c r="AQ45" i="14" s="1"/>
  <c r="AG45" i="14"/>
  <c r="AR45" i="14" s="1"/>
  <c r="X46" i="14"/>
  <c r="AI46" i="14" s="1"/>
  <c r="Y46" i="14"/>
  <c r="AJ46" i="14" s="1"/>
  <c r="Z46" i="14"/>
  <c r="AK46" i="14" s="1"/>
  <c r="AA46" i="14"/>
  <c r="AL46" i="14" s="1"/>
  <c r="AB46" i="14"/>
  <c r="AM46" i="14" s="1"/>
  <c r="AC46" i="14"/>
  <c r="AN46" i="14" s="1"/>
  <c r="AD46" i="14"/>
  <c r="AO46" i="14" s="1"/>
  <c r="AE46" i="14"/>
  <c r="AP46" i="14" s="1"/>
  <c r="AF46" i="14"/>
  <c r="AQ46" i="14" s="1"/>
  <c r="AG46" i="14"/>
  <c r="AR46" i="14" s="1"/>
  <c r="X47" i="14"/>
  <c r="AI47" i="14" s="1"/>
  <c r="Y47" i="14"/>
  <c r="AJ47" i="14" s="1"/>
  <c r="Z47" i="14"/>
  <c r="AK47" i="14" s="1"/>
  <c r="AA47" i="14"/>
  <c r="AL47" i="14" s="1"/>
  <c r="AB47" i="14"/>
  <c r="AM47" i="14" s="1"/>
  <c r="AC47" i="14"/>
  <c r="AN47" i="14" s="1"/>
  <c r="AD47" i="14"/>
  <c r="AO47" i="14" s="1"/>
  <c r="AE47" i="14"/>
  <c r="AP47" i="14" s="1"/>
  <c r="AF47" i="14"/>
  <c r="AQ47" i="14" s="1"/>
  <c r="AG47" i="14"/>
  <c r="AR47" i="14" s="1"/>
  <c r="X48" i="14"/>
  <c r="AI48" i="14" s="1"/>
  <c r="Y48" i="14"/>
  <c r="AJ48" i="14" s="1"/>
  <c r="Z48" i="14"/>
  <c r="AK48" i="14" s="1"/>
  <c r="AA48" i="14"/>
  <c r="AL48" i="14" s="1"/>
  <c r="AB48" i="14"/>
  <c r="AM48" i="14" s="1"/>
  <c r="AC48" i="14"/>
  <c r="AN48" i="14" s="1"/>
  <c r="AD48" i="14"/>
  <c r="AO48" i="14" s="1"/>
  <c r="AE48" i="14"/>
  <c r="AP48" i="14" s="1"/>
  <c r="AF48" i="14"/>
  <c r="AQ48" i="14" s="1"/>
  <c r="AG48" i="14"/>
  <c r="AR48" i="14" s="1"/>
  <c r="X49" i="14"/>
  <c r="AI49" i="14" s="1"/>
  <c r="Y49" i="14"/>
  <c r="AJ49" i="14" s="1"/>
  <c r="Z49" i="14"/>
  <c r="AK49" i="14" s="1"/>
  <c r="AA49" i="14"/>
  <c r="AL49" i="14" s="1"/>
  <c r="AB49" i="14"/>
  <c r="AM49" i="14" s="1"/>
  <c r="AC49" i="14"/>
  <c r="AN49" i="14" s="1"/>
  <c r="AD49" i="14"/>
  <c r="AO49" i="14" s="1"/>
  <c r="AE49" i="14"/>
  <c r="AP49" i="14" s="1"/>
  <c r="AF49" i="14"/>
  <c r="AQ49" i="14" s="1"/>
  <c r="AG49" i="14"/>
  <c r="AR49" i="14" s="1"/>
  <c r="X50" i="14"/>
  <c r="AI50" i="14" s="1"/>
  <c r="Y50" i="14"/>
  <c r="AJ50" i="14" s="1"/>
  <c r="Z50" i="14"/>
  <c r="AK50" i="14" s="1"/>
  <c r="AA50" i="14"/>
  <c r="AL50" i="14" s="1"/>
  <c r="AB50" i="14"/>
  <c r="AM50" i="14" s="1"/>
  <c r="AC50" i="14"/>
  <c r="AN50" i="14" s="1"/>
  <c r="AD50" i="14"/>
  <c r="AO50" i="14" s="1"/>
  <c r="AE50" i="14"/>
  <c r="AP50" i="14" s="1"/>
  <c r="AF50" i="14"/>
  <c r="AQ50" i="14" s="1"/>
  <c r="AG50" i="14"/>
  <c r="AR50" i="14" s="1"/>
  <c r="X51" i="14"/>
  <c r="AI51" i="14" s="1"/>
  <c r="Y51" i="14"/>
  <c r="AJ51" i="14" s="1"/>
  <c r="Z51" i="14"/>
  <c r="AK51" i="14" s="1"/>
  <c r="AA51" i="14"/>
  <c r="AL51" i="14" s="1"/>
  <c r="AB51" i="14"/>
  <c r="AM51" i="14" s="1"/>
  <c r="AC51" i="14"/>
  <c r="AN51" i="14" s="1"/>
  <c r="AD51" i="14"/>
  <c r="AO51" i="14" s="1"/>
  <c r="AE51" i="14"/>
  <c r="AP51" i="14" s="1"/>
  <c r="AF51" i="14"/>
  <c r="AQ51" i="14" s="1"/>
  <c r="AG51" i="14"/>
  <c r="AR51" i="14" s="1"/>
  <c r="X52" i="14"/>
  <c r="AI52" i="14" s="1"/>
  <c r="Y52" i="14"/>
  <c r="AJ52" i="14" s="1"/>
  <c r="Z52" i="14"/>
  <c r="AK52" i="14" s="1"/>
  <c r="AA52" i="14"/>
  <c r="AL52" i="14" s="1"/>
  <c r="AB52" i="14"/>
  <c r="AM52" i="14" s="1"/>
  <c r="AC52" i="14"/>
  <c r="AN52" i="14" s="1"/>
  <c r="AD52" i="14"/>
  <c r="AO52" i="14" s="1"/>
  <c r="AE52" i="14"/>
  <c r="AP52" i="14" s="1"/>
  <c r="AF52" i="14"/>
  <c r="AQ52" i="14" s="1"/>
  <c r="AG52" i="14"/>
  <c r="AR52" i="14" s="1"/>
  <c r="X53" i="14"/>
  <c r="AI53" i="14" s="1"/>
  <c r="Y53" i="14"/>
  <c r="AJ53" i="14" s="1"/>
  <c r="Z53" i="14"/>
  <c r="AK53" i="14" s="1"/>
  <c r="AA53" i="14"/>
  <c r="AL53" i="14" s="1"/>
  <c r="AB53" i="14"/>
  <c r="AM53" i="14" s="1"/>
  <c r="AC53" i="14"/>
  <c r="AN53" i="14" s="1"/>
  <c r="AD53" i="14"/>
  <c r="AO53" i="14" s="1"/>
  <c r="AE53" i="14"/>
  <c r="AP53" i="14" s="1"/>
  <c r="AF53" i="14"/>
  <c r="AQ53" i="14" s="1"/>
  <c r="AG53" i="14"/>
  <c r="AR53" i="14" s="1"/>
  <c r="X54" i="14"/>
  <c r="AI54" i="14" s="1"/>
  <c r="Y54" i="14"/>
  <c r="AJ54" i="14" s="1"/>
  <c r="Z54" i="14"/>
  <c r="AK54" i="14" s="1"/>
  <c r="AA54" i="14"/>
  <c r="AL54" i="14" s="1"/>
  <c r="AB54" i="14"/>
  <c r="AM54" i="14" s="1"/>
  <c r="AC54" i="14"/>
  <c r="AN54" i="14" s="1"/>
  <c r="AD54" i="14"/>
  <c r="AO54" i="14" s="1"/>
  <c r="AE54" i="14"/>
  <c r="AP54" i="14" s="1"/>
  <c r="AF54" i="14"/>
  <c r="AQ54" i="14" s="1"/>
  <c r="AG54" i="14"/>
  <c r="AR54" i="14" s="1"/>
  <c r="X55" i="14"/>
  <c r="AI55" i="14" s="1"/>
  <c r="Y55" i="14"/>
  <c r="AJ55" i="14" s="1"/>
  <c r="Z55" i="14"/>
  <c r="AK55" i="14" s="1"/>
  <c r="AA55" i="14"/>
  <c r="AL55" i="14" s="1"/>
  <c r="AB55" i="14"/>
  <c r="AM55" i="14" s="1"/>
  <c r="AC55" i="14"/>
  <c r="AN55" i="14" s="1"/>
  <c r="AD55" i="14"/>
  <c r="AO55" i="14" s="1"/>
  <c r="AE55" i="14"/>
  <c r="AP55" i="14" s="1"/>
  <c r="AF55" i="14"/>
  <c r="AQ55" i="14" s="1"/>
  <c r="AG55" i="14"/>
  <c r="AR55" i="14" s="1"/>
  <c r="X56" i="14"/>
  <c r="AI56" i="14" s="1"/>
  <c r="Y56" i="14"/>
  <c r="AJ56" i="14" s="1"/>
  <c r="Z56" i="14"/>
  <c r="AK56" i="14" s="1"/>
  <c r="AA56" i="14"/>
  <c r="AL56" i="14" s="1"/>
  <c r="AB56" i="14"/>
  <c r="AM56" i="14" s="1"/>
  <c r="AC56" i="14"/>
  <c r="AN56" i="14" s="1"/>
  <c r="AD56" i="14"/>
  <c r="AO56" i="14" s="1"/>
  <c r="AE56" i="14"/>
  <c r="AP56" i="14" s="1"/>
  <c r="AF56" i="14"/>
  <c r="AQ56" i="14" s="1"/>
  <c r="AG56" i="14"/>
  <c r="AR56" i="14" s="1"/>
  <c r="X57" i="14"/>
  <c r="AI57" i="14" s="1"/>
  <c r="Y57" i="14"/>
  <c r="AJ57" i="14" s="1"/>
  <c r="Z57" i="14"/>
  <c r="AK57" i="14" s="1"/>
  <c r="AA57" i="14"/>
  <c r="AL57" i="14" s="1"/>
  <c r="AB57" i="14"/>
  <c r="AM57" i="14" s="1"/>
  <c r="AC57" i="14"/>
  <c r="AN57" i="14" s="1"/>
  <c r="AD57" i="14"/>
  <c r="AO57" i="14" s="1"/>
  <c r="AE57" i="14"/>
  <c r="AP57" i="14" s="1"/>
  <c r="AF57" i="14"/>
  <c r="AQ57" i="14" s="1"/>
  <c r="AG57" i="14"/>
  <c r="AR57" i="14" s="1"/>
  <c r="X58" i="14"/>
  <c r="AI58" i="14" s="1"/>
  <c r="Y58" i="14"/>
  <c r="AJ58" i="14" s="1"/>
  <c r="Z58" i="14"/>
  <c r="AK58" i="14" s="1"/>
  <c r="AA58" i="14"/>
  <c r="AL58" i="14" s="1"/>
  <c r="AB58" i="14"/>
  <c r="AM58" i="14" s="1"/>
  <c r="AC58" i="14"/>
  <c r="AN58" i="14" s="1"/>
  <c r="AD58" i="14"/>
  <c r="AO58" i="14" s="1"/>
  <c r="AE58" i="14"/>
  <c r="AP58" i="14" s="1"/>
  <c r="AF58" i="14"/>
  <c r="AQ58" i="14" s="1"/>
  <c r="AG58" i="14"/>
  <c r="AR58" i="14" s="1"/>
  <c r="X59" i="14"/>
  <c r="AI59" i="14" s="1"/>
  <c r="Y59" i="14"/>
  <c r="AJ59" i="14" s="1"/>
  <c r="Z59" i="14"/>
  <c r="AK59" i="14" s="1"/>
  <c r="AA59" i="14"/>
  <c r="AL59" i="14" s="1"/>
  <c r="AB59" i="14"/>
  <c r="AM59" i="14" s="1"/>
  <c r="AC59" i="14"/>
  <c r="AN59" i="14" s="1"/>
  <c r="AD59" i="14"/>
  <c r="AO59" i="14" s="1"/>
  <c r="AE59" i="14"/>
  <c r="AP59" i="14" s="1"/>
  <c r="AF59" i="14"/>
  <c r="AQ59" i="14" s="1"/>
  <c r="AG59" i="14"/>
  <c r="AR59" i="14" s="1"/>
  <c r="X60" i="14"/>
  <c r="AI60" i="14" s="1"/>
  <c r="Y60" i="14"/>
  <c r="AJ60" i="14" s="1"/>
  <c r="Z60" i="14"/>
  <c r="AK60" i="14" s="1"/>
  <c r="AA60" i="14"/>
  <c r="AL60" i="14" s="1"/>
  <c r="AB60" i="14"/>
  <c r="AM60" i="14" s="1"/>
  <c r="AC60" i="14"/>
  <c r="AN60" i="14" s="1"/>
  <c r="AD60" i="14"/>
  <c r="AO60" i="14" s="1"/>
  <c r="AE60" i="14"/>
  <c r="AP60" i="14" s="1"/>
  <c r="AF60" i="14"/>
  <c r="AQ60" i="14" s="1"/>
  <c r="AG60" i="14"/>
  <c r="AR60" i="14" s="1"/>
  <c r="X61" i="14"/>
  <c r="AI61" i="14" s="1"/>
  <c r="Y61" i="14"/>
  <c r="AJ61" i="14" s="1"/>
  <c r="Z61" i="14"/>
  <c r="AK61" i="14" s="1"/>
  <c r="AA61" i="14"/>
  <c r="AL61" i="14" s="1"/>
  <c r="AB61" i="14"/>
  <c r="AM61" i="14" s="1"/>
  <c r="AC61" i="14"/>
  <c r="AN61" i="14" s="1"/>
  <c r="AD61" i="14"/>
  <c r="AO61" i="14" s="1"/>
  <c r="AE61" i="14"/>
  <c r="AP61" i="14" s="1"/>
  <c r="AF61" i="14"/>
  <c r="AQ61" i="14" s="1"/>
  <c r="AG61" i="14"/>
  <c r="AR61" i="14" s="1"/>
  <c r="Y3" i="14"/>
  <c r="AJ3" i="14" s="1"/>
  <c r="Z3" i="14"/>
  <c r="AK3" i="14" s="1"/>
  <c r="AA3" i="14"/>
  <c r="AL3" i="14" s="1"/>
  <c r="AB3" i="14"/>
  <c r="AM3" i="14" s="1"/>
  <c r="AC3" i="14"/>
  <c r="AN3" i="14" s="1"/>
  <c r="AD3" i="14"/>
  <c r="AO3" i="14" s="1"/>
  <c r="AE3" i="14"/>
  <c r="AP3" i="14" s="1"/>
  <c r="AF3" i="14"/>
  <c r="AQ3" i="14" s="1"/>
  <c r="AG3" i="14"/>
  <c r="AR3" i="14" s="1"/>
  <c r="X3" i="14"/>
  <c r="AI3" i="14" s="1"/>
  <c r="M4" i="14"/>
  <c r="N4" i="14"/>
  <c r="O4" i="14"/>
  <c r="P4" i="14"/>
  <c r="Q4" i="14"/>
  <c r="R4" i="14"/>
  <c r="S4" i="14"/>
  <c r="T4" i="14"/>
  <c r="U4" i="14"/>
  <c r="V4" i="14"/>
  <c r="M5" i="14"/>
  <c r="N5" i="14"/>
  <c r="O5" i="14"/>
  <c r="P5" i="14"/>
  <c r="Q5" i="14"/>
  <c r="R5" i="14"/>
  <c r="S5" i="14"/>
  <c r="T5" i="14"/>
  <c r="U5" i="14"/>
  <c r="V5" i="14"/>
  <c r="M6" i="14"/>
  <c r="N6" i="14"/>
  <c r="O6" i="14"/>
  <c r="P6" i="14"/>
  <c r="Q6" i="14"/>
  <c r="R6" i="14"/>
  <c r="S6" i="14"/>
  <c r="T6" i="14"/>
  <c r="U6" i="14"/>
  <c r="V6" i="14"/>
  <c r="M7" i="14"/>
  <c r="N7" i="14"/>
  <c r="O7" i="14"/>
  <c r="P7" i="14"/>
  <c r="Q7" i="14"/>
  <c r="R7" i="14"/>
  <c r="S7" i="14"/>
  <c r="T7" i="14"/>
  <c r="U7" i="14"/>
  <c r="V7" i="14"/>
  <c r="M8" i="14"/>
  <c r="N8" i="14"/>
  <c r="O8" i="14"/>
  <c r="P8" i="14"/>
  <c r="Q8" i="14"/>
  <c r="R8" i="14"/>
  <c r="S8" i="14"/>
  <c r="T8" i="14"/>
  <c r="U8" i="14"/>
  <c r="V8" i="14"/>
  <c r="M9" i="14"/>
  <c r="N9" i="14"/>
  <c r="O9" i="14"/>
  <c r="P9" i="14"/>
  <c r="Q9" i="14"/>
  <c r="R9" i="14"/>
  <c r="S9" i="14"/>
  <c r="T9" i="14"/>
  <c r="U9" i="14"/>
  <c r="V9" i="14"/>
  <c r="M10" i="14"/>
  <c r="N10" i="14"/>
  <c r="O10" i="14"/>
  <c r="P10" i="14"/>
  <c r="Q10" i="14"/>
  <c r="R10" i="14"/>
  <c r="S10" i="14"/>
  <c r="T10" i="14"/>
  <c r="U10" i="14"/>
  <c r="V10" i="14"/>
  <c r="M11" i="14"/>
  <c r="N11" i="14"/>
  <c r="O11" i="14"/>
  <c r="P11" i="14"/>
  <c r="Q11" i="14"/>
  <c r="R11" i="14"/>
  <c r="S11" i="14"/>
  <c r="T11" i="14"/>
  <c r="U11" i="14"/>
  <c r="V11" i="14"/>
  <c r="M12" i="14"/>
  <c r="N12" i="14"/>
  <c r="O12" i="14"/>
  <c r="P12" i="14"/>
  <c r="Q12" i="14"/>
  <c r="R12" i="14"/>
  <c r="S12" i="14"/>
  <c r="T12" i="14"/>
  <c r="U12" i="14"/>
  <c r="V12" i="14"/>
  <c r="M13" i="14"/>
  <c r="N13" i="14"/>
  <c r="O13" i="14"/>
  <c r="P13" i="14"/>
  <c r="Q13" i="14"/>
  <c r="R13" i="14"/>
  <c r="S13" i="14"/>
  <c r="T13" i="14"/>
  <c r="U13" i="14"/>
  <c r="V13" i="14"/>
  <c r="M14" i="14"/>
  <c r="N14" i="14"/>
  <c r="O14" i="14"/>
  <c r="P14" i="14"/>
  <c r="Q14" i="14"/>
  <c r="R14" i="14"/>
  <c r="S14" i="14"/>
  <c r="T14" i="14"/>
  <c r="U14" i="14"/>
  <c r="V14" i="14"/>
  <c r="M15" i="14"/>
  <c r="N15" i="14"/>
  <c r="O15" i="14"/>
  <c r="P15" i="14"/>
  <c r="Q15" i="14"/>
  <c r="R15" i="14"/>
  <c r="S15" i="14"/>
  <c r="T15" i="14"/>
  <c r="U15" i="14"/>
  <c r="V15" i="14"/>
  <c r="M16" i="14"/>
  <c r="N16" i="14"/>
  <c r="O16" i="14"/>
  <c r="P16" i="14"/>
  <c r="Q16" i="14"/>
  <c r="R16" i="14"/>
  <c r="S16" i="14"/>
  <c r="T16" i="14"/>
  <c r="U16" i="14"/>
  <c r="V16" i="14"/>
  <c r="M17" i="14"/>
  <c r="N17" i="14"/>
  <c r="O17" i="14"/>
  <c r="P17" i="14"/>
  <c r="Q17" i="14"/>
  <c r="R17" i="14"/>
  <c r="S17" i="14"/>
  <c r="T17" i="14"/>
  <c r="U17" i="14"/>
  <c r="V17" i="14"/>
  <c r="M18" i="14"/>
  <c r="N18" i="14"/>
  <c r="O18" i="14"/>
  <c r="P18" i="14"/>
  <c r="Q18" i="14"/>
  <c r="R18" i="14"/>
  <c r="S18" i="14"/>
  <c r="T18" i="14"/>
  <c r="U18" i="14"/>
  <c r="V18" i="14"/>
  <c r="M19" i="14"/>
  <c r="N19" i="14"/>
  <c r="O19" i="14"/>
  <c r="P19" i="14"/>
  <c r="Q19" i="14"/>
  <c r="R19" i="14"/>
  <c r="S19" i="14"/>
  <c r="T19" i="14"/>
  <c r="U19" i="14"/>
  <c r="V19" i="14"/>
  <c r="M20" i="14"/>
  <c r="N20" i="14"/>
  <c r="O20" i="14"/>
  <c r="P20" i="14"/>
  <c r="Q20" i="14"/>
  <c r="R20" i="14"/>
  <c r="S20" i="14"/>
  <c r="T20" i="14"/>
  <c r="U20" i="14"/>
  <c r="V20" i="14"/>
  <c r="M21" i="14"/>
  <c r="N21" i="14"/>
  <c r="O21" i="14"/>
  <c r="P21" i="14"/>
  <c r="Q21" i="14"/>
  <c r="R21" i="14"/>
  <c r="S21" i="14"/>
  <c r="T21" i="14"/>
  <c r="U21" i="14"/>
  <c r="V21" i="14"/>
  <c r="M22" i="14"/>
  <c r="N22" i="14"/>
  <c r="O22" i="14"/>
  <c r="P22" i="14"/>
  <c r="Q22" i="14"/>
  <c r="R22" i="14"/>
  <c r="S22" i="14"/>
  <c r="T22" i="14"/>
  <c r="U22" i="14"/>
  <c r="V22" i="14"/>
  <c r="M23" i="14"/>
  <c r="N23" i="14"/>
  <c r="O23" i="14"/>
  <c r="P23" i="14"/>
  <c r="Q23" i="14"/>
  <c r="R23" i="14"/>
  <c r="S23" i="14"/>
  <c r="T23" i="14"/>
  <c r="U23" i="14"/>
  <c r="V23" i="14"/>
  <c r="M24" i="14"/>
  <c r="N24" i="14"/>
  <c r="O24" i="14"/>
  <c r="P24" i="14"/>
  <c r="Q24" i="14"/>
  <c r="R24" i="14"/>
  <c r="S24" i="14"/>
  <c r="T24" i="14"/>
  <c r="U24" i="14"/>
  <c r="V24" i="14"/>
  <c r="M25" i="14"/>
  <c r="N25" i="14"/>
  <c r="O25" i="14"/>
  <c r="P25" i="14"/>
  <c r="Q25" i="14"/>
  <c r="R25" i="14"/>
  <c r="S25" i="14"/>
  <c r="T25" i="14"/>
  <c r="U25" i="14"/>
  <c r="V25" i="14"/>
  <c r="M26" i="14"/>
  <c r="N26" i="14"/>
  <c r="O26" i="14"/>
  <c r="P26" i="14"/>
  <c r="Q26" i="14"/>
  <c r="R26" i="14"/>
  <c r="S26" i="14"/>
  <c r="T26" i="14"/>
  <c r="U26" i="14"/>
  <c r="V26" i="14"/>
  <c r="M27" i="14"/>
  <c r="N27" i="14"/>
  <c r="O27" i="14"/>
  <c r="P27" i="14"/>
  <c r="Q27" i="14"/>
  <c r="R27" i="14"/>
  <c r="S27" i="14"/>
  <c r="T27" i="14"/>
  <c r="U27" i="14"/>
  <c r="V27" i="14"/>
  <c r="M28" i="14"/>
  <c r="N28" i="14"/>
  <c r="O28" i="14"/>
  <c r="P28" i="14"/>
  <c r="Q28" i="14"/>
  <c r="R28" i="14"/>
  <c r="S28" i="14"/>
  <c r="T28" i="14"/>
  <c r="U28" i="14"/>
  <c r="V28" i="14"/>
  <c r="M29" i="14"/>
  <c r="N29" i="14"/>
  <c r="O29" i="14"/>
  <c r="P29" i="14"/>
  <c r="Q29" i="14"/>
  <c r="R29" i="14"/>
  <c r="S29" i="14"/>
  <c r="T29" i="14"/>
  <c r="U29" i="14"/>
  <c r="V29" i="14"/>
  <c r="M30" i="14"/>
  <c r="N30" i="14"/>
  <c r="O30" i="14"/>
  <c r="P30" i="14"/>
  <c r="Q30" i="14"/>
  <c r="R30" i="14"/>
  <c r="S30" i="14"/>
  <c r="T30" i="14"/>
  <c r="U30" i="14"/>
  <c r="V30" i="14"/>
  <c r="M31" i="14"/>
  <c r="N31" i="14"/>
  <c r="O31" i="14"/>
  <c r="P31" i="14"/>
  <c r="Q31" i="14"/>
  <c r="R31" i="14"/>
  <c r="S31" i="14"/>
  <c r="T31" i="14"/>
  <c r="U31" i="14"/>
  <c r="V31" i="14"/>
  <c r="M32" i="14"/>
  <c r="N32" i="14"/>
  <c r="O32" i="14"/>
  <c r="P32" i="14"/>
  <c r="Q32" i="14"/>
  <c r="R32" i="14"/>
  <c r="S32" i="14"/>
  <c r="T32" i="14"/>
  <c r="U32" i="14"/>
  <c r="V32" i="14"/>
  <c r="M33" i="14"/>
  <c r="N33" i="14"/>
  <c r="O33" i="14"/>
  <c r="P33" i="14"/>
  <c r="Q33" i="14"/>
  <c r="R33" i="14"/>
  <c r="S33" i="14"/>
  <c r="T33" i="14"/>
  <c r="U33" i="14"/>
  <c r="V33" i="14"/>
  <c r="M34" i="14"/>
  <c r="N34" i="14"/>
  <c r="O34" i="14"/>
  <c r="P34" i="14"/>
  <c r="Q34" i="14"/>
  <c r="R34" i="14"/>
  <c r="S34" i="14"/>
  <c r="T34" i="14"/>
  <c r="U34" i="14"/>
  <c r="V34" i="14"/>
  <c r="M35" i="14"/>
  <c r="N35" i="14"/>
  <c r="O35" i="14"/>
  <c r="P35" i="14"/>
  <c r="Q35" i="14"/>
  <c r="R35" i="14"/>
  <c r="S35" i="14"/>
  <c r="T35" i="14"/>
  <c r="U35" i="14"/>
  <c r="V35" i="14"/>
  <c r="M36" i="14"/>
  <c r="N36" i="14"/>
  <c r="O36" i="14"/>
  <c r="P36" i="14"/>
  <c r="Q36" i="14"/>
  <c r="R36" i="14"/>
  <c r="S36" i="14"/>
  <c r="T36" i="14"/>
  <c r="U36" i="14"/>
  <c r="V36" i="14"/>
  <c r="M37" i="14"/>
  <c r="N37" i="14"/>
  <c r="O37" i="14"/>
  <c r="P37" i="14"/>
  <c r="Q37" i="14"/>
  <c r="R37" i="14"/>
  <c r="S37" i="14"/>
  <c r="T37" i="14"/>
  <c r="U37" i="14"/>
  <c r="V37" i="14"/>
  <c r="M38" i="14"/>
  <c r="N38" i="14"/>
  <c r="O38" i="14"/>
  <c r="P38" i="14"/>
  <c r="Q38" i="14"/>
  <c r="R38" i="14"/>
  <c r="S38" i="14"/>
  <c r="T38" i="14"/>
  <c r="U38" i="14"/>
  <c r="V38" i="14"/>
  <c r="M39" i="14"/>
  <c r="N39" i="14"/>
  <c r="O39" i="14"/>
  <c r="P39" i="14"/>
  <c r="Q39" i="14"/>
  <c r="R39" i="14"/>
  <c r="S39" i="14"/>
  <c r="T39" i="14"/>
  <c r="U39" i="14"/>
  <c r="V39" i="14"/>
  <c r="M40" i="14"/>
  <c r="N40" i="14"/>
  <c r="O40" i="14"/>
  <c r="P40" i="14"/>
  <c r="Q40" i="14"/>
  <c r="R40" i="14"/>
  <c r="S40" i="14"/>
  <c r="T40" i="14"/>
  <c r="U40" i="14"/>
  <c r="V40" i="14"/>
  <c r="M41" i="14"/>
  <c r="N41" i="14"/>
  <c r="O41" i="14"/>
  <c r="P41" i="14"/>
  <c r="Q41" i="14"/>
  <c r="R41" i="14"/>
  <c r="S41" i="14"/>
  <c r="T41" i="14"/>
  <c r="U41" i="14"/>
  <c r="V41" i="14"/>
  <c r="M42" i="14"/>
  <c r="N42" i="14"/>
  <c r="O42" i="14"/>
  <c r="P42" i="14"/>
  <c r="Q42" i="14"/>
  <c r="R42" i="14"/>
  <c r="S42" i="14"/>
  <c r="T42" i="14"/>
  <c r="U42" i="14"/>
  <c r="V42" i="14"/>
  <c r="M43" i="14"/>
  <c r="N43" i="14"/>
  <c r="O43" i="14"/>
  <c r="P43" i="14"/>
  <c r="Q43" i="14"/>
  <c r="R43" i="14"/>
  <c r="S43" i="14"/>
  <c r="T43" i="14"/>
  <c r="U43" i="14"/>
  <c r="V43" i="14"/>
  <c r="M44" i="14"/>
  <c r="N44" i="14"/>
  <c r="O44" i="14"/>
  <c r="P44" i="14"/>
  <c r="Q44" i="14"/>
  <c r="R44" i="14"/>
  <c r="S44" i="14"/>
  <c r="T44" i="14"/>
  <c r="U44" i="14"/>
  <c r="V44" i="14"/>
  <c r="M45" i="14"/>
  <c r="N45" i="14"/>
  <c r="O45" i="14"/>
  <c r="P45" i="14"/>
  <c r="Q45" i="14"/>
  <c r="R45" i="14"/>
  <c r="S45" i="14"/>
  <c r="T45" i="14"/>
  <c r="U45" i="14"/>
  <c r="V45" i="14"/>
  <c r="M46" i="14"/>
  <c r="N46" i="14"/>
  <c r="O46" i="14"/>
  <c r="P46" i="14"/>
  <c r="Q46" i="14"/>
  <c r="R46" i="14"/>
  <c r="S46" i="14"/>
  <c r="T46" i="14"/>
  <c r="U46" i="14"/>
  <c r="V46" i="14"/>
  <c r="M47" i="14"/>
  <c r="N47" i="14"/>
  <c r="O47" i="14"/>
  <c r="P47" i="14"/>
  <c r="Q47" i="14"/>
  <c r="R47" i="14"/>
  <c r="S47" i="14"/>
  <c r="T47" i="14"/>
  <c r="U47" i="14"/>
  <c r="V47" i="14"/>
  <c r="M48" i="14"/>
  <c r="N48" i="14"/>
  <c r="O48" i="14"/>
  <c r="P48" i="14"/>
  <c r="Q48" i="14"/>
  <c r="R48" i="14"/>
  <c r="S48" i="14"/>
  <c r="T48" i="14"/>
  <c r="U48" i="14"/>
  <c r="V48" i="14"/>
  <c r="M49" i="14"/>
  <c r="N49" i="14"/>
  <c r="O49" i="14"/>
  <c r="P49" i="14"/>
  <c r="Q49" i="14"/>
  <c r="R49" i="14"/>
  <c r="S49" i="14"/>
  <c r="T49" i="14"/>
  <c r="U49" i="14"/>
  <c r="V49" i="14"/>
  <c r="M50" i="14"/>
  <c r="N50" i="14"/>
  <c r="O50" i="14"/>
  <c r="P50" i="14"/>
  <c r="Q50" i="14"/>
  <c r="R50" i="14"/>
  <c r="S50" i="14"/>
  <c r="T50" i="14"/>
  <c r="U50" i="14"/>
  <c r="V50" i="14"/>
  <c r="M51" i="14"/>
  <c r="N51" i="14"/>
  <c r="O51" i="14"/>
  <c r="P51" i="14"/>
  <c r="Q51" i="14"/>
  <c r="R51" i="14"/>
  <c r="S51" i="14"/>
  <c r="T51" i="14"/>
  <c r="U51" i="14"/>
  <c r="V51" i="14"/>
  <c r="M52" i="14"/>
  <c r="N52" i="14"/>
  <c r="O52" i="14"/>
  <c r="P52" i="14"/>
  <c r="Q52" i="14"/>
  <c r="R52" i="14"/>
  <c r="S52" i="14"/>
  <c r="T52" i="14"/>
  <c r="U52" i="14"/>
  <c r="V52" i="14"/>
  <c r="M53" i="14"/>
  <c r="N53" i="14"/>
  <c r="O53" i="14"/>
  <c r="P53" i="14"/>
  <c r="Q53" i="14"/>
  <c r="R53" i="14"/>
  <c r="S53" i="14"/>
  <c r="T53" i="14"/>
  <c r="U53" i="14"/>
  <c r="V53" i="14"/>
  <c r="M54" i="14"/>
  <c r="N54" i="14"/>
  <c r="O54" i="14"/>
  <c r="P54" i="14"/>
  <c r="Q54" i="14"/>
  <c r="R54" i="14"/>
  <c r="S54" i="14"/>
  <c r="T54" i="14"/>
  <c r="U54" i="14"/>
  <c r="V54" i="14"/>
  <c r="M55" i="14"/>
  <c r="N55" i="14"/>
  <c r="O55" i="14"/>
  <c r="P55" i="14"/>
  <c r="Q55" i="14"/>
  <c r="R55" i="14"/>
  <c r="S55" i="14"/>
  <c r="T55" i="14"/>
  <c r="U55" i="14"/>
  <c r="V55" i="14"/>
  <c r="M56" i="14"/>
  <c r="N56" i="14"/>
  <c r="O56" i="14"/>
  <c r="P56" i="14"/>
  <c r="Q56" i="14"/>
  <c r="R56" i="14"/>
  <c r="S56" i="14"/>
  <c r="T56" i="14"/>
  <c r="U56" i="14"/>
  <c r="V56" i="14"/>
  <c r="M57" i="14"/>
  <c r="N57" i="14"/>
  <c r="O57" i="14"/>
  <c r="P57" i="14"/>
  <c r="Q57" i="14"/>
  <c r="R57" i="14"/>
  <c r="S57" i="14"/>
  <c r="T57" i="14"/>
  <c r="U57" i="14"/>
  <c r="V57" i="14"/>
  <c r="M58" i="14"/>
  <c r="N58" i="14"/>
  <c r="O58" i="14"/>
  <c r="P58" i="14"/>
  <c r="Q58" i="14"/>
  <c r="R58" i="14"/>
  <c r="S58" i="14"/>
  <c r="T58" i="14"/>
  <c r="U58" i="14"/>
  <c r="V58" i="14"/>
  <c r="M59" i="14"/>
  <c r="N59" i="14"/>
  <c r="O59" i="14"/>
  <c r="P59" i="14"/>
  <c r="Q59" i="14"/>
  <c r="R59" i="14"/>
  <c r="S59" i="14"/>
  <c r="T59" i="14"/>
  <c r="U59" i="14"/>
  <c r="V59" i="14"/>
  <c r="M60" i="14"/>
  <c r="N60" i="14"/>
  <c r="O60" i="14"/>
  <c r="P60" i="14"/>
  <c r="Q60" i="14"/>
  <c r="R60" i="14"/>
  <c r="S60" i="14"/>
  <c r="T60" i="14"/>
  <c r="U60" i="14"/>
  <c r="V60" i="14"/>
  <c r="M61" i="14"/>
  <c r="N61" i="14"/>
  <c r="O61" i="14"/>
  <c r="P61" i="14"/>
  <c r="Q61" i="14"/>
  <c r="R61" i="14"/>
  <c r="S61" i="14"/>
  <c r="T61" i="14"/>
  <c r="U61" i="14"/>
  <c r="V61" i="14"/>
  <c r="M3" i="14"/>
  <c r="O3" i="14"/>
  <c r="P3" i="14"/>
  <c r="Q3" i="14"/>
  <c r="R3" i="14"/>
  <c r="S3" i="14"/>
  <c r="T3" i="14"/>
  <c r="U3" i="14"/>
  <c r="V3" i="14"/>
  <c r="N3" i="14"/>
  <c r="G61" i="13"/>
  <c r="C61" i="13"/>
  <c r="G60" i="13"/>
  <c r="C60" i="13"/>
  <c r="F60" i="13" s="1"/>
  <c r="G59" i="13"/>
  <c r="C59" i="13"/>
  <c r="F59" i="13" s="1"/>
  <c r="G58" i="13"/>
  <c r="C58" i="13"/>
  <c r="F58" i="13" s="1"/>
  <c r="G57" i="13"/>
  <c r="C57" i="13"/>
  <c r="F57" i="13" s="1"/>
  <c r="H57" i="13" s="1"/>
  <c r="G56" i="13"/>
  <c r="C56" i="13"/>
  <c r="E56" i="13" s="1"/>
  <c r="G55" i="13"/>
  <c r="C55" i="13"/>
  <c r="F55" i="13" s="1"/>
  <c r="G54" i="13"/>
  <c r="C54" i="13"/>
  <c r="G53" i="13"/>
  <c r="C53" i="13"/>
  <c r="F53" i="13" s="1"/>
  <c r="H53" i="13" s="1"/>
  <c r="O52" i="13"/>
  <c r="R52" i="13" s="1"/>
  <c r="T52" i="13" s="1"/>
  <c r="U52" i="13" s="1"/>
  <c r="G52" i="13"/>
  <c r="C52" i="13"/>
  <c r="E52" i="13" s="1"/>
  <c r="O51" i="13"/>
  <c r="R51" i="13" s="1"/>
  <c r="T51" i="13" s="1"/>
  <c r="U51" i="13" s="1"/>
  <c r="G51" i="13"/>
  <c r="C51" i="13"/>
  <c r="E51" i="13" s="1"/>
  <c r="O50" i="13"/>
  <c r="R50" i="13" s="1"/>
  <c r="T50" i="13" s="1"/>
  <c r="U50" i="13" s="1"/>
  <c r="G50" i="13"/>
  <c r="C50" i="13"/>
  <c r="O49" i="13"/>
  <c r="R49" i="13" s="1"/>
  <c r="T49" i="13" s="1"/>
  <c r="U49" i="13" s="1"/>
  <c r="G49" i="13"/>
  <c r="C49" i="13"/>
  <c r="F49" i="13" s="1"/>
  <c r="O48" i="13"/>
  <c r="R48" i="13" s="1"/>
  <c r="T48" i="13" s="1"/>
  <c r="U48" i="13" s="1"/>
  <c r="G48" i="13"/>
  <c r="C48" i="13"/>
  <c r="F48" i="13" s="1"/>
  <c r="O47" i="13"/>
  <c r="R47" i="13" s="1"/>
  <c r="T47" i="13" s="1"/>
  <c r="U47" i="13" s="1"/>
  <c r="C47" i="13"/>
  <c r="E47" i="13" s="1"/>
  <c r="O46" i="13"/>
  <c r="R46" i="13" s="1"/>
  <c r="T46" i="13" s="1"/>
  <c r="U46" i="13" s="1"/>
  <c r="G46" i="13"/>
  <c r="C46" i="13"/>
  <c r="E46" i="13" s="1"/>
  <c r="O45" i="13"/>
  <c r="R45" i="13" s="1"/>
  <c r="T45" i="13" s="1"/>
  <c r="U45" i="13" s="1"/>
  <c r="G45" i="13"/>
  <c r="C45" i="13"/>
  <c r="F45" i="13" s="1"/>
  <c r="O44" i="13"/>
  <c r="R44" i="13" s="1"/>
  <c r="T44" i="13" s="1"/>
  <c r="U44" i="13" s="1"/>
  <c r="G44" i="13"/>
  <c r="C44" i="13"/>
  <c r="E44" i="13" s="1"/>
  <c r="G43" i="13"/>
  <c r="C43" i="13"/>
  <c r="E43" i="13" s="1"/>
  <c r="G42" i="13"/>
  <c r="C42" i="13"/>
  <c r="G41" i="13"/>
  <c r="C41" i="13"/>
  <c r="F41" i="13" s="1"/>
  <c r="G40" i="13"/>
  <c r="C40" i="13"/>
  <c r="G39" i="13"/>
  <c r="C39" i="13"/>
  <c r="F39" i="13" s="1"/>
  <c r="G38" i="13"/>
  <c r="C38" i="13"/>
  <c r="E38" i="13" s="1"/>
  <c r="G37" i="13"/>
  <c r="C37" i="13"/>
  <c r="E37" i="13" s="1"/>
  <c r="G36" i="13"/>
  <c r="C36" i="13"/>
  <c r="F36" i="13" s="1"/>
  <c r="G35" i="13"/>
  <c r="C35" i="13"/>
  <c r="F35" i="13" s="1"/>
  <c r="G34" i="13"/>
  <c r="C34" i="13"/>
  <c r="G33" i="13"/>
  <c r="C33" i="13"/>
  <c r="F33" i="13" s="1"/>
  <c r="G32" i="13"/>
  <c r="C32" i="13"/>
  <c r="F32" i="13" s="1"/>
  <c r="G31" i="13"/>
  <c r="C31" i="13"/>
  <c r="G30" i="13"/>
  <c r="C30" i="13"/>
  <c r="E30" i="13" s="1"/>
  <c r="G29" i="13"/>
  <c r="C29" i="13"/>
  <c r="F29" i="13" s="1"/>
  <c r="C28" i="13"/>
  <c r="F28" i="13" s="1"/>
  <c r="G27" i="13"/>
  <c r="C27" i="13"/>
  <c r="F27" i="13" s="1"/>
  <c r="G26" i="13"/>
  <c r="C26" i="13"/>
  <c r="G25" i="13"/>
  <c r="C25" i="13"/>
  <c r="F25" i="13" s="1"/>
  <c r="G24" i="13"/>
  <c r="C24" i="13"/>
  <c r="E24" i="13" s="1"/>
  <c r="G23" i="13"/>
  <c r="C23" i="13"/>
  <c r="F23" i="13" s="1"/>
  <c r="H23" i="13" s="1"/>
  <c r="C22" i="13"/>
  <c r="E22" i="13" s="1"/>
  <c r="G21" i="13"/>
  <c r="C21" i="13"/>
  <c r="F21" i="13" s="1"/>
  <c r="G20" i="13"/>
  <c r="C20" i="13"/>
  <c r="F20" i="13" s="1"/>
  <c r="C19" i="13"/>
  <c r="F19" i="13" s="1"/>
  <c r="G18" i="13"/>
  <c r="C18" i="13"/>
  <c r="G17" i="13"/>
  <c r="C17" i="13"/>
  <c r="F17" i="13" s="1"/>
  <c r="G16" i="13"/>
  <c r="C16" i="13"/>
  <c r="F16" i="13" s="1"/>
  <c r="H16" i="13" s="1"/>
  <c r="G15" i="13"/>
  <c r="C15" i="13"/>
  <c r="F15" i="13" s="1"/>
  <c r="H15" i="13" s="1"/>
  <c r="G14" i="13"/>
  <c r="C14" i="13"/>
  <c r="E14" i="13" s="1"/>
  <c r="G13" i="13"/>
  <c r="C13" i="13"/>
  <c r="F13" i="13" s="1"/>
  <c r="G12" i="13"/>
  <c r="C12" i="13"/>
  <c r="F12" i="13" s="1"/>
  <c r="G11" i="13"/>
  <c r="C11" i="13"/>
  <c r="D7" i="13"/>
  <c r="D6" i="13"/>
  <c r="E4" i="13"/>
  <c r="R82" i="19" l="1"/>
  <c r="R431" i="19"/>
  <c r="O469" i="19"/>
  <c r="S469" i="19"/>
  <c r="T469" i="19" s="1"/>
  <c r="S52" i="19"/>
  <c r="T52" i="19" s="1"/>
  <c r="O52" i="19"/>
  <c r="S196" i="19"/>
  <c r="T196" i="19" s="1"/>
  <c r="O196" i="19"/>
  <c r="S270" i="19"/>
  <c r="T270" i="19" s="1"/>
  <c r="O270" i="19"/>
  <c r="S467" i="19"/>
  <c r="T467" i="19" s="1"/>
  <c r="O467" i="19"/>
  <c r="S266" i="19"/>
  <c r="T266" i="19" s="1"/>
  <c r="O266" i="19"/>
  <c r="R409" i="19"/>
  <c r="P409" i="19"/>
  <c r="S471" i="19"/>
  <c r="T471" i="19" s="1"/>
  <c r="O471" i="19"/>
  <c r="O54" i="19"/>
  <c r="P285" i="19"/>
  <c r="S184" i="19"/>
  <c r="T184" i="19" s="1"/>
  <c r="O184" i="19"/>
  <c r="S435" i="19"/>
  <c r="T435" i="19" s="1"/>
  <c r="O435" i="19"/>
  <c r="S180" i="19"/>
  <c r="T180" i="19" s="1"/>
  <c r="O180" i="19"/>
  <c r="S200" i="19"/>
  <c r="T200" i="19" s="1"/>
  <c r="O200" i="19"/>
  <c r="S439" i="19"/>
  <c r="T439" i="19" s="1"/>
  <c r="O439" i="19"/>
  <c r="R410" i="19"/>
  <c r="P410" i="19"/>
  <c r="O455" i="19"/>
  <c r="S455" i="19"/>
  <c r="T455" i="19" s="1"/>
  <c r="S163" i="19"/>
  <c r="T163" i="19" s="1"/>
  <c r="S337" i="19"/>
  <c r="T337" i="19" s="1"/>
  <c r="O337" i="19"/>
  <c r="P85" i="19"/>
  <c r="R119" i="19"/>
  <c r="R286" i="19"/>
  <c r="R498" i="19"/>
  <c r="P328" i="19"/>
  <c r="O459" i="19"/>
  <c r="S459" i="19"/>
  <c r="T459" i="19" s="1"/>
  <c r="O274" i="19"/>
  <c r="S274" i="19"/>
  <c r="T274" i="19" s="1"/>
  <c r="S387" i="19"/>
  <c r="T387" i="19" s="1"/>
  <c r="O387" i="19"/>
  <c r="O395" i="19"/>
  <c r="S395" i="19"/>
  <c r="T395" i="19" s="1"/>
  <c r="S465" i="19"/>
  <c r="T465" i="19" s="1"/>
  <c r="O465" i="19"/>
  <c r="S262" i="19"/>
  <c r="T262" i="19" s="1"/>
  <c r="O262" i="19"/>
  <c r="P60" i="19"/>
  <c r="R60" i="19"/>
  <c r="H39" i="13"/>
  <c r="H49" i="13"/>
  <c r="H58" i="13"/>
  <c r="O451" i="19"/>
  <c r="S451" i="19"/>
  <c r="T451" i="19" s="1"/>
  <c r="S112" i="19"/>
  <c r="T112" i="19" s="1"/>
  <c r="O112" i="19"/>
  <c r="O161" i="19"/>
  <c r="S161" i="19"/>
  <c r="T161" i="19" s="1"/>
  <c r="S284" i="19"/>
  <c r="T284" i="19" s="1"/>
  <c r="O284" i="19"/>
  <c r="S371" i="19"/>
  <c r="T371" i="19" s="1"/>
  <c r="O371" i="19"/>
  <c r="S408" i="19"/>
  <c r="T408" i="19" s="1"/>
  <c r="O408" i="19"/>
  <c r="AD475" i="19"/>
  <c r="S475" i="19"/>
  <c r="T475" i="19" s="1"/>
  <c r="O475" i="19"/>
  <c r="O426" i="19"/>
  <c r="S426" i="19"/>
  <c r="T426" i="19" s="1"/>
  <c r="R499" i="19"/>
  <c r="P499" i="19"/>
  <c r="S82" i="19"/>
  <c r="T82" i="19" s="1"/>
  <c r="O82" i="19"/>
  <c r="AG82" i="19"/>
  <c r="S116" i="19"/>
  <c r="T116" i="19" s="1"/>
  <c r="O116" i="19"/>
  <c r="S288" i="19"/>
  <c r="T288" i="19" s="1"/>
  <c r="O288" i="19"/>
  <c r="P327" i="19"/>
  <c r="R327" i="19"/>
  <c r="S345" i="19"/>
  <c r="T345" i="19" s="1"/>
  <c r="O345" i="19"/>
  <c r="S363" i="19"/>
  <c r="T363" i="19" s="1"/>
  <c r="O363" i="19"/>
  <c r="AA363" i="19"/>
  <c r="AD474" i="19"/>
  <c r="O474" i="19"/>
  <c r="S474" i="19"/>
  <c r="T474" i="19" s="1"/>
  <c r="AE504" i="19"/>
  <c r="O504" i="19"/>
  <c r="S504" i="19"/>
  <c r="T504" i="19" s="1"/>
  <c r="AG87" i="19"/>
  <c r="O87" i="19"/>
  <c r="S87" i="19"/>
  <c r="T87" i="19" s="1"/>
  <c r="S133" i="19"/>
  <c r="T133" i="19" s="1"/>
  <c r="O133" i="19"/>
  <c r="R139" i="19"/>
  <c r="P139" i="19"/>
  <c r="S348" i="19"/>
  <c r="T348" i="19" s="1"/>
  <c r="O348" i="19"/>
  <c r="S115" i="19"/>
  <c r="T115" i="19" s="1"/>
  <c r="O115" i="19"/>
  <c r="S258" i="19"/>
  <c r="T258" i="19" s="1"/>
  <c r="O258" i="19"/>
  <c r="S290" i="19"/>
  <c r="T290" i="19" s="1"/>
  <c r="O290" i="19"/>
  <c r="S324" i="19"/>
  <c r="T324" i="19" s="1"/>
  <c r="O324" i="19"/>
  <c r="S322" i="19"/>
  <c r="T322" i="19" s="1"/>
  <c r="O322" i="19"/>
  <c r="S407" i="19"/>
  <c r="T407" i="19" s="1"/>
  <c r="O407" i="19"/>
  <c r="S495" i="19"/>
  <c r="T495" i="19" s="1"/>
  <c r="O495" i="19"/>
  <c r="S480" i="19"/>
  <c r="T480" i="19" s="1"/>
  <c r="O480" i="19"/>
  <c r="S497" i="19"/>
  <c r="T497" i="19" s="1"/>
  <c r="O497" i="19"/>
  <c r="S510" i="19"/>
  <c r="T510" i="19" s="1"/>
  <c r="O510" i="19"/>
  <c r="S425" i="19"/>
  <c r="T425" i="19" s="1"/>
  <c r="O425" i="19"/>
  <c r="O431" i="19"/>
  <c r="S431" i="19"/>
  <c r="T431" i="19" s="1"/>
  <c r="S90" i="19"/>
  <c r="T90" i="19" s="1"/>
  <c r="O90" i="19"/>
  <c r="AG90" i="19"/>
  <c r="S59" i="19"/>
  <c r="T59" i="19" s="1"/>
  <c r="O59" i="19"/>
  <c r="S128" i="19"/>
  <c r="T128" i="19" s="1"/>
  <c r="O128" i="19"/>
  <c r="S140" i="19"/>
  <c r="T140" i="19" s="1"/>
  <c r="O140" i="19"/>
  <c r="R126" i="19"/>
  <c r="P126" i="19"/>
  <c r="S289" i="19"/>
  <c r="T289" i="19" s="1"/>
  <c r="O289" i="19"/>
  <c r="O350" i="19"/>
  <c r="S350" i="19"/>
  <c r="T350" i="19" s="1"/>
  <c r="S422" i="19"/>
  <c r="T422" i="19" s="1"/>
  <c r="O422" i="19"/>
  <c r="AE507" i="19"/>
  <c r="S507" i="19"/>
  <c r="T507" i="19" s="1"/>
  <c r="O507" i="19"/>
  <c r="S57" i="19"/>
  <c r="T57" i="19" s="1"/>
  <c r="O57" i="19"/>
  <c r="S411" i="19"/>
  <c r="T411" i="19" s="1"/>
  <c r="O411" i="19"/>
  <c r="O496" i="19"/>
  <c r="S496" i="19"/>
  <c r="T496" i="19" s="1"/>
  <c r="S56" i="19"/>
  <c r="T56" i="19" s="1"/>
  <c r="O56" i="19"/>
  <c r="S121" i="19"/>
  <c r="T121" i="19" s="1"/>
  <c r="O121" i="19"/>
  <c r="S113" i="19"/>
  <c r="T113" i="19" s="1"/>
  <c r="O113" i="19"/>
  <c r="S287" i="19"/>
  <c r="T287" i="19" s="1"/>
  <c r="O287" i="19"/>
  <c r="S330" i="19"/>
  <c r="T330" i="19" s="1"/>
  <c r="O330" i="19"/>
  <c r="S405" i="19"/>
  <c r="T405" i="19" s="1"/>
  <c r="O405" i="19"/>
  <c r="S503" i="19"/>
  <c r="T503" i="19" s="1"/>
  <c r="O503" i="19"/>
  <c r="AE503" i="19"/>
  <c r="S91" i="19"/>
  <c r="T91" i="19" s="1"/>
  <c r="O91" i="19"/>
  <c r="S120" i="19"/>
  <c r="T120" i="19" s="1"/>
  <c r="O120" i="19"/>
  <c r="O351" i="19"/>
  <c r="S351" i="19"/>
  <c r="T351" i="19" s="1"/>
  <c r="O493" i="19"/>
  <c r="S493" i="19"/>
  <c r="T493" i="19" s="1"/>
  <c r="AG83" i="19"/>
  <c r="S83" i="19"/>
  <c r="T83" i="19" s="1"/>
  <c r="O83" i="19"/>
  <c r="P127" i="19"/>
  <c r="R127" i="19"/>
  <c r="S479" i="19"/>
  <c r="T479" i="19" s="1"/>
  <c r="O479" i="19"/>
  <c r="S508" i="19"/>
  <c r="T508" i="19" s="1"/>
  <c r="O508" i="19"/>
  <c r="AE508" i="19"/>
  <c r="AG89" i="19"/>
  <c r="S89" i="19"/>
  <c r="T89" i="19" s="1"/>
  <c r="O89" i="19"/>
  <c r="S129" i="19"/>
  <c r="T129" i="19" s="1"/>
  <c r="O129" i="19"/>
  <c r="S254" i="19"/>
  <c r="T254" i="19" s="1"/>
  <c r="O254" i="19"/>
  <c r="S349" i="19"/>
  <c r="T349" i="19" s="1"/>
  <c r="O349" i="19"/>
  <c r="S368" i="19"/>
  <c r="T368" i="19" s="1"/>
  <c r="O368" i="19"/>
  <c r="S511" i="19"/>
  <c r="T511" i="19" s="1"/>
  <c r="O511" i="19"/>
  <c r="S125" i="19"/>
  <c r="T125" i="19" s="1"/>
  <c r="O125" i="19"/>
  <c r="S138" i="19"/>
  <c r="T138" i="19" s="1"/>
  <c r="O138" i="19"/>
  <c r="O343" i="19"/>
  <c r="S343" i="19"/>
  <c r="T343" i="19" s="1"/>
  <c r="S476" i="19"/>
  <c r="T476" i="19" s="1"/>
  <c r="O476" i="19"/>
  <c r="AD476" i="19"/>
  <c r="AD477" i="19"/>
  <c r="O477" i="19"/>
  <c r="S477" i="19"/>
  <c r="T477" i="19" s="1"/>
  <c r="O494" i="19"/>
  <c r="S494" i="19"/>
  <c r="T494" i="19" s="1"/>
  <c r="S61" i="19"/>
  <c r="T61" i="19" s="1"/>
  <c r="O61" i="19"/>
  <c r="S119" i="19"/>
  <c r="T119" i="19" s="1"/>
  <c r="O119" i="19"/>
  <c r="S331" i="19"/>
  <c r="T331" i="19" s="1"/>
  <c r="O331" i="19"/>
  <c r="S430" i="19"/>
  <c r="T430" i="19" s="1"/>
  <c r="O430" i="19"/>
  <c r="S131" i="19"/>
  <c r="T131" i="19" s="1"/>
  <c r="O131" i="19"/>
  <c r="S498" i="19"/>
  <c r="T498" i="19" s="1"/>
  <c r="O498" i="19"/>
  <c r="S427" i="19"/>
  <c r="T427" i="19" s="1"/>
  <c r="O427" i="19"/>
  <c r="AG84" i="19"/>
  <c r="S84" i="19"/>
  <c r="T84" i="19" s="1"/>
  <c r="O84" i="19"/>
  <c r="S136" i="19"/>
  <c r="T136" i="19" s="1"/>
  <c r="O136" i="19"/>
  <c r="S135" i="19"/>
  <c r="T135" i="19" s="1"/>
  <c r="O135" i="19"/>
  <c r="S282" i="19"/>
  <c r="T282" i="19" s="1"/>
  <c r="O282" i="19"/>
  <c r="S326" i="19"/>
  <c r="T326" i="19" s="1"/>
  <c r="O326" i="19"/>
  <c r="R325" i="19"/>
  <c r="P325" i="19"/>
  <c r="O346" i="19"/>
  <c r="S346" i="19"/>
  <c r="T346" i="19" s="1"/>
  <c r="AA365" i="19"/>
  <c r="S365" i="19"/>
  <c r="T365" i="19" s="1"/>
  <c r="O365" i="19"/>
  <c r="S404" i="19"/>
  <c r="T404" i="19" s="1"/>
  <c r="O404" i="19"/>
  <c r="O500" i="19"/>
  <c r="S500" i="19"/>
  <c r="T500" i="19" s="1"/>
  <c r="AG88" i="19"/>
  <c r="S88" i="19"/>
  <c r="T88" i="19" s="1"/>
  <c r="O88" i="19"/>
  <c r="R137" i="19"/>
  <c r="P137" i="19"/>
  <c r="S283" i="19"/>
  <c r="T283" i="19" s="1"/>
  <c r="O283" i="19"/>
  <c r="S478" i="19"/>
  <c r="T478" i="19" s="1"/>
  <c r="O478" i="19"/>
  <c r="S406" i="19"/>
  <c r="T406" i="19" s="1"/>
  <c r="O406" i="19"/>
  <c r="S506" i="19"/>
  <c r="T506" i="19" s="1"/>
  <c r="O506" i="19"/>
  <c r="AE506" i="19"/>
  <c r="AG86" i="19"/>
  <c r="S86" i="19"/>
  <c r="T86" i="19" s="1"/>
  <c r="O86" i="19"/>
  <c r="S130" i="19"/>
  <c r="T130" i="19" s="1"/>
  <c r="O130" i="19"/>
  <c r="S118" i="19"/>
  <c r="T118" i="19" s="1"/>
  <c r="O118" i="19"/>
  <c r="S291" i="19"/>
  <c r="T291" i="19" s="1"/>
  <c r="O291" i="19"/>
  <c r="S366" i="19"/>
  <c r="T366" i="19" s="1"/>
  <c r="O366" i="19"/>
  <c r="S369" i="19"/>
  <c r="T369" i="19" s="1"/>
  <c r="O369" i="19"/>
  <c r="S481" i="19"/>
  <c r="T481" i="19" s="1"/>
  <c r="O481" i="19"/>
  <c r="P501" i="19"/>
  <c r="R501" i="19"/>
  <c r="S85" i="19"/>
  <c r="T85" i="19" s="1"/>
  <c r="O85" i="19"/>
  <c r="AG85" i="19"/>
  <c r="S117" i="19"/>
  <c r="T117" i="19" s="1"/>
  <c r="O117" i="19"/>
  <c r="S285" i="19"/>
  <c r="T285" i="19" s="1"/>
  <c r="O285" i="19"/>
  <c r="S323" i="19"/>
  <c r="T323" i="19" s="1"/>
  <c r="O323" i="19"/>
  <c r="O347" i="19"/>
  <c r="S347" i="19"/>
  <c r="T347" i="19" s="1"/>
  <c r="S370" i="19"/>
  <c r="T370" i="19" s="1"/>
  <c r="O370" i="19"/>
  <c r="S428" i="19"/>
  <c r="T428" i="19" s="1"/>
  <c r="O428" i="19"/>
  <c r="S473" i="19"/>
  <c r="T473" i="19" s="1"/>
  <c r="O473" i="19"/>
  <c r="AD473" i="19"/>
  <c r="AE505" i="19"/>
  <c r="S505" i="19"/>
  <c r="T505" i="19" s="1"/>
  <c r="O505" i="19"/>
  <c r="S328" i="19"/>
  <c r="T328" i="19" s="1"/>
  <c r="O328" i="19"/>
  <c r="F11" i="13"/>
  <c r="E11" i="13"/>
  <c r="F47" i="13"/>
  <c r="F14" i="13"/>
  <c r="H14" i="13" s="1"/>
  <c r="E19" i="13"/>
  <c r="H17" i="13"/>
  <c r="H25" i="13"/>
  <c r="H60" i="13"/>
  <c r="H21" i="13"/>
  <c r="H36" i="13"/>
  <c r="F30" i="13"/>
  <c r="H30" i="13" s="1"/>
  <c r="E55" i="13"/>
  <c r="E27" i="13"/>
  <c r="E32" i="13"/>
  <c r="E35" i="13"/>
  <c r="E49" i="13"/>
  <c r="F22" i="13"/>
  <c r="F38" i="13"/>
  <c r="H38" i="13" s="1"/>
  <c r="H20" i="13"/>
  <c r="F24" i="13"/>
  <c r="H24" i="13" s="1"/>
  <c r="F46" i="13"/>
  <c r="H46" i="13" s="1"/>
  <c r="E59" i="13"/>
  <c r="H12" i="13"/>
  <c r="H32" i="13"/>
  <c r="H35" i="13"/>
  <c r="H45" i="13"/>
  <c r="G47" i="13"/>
  <c r="H47" i="13" s="1"/>
  <c r="H27" i="13"/>
  <c r="H59" i="13"/>
  <c r="H33" i="13"/>
  <c r="H13" i="13"/>
  <c r="G19" i="13"/>
  <c r="H19" i="13" s="1"/>
  <c r="G22" i="13"/>
  <c r="G28" i="13"/>
  <c r="H28" i="13" s="1"/>
  <c r="F31" i="13"/>
  <c r="H31" i="13" s="1"/>
  <c r="F37" i="13"/>
  <c r="H37" i="13" s="1"/>
  <c r="F40" i="13"/>
  <c r="H40" i="13" s="1"/>
  <c r="F43" i="13"/>
  <c r="E58" i="13"/>
  <c r="F61" i="13"/>
  <c r="H61" i="13" s="1"/>
  <c r="H29" i="13"/>
  <c r="H41" i="13"/>
  <c r="H48" i="13"/>
  <c r="F18" i="13"/>
  <c r="H18" i="13" s="1"/>
  <c r="E18" i="13"/>
  <c r="F50" i="13"/>
  <c r="H50" i="13" s="1"/>
  <c r="E50" i="13"/>
  <c r="E13" i="13"/>
  <c r="F26" i="13"/>
  <c r="H26" i="13" s="1"/>
  <c r="E26" i="13"/>
  <c r="E40" i="13"/>
  <c r="E48" i="13"/>
  <c r="E57" i="13"/>
  <c r="H43" i="13"/>
  <c r="H55" i="13"/>
  <c r="E60" i="13"/>
  <c r="E16" i="13"/>
  <c r="E21" i="13"/>
  <c r="F34" i="13"/>
  <c r="H34" i="13" s="1"/>
  <c r="E34" i="13"/>
  <c r="H11" i="13"/>
  <c r="E29" i="13"/>
  <c r="F42" i="13"/>
  <c r="H42" i="13" s="1"/>
  <c r="E42" i="13"/>
  <c r="F54" i="13"/>
  <c r="H54" i="13" s="1"/>
  <c r="E54" i="13"/>
  <c r="E23" i="13"/>
  <c r="F51" i="13"/>
  <c r="H51" i="13" s="1"/>
  <c r="F44" i="13"/>
  <c r="H44" i="13" s="1"/>
  <c r="E45" i="13"/>
  <c r="F52" i="13"/>
  <c r="H52" i="13" s="1"/>
  <c r="E53" i="13"/>
  <c r="F56" i="13"/>
  <c r="H56" i="13" s="1"/>
  <c r="E61" i="13"/>
  <c r="E15" i="13"/>
  <c r="E31" i="13"/>
  <c r="E39" i="13"/>
  <c r="E12" i="13"/>
  <c r="E20" i="13"/>
  <c r="E28" i="13"/>
  <c r="E36" i="13"/>
  <c r="E17" i="13"/>
  <c r="E25" i="13"/>
  <c r="E33" i="13"/>
  <c r="E41" i="13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591" i="4"/>
  <c r="Q591" i="4" s="1"/>
  <c r="E590" i="4"/>
  <c r="Q590" i="4" s="1"/>
  <c r="E589" i="4"/>
  <c r="Q589" i="4" s="1"/>
  <c r="E588" i="4"/>
  <c r="Q588" i="4" s="1"/>
  <c r="E587" i="4"/>
  <c r="Q587" i="4" s="1"/>
  <c r="Q586" i="4"/>
  <c r="R586" i="4" s="1"/>
  <c r="P586" i="4"/>
  <c r="E586" i="4"/>
  <c r="E585" i="4"/>
  <c r="Q585" i="4" s="1"/>
  <c r="E584" i="4"/>
  <c r="Q584" i="4" s="1"/>
  <c r="R583" i="4"/>
  <c r="Q583" i="4"/>
  <c r="P583" i="4" s="1"/>
  <c r="E583" i="4"/>
  <c r="E582" i="4"/>
  <c r="Q582" i="4" s="1"/>
  <c r="E581" i="4"/>
  <c r="Q581" i="4" s="1"/>
  <c r="E580" i="4"/>
  <c r="Q580" i="4" s="1"/>
  <c r="E579" i="4"/>
  <c r="Q579" i="4" s="1"/>
  <c r="R579" i="4" s="1"/>
  <c r="Q578" i="4"/>
  <c r="E578" i="4"/>
  <c r="E577" i="4"/>
  <c r="Q577" i="4" s="1"/>
  <c r="E576" i="4"/>
  <c r="Q576" i="4" s="1"/>
  <c r="Q575" i="4"/>
  <c r="E575" i="4"/>
  <c r="S574" i="4"/>
  <c r="T574" i="4" s="1"/>
  <c r="E574" i="4"/>
  <c r="Q574" i="4" s="1"/>
  <c r="R574" i="4" s="1"/>
  <c r="O574" i="4" s="1"/>
  <c r="R573" i="4"/>
  <c r="P573" i="4"/>
  <c r="E573" i="4"/>
  <c r="Q573" i="4" s="1"/>
  <c r="E572" i="4"/>
  <c r="Q572" i="4" s="1"/>
  <c r="P572" i="4" s="1"/>
  <c r="E571" i="4"/>
  <c r="Q571" i="4" s="1"/>
  <c r="Q570" i="4"/>
  <c r="E570" i="4"/>
  <c r="E569" i="4"/>
  <c r="Q569" i="4" s="1"/>
  <c r="P569" i="4" s="1"/>
  <c r="E568" i="4"/>
  <c r="Q568" i="4" s="1"/>
  <c r="E567" i="4"/>
  <c r="Q567" i="4" s="1"/>
  <c r="E566" i="4"/>
  <c r="Q566" i="4" s="1"/>
  <c r="R565" i="4"/>
  <c r="E565" i="4"/>
  <c r="Q565" i="4" s="1"/>
  <c r="P565" i="4" s="1"/>
  <c r="Q564" i="4"/>
  <c r="E564" i="4"/>
  <c r="E563" i="4"/>
  <c r="Q563" i="4" s="1"/>
  <c r="E562" i="4"/>
  <c r="Q562" i="4" s="1"/>
  <c r="E561" i="4"/>
  <c r="Q561" i="4" s="1"/>
  <c r="P561" i="4" s="1"/>
  <c r="E560" i="4"/>
  <c r="Q560" i="4" s="1"/>
  <c r="E559" i="4"/>
  <c r="Q559" i="4" s="1"/>
  <c r="E558" i="4"/>
  <c r="Q558" i="4" s="1"/>
  <c r="E557" i="4"/>
  <c r="Q557" i="4" s="1"/>
  <c r="P557" i="4" s="1"/>
  <c r="E556" i="4"/>
  <c r="Q556" i="4" s="1"/>
  <c r="P556" i="4" s="1"/>
  <c r="E555" i="4"/>
  <c r="Q555" i="4" s="1"/>
  <c r="R555" i="4" s="1"/>
  <c r="E554" i="4"/>
  <c r="Q554" i="4" s="1"/>
  <c r="E553" i="4"/>
  <c r="Q553" i="4" s="1"/>
  <c r="E552" i="4"/>
  <c r="Q552" i="4" s="1"/>
  <c r="Q551" i="4"/>
  <c r="E551" i="4"/>
  <c r="Q550" i="4"/>
  <c r="E550" i="4"/>
  <c r="P549" i="4"/>
  <c r="E549" i="4"/>
  <c r="Q549" i="4" s="1"/>
  <c r="R549" i="4" s="1"/>
  <c r="E548" i="4"/>
  <c r="Q548" i="4" s="1"/>
  <c r="E547" i="4"/>
  <c r="Q547" i="4" s="1"/>
  <c r="P547" i="4" s="1"/>
  <c r="E546" i="4"/>
  <c r="Q546" i="4" s="1"/>
  <c r="E545" i="4"/>
  <c r="Q545" i="4" s="1"/>
  <c r="P545" i="4" s="1"/>
  <c r="E544" i="4"/>
  <c r="Q544" i="4" s="1"/>
  <c r="Q543" i="4"/>
  <c r="E543" i="4"/>
  <c r="E542" i="4"/>
  <c r="Q542" i="4" s="1"/>
  <c r="R541" i="4"/>
  <c r="E541" i="4"/>
  <c r="Q541" i="4" s="1"/>
  <c r="P541" i="4" s="1"/>
  <c r="E540" i="4"/>
  <c r="Q540" i="4" s="1"/>
  <c r="E539" i="4"/>
  <c r="Q539" i="4" s="1"/>
  <c r="R539" i="4" s="1"/>
  <c r="E538" i="4"/>
  <c r="Q538" i="4" s="1"/>
  <c r="E537" i="4"/>
  <c r="Q537" i="4" s="1"/>
  <c r="E536" i="4"/>
  <c r="Q536" i="4" s="1"/>
  <c r="Q535" i="4"/>
  <c r="E535" i="4"/>
  <c r="Q534" i="4"/>
  <c r="E534" i="4"/>
  <c r="R533" i="4"/>
  <c r="E533" i="4"/>
  <c r="Q533" i="4" s="1"/>
  <c r="P533" i="4" s="1"/>
  <c r="E532" i="4"/>
  <c r="Q532" i="4" s="1"/>
  <c r="E531" i="4"/>
  <c r="Q531" i="4" s="1"/>
  <c r="P531" i="4" s="1"/>
  <c r="Q530" i="4"/>
  <c r="R530" i="4" s="1"/>
  <c r="P530" i="4"/>
  <c r="E530" i="4"/>
  <c r="E529" i="4"/>
  <c r="Q529" i="4" s="1"/>
  <c r="P529" i="4" s="1"/>
  <c r="E528" i="4"/>
  <c r="Q528" i="4" s="1"/>
  <c r="P527" i="4"/>
  <c r="E527" i="4"/>
  <c r="Q527" i="4" s="1"/>
  <c r="R527" i="4" s="1"/>
  <c r="Q526" i="4"/>
  <c r="E526" i="4"/>
  <c r="R525" i="4"/>
  <c r="P525" i="4"/>
  <c r="E525" i="4"/>
  <c r="Q525" i="4" s="1"/>
  <c r="E524" i="4"/>
  <c r="Q524" i="4" s="1"/>
  <c r="E523" i="4"/>
  <c r="Q523" i="4" s="1"/>
  <c r="R523" i="4" s="1"/>
  <c r="E522" i="4"/>
  <c r="Q522" i="4" s="1"/>
  <c r="E521" i="4"/>
  <c r="Q521" i="4" s="1"/>
  <c r="P521" i="4" s="1"/>
  <c r="E520" i="4"/>
  <c r="Q520" i="4" s="1"/>
  <c r="Q519" i="4"/>
  <c r="E519" i="4"/>
  <c r="E518" i="4"/>
  <c r="Q518" i="4" s="1"/>
  <c r="R517" i="4"/>
  <c r="P517" i="4"/>
  <c r="E517" i="4"/>
  <c r="Q517" i="4" s="1"/>
  <c r="E516" i="4"/>
  <c r="Q516" i="4" s="1"/>
  <c r="R515" i="4"/>
  <c r="E515" i="4"/>
  <c r="Q515" i="4" s="1"/>
  <c r="P515" i="4" s="1"/>
  <c r="Q514" i="4"/>
  <c r="R514" i="4" s="1"/>
  <c r="S514" i="4" s="1"/>
  <c r="T514" i="4" s="1"/>
  <c r="P514" i="4"/>
  <c r="O514" i="4"/>
  <c r="E514" i="4"/>
  <c r="E513" i="4"/>
  <c r="Q513" i="4" s="1"/>
  <c r="P513" i="4" s="1"/>
  <c r="E512" i="4"/>
  <c r="Q512" i="4" s="1"/>
  <c r="E511" i="4"/>
  <c r="E510" i="4"/>
  <c r="E509" i="4"/>
  <c r="E508" i="4"/>
  <c r="E507" i="4"/>
  <c r="AA506" i="4"/>
  <c r="Y506" i="4"/>
  <c r="E506" i="4"/>
  <c r="E505" i="4"/>
  <c r="AA504" i="4"/>
  <c r="E504" i="4"/>
  <c r="AA503" i="4"/>
  <c r="AC503" i="4" s="1"/>
  <c r="U503" i="4" s="1"/>
  <c r="Q503" i="4" s="1"/>
  <c r="E503" i="4"/>
  <c r="AA502" i="4"/>
  <c r="Y502" i="4"/>
  <c r="AC502" i="4" s="1"/>
  <c r="AD502" i="4" s="1"/>
  <c r="E502" i="4"/>
  <c r="E501" i="4"/>
  <c r="E500" i="4"/>
  <c r="V499" i="4"/>
  <c r="E499" i="4"/>
  <c r="V498" i="4"/>
  <c r="U498" i="4"/>
  <c r="Q498" i="4" s="1"/>
  <c r="E498" i="4"/>
  <c r="E497" i="4"/>
  <c r="V496" i="4"/>
  <c r="E496" i="4"/>
  <c r="AH495" i="4"/>
  <c r="V501" i="4" s="1"/>
  <c r="V495" i="4"/>
  <c r="U495" i="4"/>
  <c r="Q495" i="4" s="1"/>
  <c r="E495" i="4"/>
  <c r="AH494" i="4"/>
  <c r="E494" i="4"/>
  <c r="AH493" i="4"/>
  <c r="E493" i="4"/>
  <c r="U492" i="4"/>
  <c r="E492" i="4"/>
  <c r="E491" i="4"/>
  <c r="Q491" i="4" s="1"/>
  <c r="P491" i="4" s="1"/>
  <c r="E490" i="4"/>
  <c r="Q490" i="4" s="1"/>
  <c r="E489" i="4"/>
  <c r="Q489" i="4" s="1"/>
  <c r="R488" i="4"/>
  <c r="E488" i="4"/>
  <c r="Q488" i="4" s="1"/>
  <c r="P488" i="4" s="1"/>
  <c r="E487" i="4"/>
  <c r="Q487" i="4" s="1"/>
  <c r="E486" i="4"/>
  <c r="Q486" i="4" s="1"/>
  <c r="E485" i="4"/>
  <c r="Q485" i="4" s="1"/>
  <c r="E484" i="4"/>
  <c r="Q484" i="4" s="1"/>
  <c r="E483" i="4"/>
  <c r="Q483" i="4" s="1"/>
  <c r="P483" i="4" s="1"/>
  <c r="E482" i="4"/>
  <c r="Q482" i="4" s="1"/>
  <c r="AA481" i="4"/>
  <c r="E481" i="4"/>
  <c r="E480" i="4"/>
  <c r="E479" i="4"/>
  <c r="E478" i="4"/>
  <c r="E477" i="4"/>
  <c r="AA476" i="4"/>
  <c r="Z476" i="4"/>
  <c r="E476" i="4"/>
  <c r="AA475" i="4"/>
  <c r="E475" i="4"/>
  <c r="E474" i="4"/>
  <c r="AA473" i="4"/>
  <c r="AC473" i="4" s="1"/>
  <c r="U480" i="4" s="1"/>
  <c r="Q480" i="4" s="1"/>
  <c r="Z473" i="4"/>
  <c r="Y473" i="4"/>
  <c r="E473" i="4"/>
  <c r="AA472" i="4"/>
  <c r="Z472" i="4"/>
  <c r="Y472" i="4"/>
  <c r="E472" i="4"/>
  <c r="E471" i="4"/>
  <c r="Q471" i="4" s="1"/>
  <c r="E470" i="4"/>
  <c r="Q470" i="4" s="1"/>
  <c r="R470" i="4" s="1"/>
  <c r="S469" i="4"/>
  <c r="T469" i="4" s="1"/>
  <c r="Q469" i="4"/>
  <c r="R469" i="4" s="1"/>
  <c r="O469" i="4" s="1"/>
  <c r="P469" i="4"/>
  <c r="E469" i="4"/>
  <c r="S468" i="4"/>
  <c r="T468" i="4" s="1"/>
  <c r="E468" i="4"/>
  <c r="Q468" i="4" s="1"/>
  <c r="R468" i="4" s="1"/>
  <c r="O468" i="4" s="1"/>
  <c r="E467" i="4"/>
  <c r="Q467" i="4" s="1"/>
  <c r="Q466" i="4"/>
  <c r="P466" i="4" s="1"/>
  <c r="E466" i="4"/>
  <c r="Q465" i="4"/>
  <c r="E465" i="4"/>
  <c r="E464" i="4"/>
  <c r="Q464" i="4" s="1"/>
  <c r="E463" i="4"/>
  <c r="Q463" i="4" s="1"/>
  <c r="P463" i="4" s="1"/>
  <c r="E462" i="4"/>
  <c r="Q462" i="4" s="1"/>
  <c r="E461" i="4"/>
  <c r="Q461" i="4" s="1"/>
  <c r="E460" i="4"/>
  <c r="Q460" i="4" s="1"/>
  <c r="Q459" i="4"/>
  <c r="E459" i="4"/>
  <c r="E458" i="4"/>
  <c r="Q458" i="4" s="1"/>
  <c r="E457" i="4"/>
  <c r="Q457" i="4" s="1"/>
  <c r="E456" i="4"/>
  <c r="Q456" i="4" s="1"/>
  <c r="E455" i="4"/>
  <c r="Q455" i="4" s="1"/>
  <c r="P455" i="4" s="1"/>
  <c r="E454" i="4"/>
  <c r="Q454" i="4" s="1"/>
  <c r="E453" i="4"/>
  <c r="Q453" i="4" s="1"/>
  <c r="E452" i="4"/>
  <c r="Q452" i="4" s="1"/>
  <c r="R452" i="4" s="1"/>
  <c r="S452" i="4" s="1"/>
  <c r="T452" i="4" s="1"/>
  <c r="E451" i="4"/>
  <c r="Q451" i="4" s="1"/>
  <c r="P451" i="4" s="1"/>
  <c r="E450" i="4"/>
  <c r="Q450" i="4" s="1"/>
  <c r="R450" i="4" s="1"/>
  <c r="R449" i="4"/>
  <c r="E449" i="4"/>
  <c r="Q449" i="4" s="1"/>
  <c r="P449" i="4" s="1"/>
  <c r="P448" i="4"/>
  <c r="E448" i="4"/>
  <c r="Q448" i="4" s="1"/>
  <c r="R448" i="4" s="1"/>
  <c r="E447" i="4"/>
  <c r="Q447" i="4" s="1"/>
  <c r="E446" i="4"/>
  <c r="Q446" i="4" s="1"/>
  <c r="P446" i="4" s="1"/>
  <c r="E445" i="4"/>
  <c r="Q445" i="4" s="1"/>
  <c r="E444" i="4"/>
  <c r="Q444" i="4" s="1"/>
  <c r="R444" i="4" s="1"/>
  <c r="Q443" i="4"/>
  <c r="R443" i="4" s="1"/>
  <c r="S443" i="4" s="1"/>
  <c r="T443" i="4" s="1"/>
  <c r="P443" i="4"/>
  <c r="E443" i="4"/>
  <c r="E442" i="4"/>
  <c r="Q442" i="4" s="1"/>
  <c r="E441" i="4"/>
  <c r="Q441" i="4" s="1"/>
  <c r="E440" i="4"/>
  <c r="Q440" i="4" s="1"/>
  <c r="Q439" i="4"/>
  <c r="R439" i="4" s="1"/>
  <c r="P439" i="4"/>
  <c r="E439" i="4"/>
  <c r="E438" i="4"/>
  <c r="Q438" i="4" s="1"/>
  <c r="R438" i="4" s="1"/>
  <c r="E437" i="4"/>
  <c r="Q437" i="4" s="1"/>
  <c r="E436" i="4"/>
  <c r="Q436" i="4" s="1"/>
  <c r="R436" i="4" s="1"/>
  <c r="S436" i="4" s="1"/>
  <c r="T436" i="4" s="1"/>
  <c r="P435" i="4"/>
  <c r="E435" i="4"/>
  <c r="Q435" i="4" s="1"/>
  <c r="R435" i="4" s="1"/>
  <c r="E434" i="4"/>
  <c r="Q434" i="4" s="1"/>
  <c r="R434" i="4" s="1"/>
  <c r="E433" i="4"/>
  <c r="Q433" i="4" s="1"/>
  <c r="E432" i="4"/>
  <c r="Q432" i="4" s="1"/>
  <c r="W431" i="4"/>
  <c r="V431" i="4"/>
  <c r="U431" i="4"/>
  <c r="N431" i="4"/>
  <c r="I431" i="4"/>
  <c r="H431" i="4"/>
  <c r="E431" i="4"/>
  <c r="W430" i="4"/>
  <c r="H430" i="4"/>
  <c r="E430" i="4"/>
  <c r="J429" i="4"/>
  <c r="H429" i="4"/>
  <c r="I429" i="4" s="1"/>
  <c r="K429" i="4" s="1"/>
  <c r="E429" i="4"/>
  <c r="H428" i="4"/>
  <c r="N428" i="4" s="1"/>
  <c r="E428" i="4"/>
  <c r="H427" i="4"/>
  <c r="N427" i="4" s="1"/>
  <c r="E427" i="4"/>
  <c r="AH426" i="4"/>
  <c r="W426" i="4"/>
  <c r="H426" i="4"/>
  <c r="E426" i="4"/>
  <c r="AH425" i="4"/>
  <c r="H425" i="4"/>
  <c r="N425" i="4" s="1"/>
  <c r="E425" i="4"/>
  <c r="AH424" i="4"/>
  <c r="U425" i="4" s="1"/>
  <c r="U424" i="4"/>
  <c r="H424" i="4"/>
  <c r="N424" i="4" s="1"/>
  <c r="E424" i="4"/>
  <c r="AH423" i="4"/>
  <c r="W423" i="4"/>
  <c r="U423" i="4"/>
  <c r="H423" i="4"/>
  <c r="E423" i="4"/>
  <c r="H422" i="4"/>
  <c r="E422" i="4"/>
  <c r="E421" i="4"/>
  <c r="Q421" i="4" s="1"/>
  <c r="P421" i="4" s="1"/>
  <c r="E420" i="4"/>
  <c r="Q420" i="4" s="1"/>
  <c r="E419" i="4"/>
  <c r="Q419" i="4" s="1"/>
  <c r="Q418" i="4"/>
  <c r="P418" i="4" s="1"/>
  <c r="E418" i="4"/>
  <c r="E417" i="4"/>
  <c r="Q417" i="4" s="1"/>
  <c r="E416" i="4"/>
  <c r="Q416" i="4" s="1"/>
  <c r="R416" i="4" s="1"/>
  <c r="S416" i="4" s="1"/>
  <c r="T416" i="4" s="1"/>
  <c r="E415" i="4"/>
  <c r="Q415" i="4" s="1"/>
  <c r="R415" i="4" s="1"/>
  <c r="S415" i="4" s="1"/>
  <c r="T415" i="4" s="1"/>
  <c r="P414" i="4"/>
  <c r="E414" i="4"/>
  <c r="Q414" i="4" s="1"/>
  <c r="R414" i="4" s="1"/>
  <c r="E413" i="4"/>
  <c r="Q413" i="4" s="1"/>
  <c r="E412" i="4"/>
  <c r="Q412" i="4" s="1"/>
  <c r="E411" i="4"/>
  <c r="E410" i="4"/>
  <c r="U409" i="4"/>
  <c r="E409" i="4"/>
  <c r="E408" i="4"/>
  <c r="E407" i="4"/>
  <c r="E406" i="4"/>
  <c r="AH405" i="4"/>
  <c r="V406" i="4" s="1"/>
  <c r="V405" i="4"/>
  <c r="U405" i="4"/>
  <c r="Q405" i="4" s="1"/>
  <c r="E405" i="4"/>
  <c r="AH404" i="4"/>
  <c r="V404" i="4"/>
  <c r="U404" i="4"/>
  <c r="E404" i="4"/>
  <c r="AH403" i="4"/>
  <c r="E403" i="4"/>
  <c r="V402" i="4"/>
  <c r="E402" i="4"/>
  <c r="Q401" i="4"/>
  <c r="R401" i="4" s="1"/>
  <c r="O401" i="4" s="1"/>
  <c r="P401" i="4"/>
  <c r="E401" i="4"/>
  <c r="E400" i="4"/>
  <c r="Q400" i="4" s="1"/>
  <c r="E399" i="4"/>
  <c r="Q399" i="4" s="1"/>
  <c r="E398" i="4"/>
  <c r="Q398" i="4" s="1"/>
  <c r="E397" i="4"/>
  <c r="Q397" i="4" s="1"/>
  <c r="Q396" i="4"/>
  <c r="E396" i="4"/>
  <c r="Q395" i="4"/>
  <c r="R395" i="4" s="1"/>
  <c r="S395" i="4" s="1"/>
  <c r="T395" i="4" s="1"/>
  <c r="P395" i="4"/>
  <c r="O395" i="4"/>
  <c r="E395" i="4"/>
  <c r="E394" i="4"/>
  <c r="Q394" i="4" s="1"/>
  <c r="E393" i="4"/>
  <c r="Q393" i="4" s="1"/>
  <c r="E392" i="4"/>
  <c r="Q392" i="4" s="1"/>
  <c r="E391" i="4"/>
  <c r="Q391" i="4" s="1"/>
  <c r="Q390" i="4"/>
  <c r="R390" i="4" s="1"/>
  <c r="E390" i="4"/>
  <c r="E389" i="4"/>
  <c r="Q389" i="4" s="1"/>
  <c r="E388" i="4"/>
  <c r="Q388" i="4" s="1"/>
  <c r="Y387" i="4"/>
  <c r="E387" i="4"/>
  <c r="Q387" i="4" s="1"/>
  <c r="AB386" i="4"/>
  <c r="R386" i="4"/>
  <c r="E386" i="4"/>
  <c r="Q386" i="4" s="1"/>
  <c r="P386" i="4" s="1"/>
  <c r="E385" i="4"/>
  <c r="Q385" i="4" s="1"/>
  <c r="R385" i="4" s="1"/>
  <c r="S385" i="4" s="1"/>
  <c r="T385" i="4" s="1"/>
  <c r="S384" i="4"/>
  <c r="T384" i="4" s="1"/>
  <c r="P384" i="4"/>
  <c r="E384" i="4"/>
  <c r="Q384" i="4" s="1"/>
  <c r="R384" i="4" s="1"/>
  <c r="O384" i="4" s="1"/>
  <c r="E383" i="4"/>
  <c r="Q383" i="4" s="1"/>
  <c r="AE382" i="4"/>
  <c r="AE386" i="4" s="1"/>
  <c r="AD382" i="4"/>
  <c r="AD386" i="4" s="1"/>
  <c r="AC382" i="4"/>
  <c r="AC386" i="4" s="1"/>
  <c r="AB382" i="4"/>
  <c r="AA382" i="4"/>
  <c r="AA386" i="4" s="1"/>
  <c r="Z382" i="4"/>
  <c r="E382" i="4"/>
  <c r="Q382" i="4" s="1"/>
  <c r="E381" i="4"/>
  <c r="Q381" i="4" s="1"/>
  <c r="AH380" i="4"/>
  <c r="E380" i="4"/>
  <c r="Q380" i="4" s="1"/>
  <c r="E379" i="4"/>
  <c r="Q379" i="4" s="1"/>
  <c r="P379" i="4" s="1"/>
  <c r="E378" i="4"/>
  <c r="Q378" i="4" s="1"/>
  <c r="E377" i="4"/>
  <c r="Q377" i="4" s="1"/>
  <c r="E376" i="4"/>
  <c r="Q376" i="4" s="1"/>
  <c r="E375" i="4"/>
  <c r="Q375" i="4" s="1"/>
  <c r="P375" i="4" s="1"/>
  <c r="E374" i="4"/>
  <c r="Q374" i="4" s="1"/>
  <c r="Q373" i="4"/>
  <c r="E373" i="4"/>
  <c r="E372" i="4"/>
  <c r="Q372" i="4" s="1"/>
  <c r="E371" i="4"/>
  <c r="E370" i="4"/>
  <c r="E369" i="4"/>
  <c r="E368" i="4"/>
  <c r="Y367" i="4"/>
  <c r="E367" i="4"/>
  <c r="Y366" i="4"/>
  <c r="U366" i="4"/>
  <c r="E366" i="4"/>
  <c r="Y365" i="4"/>
  <c r="U365" i="4"/>
  <c r="Q365" i="4" s="1"/>
  <c r="R365" i="4" s="1"/>
  <c r="AA365" i="4" s="1"/>
  <c r="S365" i="4"/>
  <c r="T365" i="4" s="1"/>
  <c r="P365" i="4"/>
  <c r="O365" i="4"/>
  <c r="E365" i="4"/>
  <c r="U364" i="4"/>
  <c r="E364" i="4"/>
  <c r="Q364" i="4" s="1"/>
  <c r="Y363" i="4"/>
  <c r="U367" i="4" s="1"/>
  <c r="Q367" i="4" s="1"/>
  <c r="P367" i="4" s="1"/>
  <c r="E363" i="4"/>
  <c r="Y362" i="4"/>
  <c r="Z362" i="4" s="1"/>
  <c r="U362" i="4"/>
  <c r="Q362" i="4" s="1"/>
  <c r="P362" i="4" s="1"/>
  <c r="E362" i="4"/>
  <c r="Q361" i="4"/>
  <c r="E361" i="4"/>
  <c r="E360" i="4"/>
  <c r="Q360" i="4" s="1"/>
  <c r="Q359" i="4"/>
  <c r="R359" i="4" s="1"/>
  <c r="P359" i="4"/>
  <c r="E359" i="4"/>
  <c r="E358" i="4"/>
  <c r="Q358" i="4" s="1"/>
  <c r="R358" i="4" s="1"/>
  <c r="E357" i="4"/>
  <c r="Q357" i="4" s="1"/>
  <c r="S356" i="4"/>
  <c r="T356" i="4" s="1"/>
  <c r="P356" i="4"/>
  <c r="O356" i="4"/>
  <c r="E356" i="4"/>
  <c r="Q356" i="4" s="1"/>
  <c r="R356" i="4" s="1"/>
  <c r="E355" i="4"/>
  <c r="Q355" i="4" s="1"/>
  <c r="E354" i="4"/>
  <c r="Q354" i="4" s="1"/>
  <c r="Q353" i="4"/>
  <c r="E353" i="4"/>
  <c r="Q352" i="4"/>
  <c r="R352" i="4" s="1"/>
  <c r="O352" i="4" s="1"/>
  <c r="P352" i="4"/>
  <c r="E352" i="4"/>
  <c r="E351" i="4"/>
  <c r="E350" i="4"/>
  <c r="E349" i="4"/>
  <c r="U348" i="4"/>
  <c r="Q348" i="4" s="1"/>
  <c r="E348" i="4"/>
  <c r="E347" i="4"/>
  <c r="E346" i="4"/>
  <c r="E345" i="4"/>
  <c r="AC344" i="4"/>
  <c r="AB344" i="4"/>
  <c r="AA344" i="4"/>
  <c r="Z344" i="4"/>
  <c r="Y344" i="4"/>
  <c r="E344" i="4"/>
  <c r="AC343" i="4"/>
  <c r="AB343" i="4"/>
  <c r="AA343" i="4"/>
  <c r="Z343" i="4"/>
  <c r="Y343" i="4"/>
  <c r="AE343" i="4" s="1"/>
  <c r="E343" i="4"/>
  <c r="E342" i="4"/>
  <c r="E341" i="4"/>
  <c r="Q341" i="4" s="1"/>
  <c r="R341" i="4" s="1"/>
  <c r="Q340" i="4"/>
  <c r="E340" i="4"/>
  <c r="E339" i="4"/>
  <c r="Q339" i="4" s="1"/>
  <c r="E338" i="4"/>
  <c r="Q338" i="4" s="1"/>
  <c r="R338" i="4" s="1"/>
  <c r="S338" i="4" s="1"/>
  <c r="T338" i="4" s="1"/>
  <c r="E337" i="4"/>
  <c r="Q337" i="4" s="1"/>
  <c r="E336" i="4"/>
  <c r="Q336" i="4" s="1"/>
  <c r="P335" i="4"/>
  <c r="E335" i="4"/>
  <c r="Q335" i="4" s="1"/>
  <c r="R335" i="4" s="1"/>
  <c r="E334" i="4"/>
  <c r="Q334" i="4" s="1"/>
  <c r="E333" i="4"/>
  <c r="Q333" i="4" s="1"/>
  <c r="E332" i="4"/>
  <c r="Q332" i="4" s="1"/>
  <c r="V331" i="4"/>
  <c r="E331" i="4"/>
  <c r="U330" i="4"/>
  <c r="E330" i="4"/>
  <c r="U329" i="4"/>
  <c r="E329" i="4"/>
  <c r="U328" i="4"/>
  <c r="E328" i="4"/>
  <c r="E327" i="4"/>
  <c r="U326" i="4"/>
  <c r="E326" i="4"/>
  <c r="AK325" i="4"/>
  <c r="U325" i="4"/>
  <c r="E325" i="4"/>
  <c r="AK324" i="4"/>
  <c r="U324" i="4"/>
  <c r="E324" i="4"/>
  <c r="AK323" i="4"/>
  <c r="E323" i="4"/>
  <c r="E322" i="4"/>
  <c r="E321" i="4"/>
  <c r="Q321" i="4" s="1"/>
  <c r="E320" i="4"/>
  <c r="Q320" i="4" s="1"/>
  <c r="Q319" i="4"/>
  <c r="E319" i="4"/>
  <c r="S318" i="4"/>
  <c r="T318" i="4" s="1"/>
  <c r="P318" i="4"/>
  <c r="E318" i="4"/>
  <c r="Q318" i="4" s="1"/>
  <c r="R318" i="4" s="1"/>
  <c r="O318" i="4" s="1"/>
  <c r="E317" i="4"/>
  <c r="Q317" i="4" s="1"/>
  <c r="E316" i="4"/>
  <c r="Q316" i="4" s="1"/>
  <c r="P316" i="4" s="1"/>
  <c r="E315" i="4"/>
  <c r="Q315" i="4" s="1"/>
  <c r="P314" i="4"/>
  <c r="E314" i="4"/>
  <c r="Q314" i="4" s="1"/>
  <c r="R314" i="4" s="1"/>
  <c r="O314" i="4" s="1"/>
  <c r="E313" i="4"/>
  <c r="Q313" i="4" s="1"/>
  <c r="E312" i="4"/>
  <c r="Q312" i="4" s="1"/>
  <c r="R312" i="4" s="1"/>
  <c r="E311" i="4"/>
  <c r="Q311" i="4" s="1"/>
  <c r="E310" i="4"/>
  <c r="Q310" i="4" s="1"/>
  <c r="P310" i="4" s="1"/>
  <c r="E309" i="4"/>
  <c r="Q309" i="4" s="1"/>
  <c r="E308" i="4"/>
  <c r="Q308" i="4" s="1"/>
  <c r="R308" i="4" s="1"/>
  <c r="Q307" i="4"/>
  <c r="R307" i="4" s="1"/>
  <c r="P307" i="4"/>
  <c r="E307" i="4"/>
  <c r="E306" i="4"/>
  <c r="Q306" i="4" s="1"/>
  <c r="E305" i="4"/>
  <c r="Q305" i="4" s="1"/>
  <c r="E304" i="4"/>
  <c r="Q304" i="4" s="1"/>
  <c r="E303" i="4"/>
  <c r="Q303" i="4" s="1"/>
  <c r="E302" i="4"/>
  <c r="Q302" i="4" s="1"/>
  <c r="E301" i="4"/>
  <c r="Q301" i="4" s="1"/>
  <c r="E300" i="4"/>
  <c r="Q300" i="4" s="1"/>
  <c r="Q299" i="4"/>
  <c r="R299" i="4" s="1"/>
  <c r="P299" i="4"/>
  <c r="E299" i="4"/>
  <c r="O298" i="4"/>
  <c r="E298" i="4"/>
  <c r="Q298" i="4" s="1"/>
  <c r="R298" i="4" s="1"/>
  <c r="S298" i="4" s="1"/>
  <c r="T298" i="4" s="1"/>
  <c r="E297" i="4"/>
  <c r="Q297" i="4" s="1"/>
  <c r="P297" i="4" s="1"/>
  <c r="Q296" i="4"/>
  <c r="E296" i="4"/>
  <c r="E295" i="4"/>
  <c r="Q295" i="4" s="1"/>
  <c r="P294" i="4"/>
  <c r="O294" i="4"/>
  <c r="E294" i="4"/>
  <c r="Q294" i="4" s="1"/>
  <c r="R294" i="4" s="1"/>
  <c r="S294" i="4" s="1"/>
  <c r="T294" i="4" s="1"/>
  <c r="E293" i="4"/>
  <c r="Q293" i="4" s="1"/>
  <c r="E292" i="4"/>
  <c r="Q292" i="4" s="1"/>
  <c r="R292" i="4" s="1"/>
  <c r="Z291" i="4"/>
  <c r="Y291" i="4"/>
  <c r="E291" i="4"/>
  <c r="E290" i="4"/>
  <c r="E289" i="4"/>
  <c r="E288" i="4"/>
  <c r="E287" i="4"/>
  <c r="E286" i="4"/>
  <c r="Z285" i="4"/>
  <c r="Y285" i="4"/>
  <c r="E285" i="4"/>
  <c r="E284" i="4"/>
  <c r="AB283" i="4"/>
  <c r="AA283" i="4"/>
  <c r="Z283" i="4"/>
  <c r="Y283" i="4"/>
  <c r="E283" i="4"/>
  <c r="AB282" i="4"/>
  <c r="AA282" i="4"/>
  <c r="Z282" i="4"/>
  <c r="Y282" i="4"/>
  <c r="E282" i="4"/>
  <c r="E281" i="4"/>
  <c r="Q281" i="4" s="1"/>
  <c r="E280" i="4"/>
  <c r="Q280" i="4" s="1"/>
  <c r="E279" i="4"/>
  <c r="Q279" i="4" s="1"/>
  <c r="E278" i="4"/>
  <c r="Q278" i="4" s="1"/>
  <c r="E277" i="4"/>
  <c r="Q277" i="4" s="1"/>
  <c r="E276" i="4"/>
  <c r="Q276" i="4" s="1"/>
  <c r="S275" i="4"/>
  <c r="T275" i="4" s="1"/>
  <c r="Q275" i="4"/>
  <c r="R275" i="4" s="1"/>
  <c r="O275" i="4" s="1"/>
  <c r="P275" i="4"/>
  <c r="E275" i="4"/>
  <c r="E274" i="4"/>
  <c r="Q274" i="4" s="1"/>
  <c r="E273" i="4"/>
  <c r="Q273" i="4" s="1"/>
  <c r="E272" i="4"/>
  <c r="Q272" i="4" s="1"/>
  <c r="E271" i="4"/>
  <c r="Q271" i="4" s="1"/>
  <c r="E270" i="4"/>
  <c r="Q270" i="4" s="1"/>
  <c r="E269" i="4"/>
  <c r="Q269" i="4" s="1"/>
  <c r="E268" i="4"/>
  <c r="Q268" i="4" s="1"/>
  <c r="E267" i="4"/>
  <c r="Q267" i="4" s="1"/>
  <c r="R267" i="4" s="1"/>
  <c r="R266" i="4"/>
  <c r="E266" i="4"/>
  <c r="Q266" i="4" s="1"/>
  <c r="P266" i="4" s="1"/>
  <c r="E265" i="4"/>
  <c r="Q265" i="4" s="1"/>
  <c r="R265" i="4" s="1"/>
  <c r="Q264" i="4"/>
  <c r="E264" i="4"/>
  <c r="E263" i="4"/>
  <c r="Q263" i="4" s="1"/>
  <c r="P262" i="4"/>
  <c r="E262" i="4"/>
  <c r="Q262" i="4" s="1"/>
  <c r="R262" i="4" s="1"/>
  <c r="W261" i="4"/>
  <c r="V261" i="4"/>
  <c r="U261" i="4"/>
  <c r="H261" i="4"/>
  <c r="E261" i="4"/>
  <c r="W260" i="4"/>
  <c r="V260" i="4"/>
  <c r="U260" i="4"/>
  <c r="H260" i="4"/>
  <c r="E260" i="4"/>
  <c r="W259" i="4"/>
  <c r="V259" i="4"/>
  <c r="U259" i="4"/>
  <c r="H259" i="4"/>
  <c r="I259" i="4" s="1"/>
  <c r="E259" i="4"/>
  <c r="W258" i="4"/>
  <c r="V258" i="4"/>
  <c r="U258" i="4"/>
  <c r="H258" i="4"/>
  <c r="E258" i="4"/>
  <c r="W257" i="4"/>
  <c r="V257" i="4"/>
  <c r="U257" i="4"/>
  <c r="N257" i="4"/>
  <c r="H257" i="4"/>
  <c r="I257" i="4" s="1"/>
  <c r="E257" i="4"/>
  <c r="W256" i="4"/>
  <c r="V256" i="4"/>
  <c r="U256" i="4"/>
  <c r="N256" i="4"/>
  <c r="I256" i="4"/>
  <c r="H256" i="4"/>
  <c r="E256" i="4"/>
  <c r="W255" i="4"/>
  <c r="V255" i="4"/>
  <c r="U255" i="4"/>
  <c r="H255" i="4"/>
  <c r="I255" i="4" s="1"/>
  <c r="E255" i="4"/>
  <c r="W254" i="4"/>
  <c r="V254" i="4"/>
  <c r="U254" i="4"/>
  <c r="Q254" i="4" s="1"/>
  <c r="H254" i="4"/>
  <c r="N254" i="4" s="1"/>
  <c r="E254" i="4"/>
  <c r="W253" i="4"/>
  <c r="V253" i="4"/>
  <c r="U253" i="4"/>
  <c r="Q253" i="4" s="1"/>
  <c r="I253" i="4"/>
  <c r="J253" i="4" s="1"/>
  <c r="H253" i="4"/>
  <c r="N253" i="4" s="1"/>
  <c r="E253" i="4"/>
  <c r="W252" i="4"/>
  <c r="V252" i="4"/>
  <c r="U252" i="4"/>
  <c r="H252" i="4"/>
  <c r="N252" i="4" s="1"/>
  <c r="E252" i="4"/>
  <c r="E251" i="4"/>
  <c r="Q251" i="4" s="1"/>
  <c r="R250" i="4"/>
  <c r="Q250" i="4"/>
  <c r="P250" i="4" s="1"/>
  <c r="E250" i="4"/>
  <c r="Q249" i="4"/>
  <c r="E249" i="4"/>
  <c r="E248" i="4"/>
  <c r="Q248" i="4" s="1"/>
  <c r="E247" i="4"/>
  <c r="Q247" i="4" s="1"/>
  <c r="R247" i="4" s="1"/>
  <c r="O247" i="4" s="1"/>
  <c r="E246" i="4"/>
  <c r="Q246" i="4" s="1"/>
  <c r="E245" i="4"/>
  <c r="Q245" i="4" s="1"/>
  <c r="E244" i="4"/>
  <c r="Q244" i="4" s="1"/>
  <c r="E243" i="4"/>
  <c r="Q243" i="4" s="1"/>
  <c r="R243" i="4" s="1"/>
  <c r="E242" i="4"/>
  <c r="Q242" i="4" s="1"/>
  <c r="P242" i="4" s="1"/>
  <c r="Q241" i="4"/>
  <c r="R241" i="4" s="1"/>
  <c r="O241" i="4" s="1"/>
  <c r="P241" i="4"/>
  <c r="E241" i="4"/>
  <c r="P240" i="4"/>
  <c r="O240" i="4"/>
  <c r="E240" i="4"/>
  <c r="Q240" i="4" s="1"/>
  <c r="R240" i="4" s="1"/>
  <c r="S240" i="4" s="1"/>
  <c r="T240" i="4" s="1"/>
  <c r="E239" i="4"/>
  <c r="Q239" i="4" s="1"/>
  <c r="R239" i="4" s="1"/>
  <c r="S239" i="4" s="1"/>
  <c r="T239" i="4" s="1"/>
  <c r="P238" i="4"/>
  <c r="E238" i="4"/>
  <c r="Q238" i="4" s="1"/>
  <c r="R238" i="4" s="1"/>
  <c r="O238" i="4" s="1"/>
  <c r="E237" i="4"/>
  <c r="Q237" i="4" s="1"/>
  <c r="Q236" i="4"/>
  <c r="R236" i="4" s="1"/>
  <c r="P236" i="4"/>
  <c r="E236" i="4"/>
  <c r="E235" i="4"/>
  <c r="Q235" i="4" s="1"/>
  <c r="R235" i="4" s="1"/>
  <c r="S235" i="4" s="1"/>
  <c r="T235" i="4" s="1"/>
  <c r="E234" i="4"/>
  <c r="Q234" i="4" s="1"/>
  <c r="E233" i="4"/>
  <c r="Q233" i="4" s="1"/>
  <c r="E232" i="4"/>
  <c r="Q232" i="4" s="1"/>
  <c r="R232" i="4" s="1"/>
  <c r="E231" i="4"/>
  <c r="Q231" i="4" s="1"/>
  <c r="E230" i="4"/>
  <c r="Q230" i="4" s="1"/>
  <c r="E229" i="4"/>
  <c r="Q229" i="4" s="1"/>
  <c r="E228" i="4"/>
  <c r="Q228" i="4" s="1"/>
  <c r="R227" i="4"/>
  <c r="P227" i="4"/>
  <c r="E227" i="4"/>
  <c r="Q227" i="4" s="1"/>
  <c r="Q226" i="4"/>
  <c r="E226" i="4"/>
  <c r="E225" i="4"/>
  <c r="Q225" i="4" s="1"/>
  <c r="R224" i="4"/>
  <c r="Q224" i="4"/>
  <c r="P224" i="4"/>
  <c r="E224" i="4"/>
  <c r="Q223" i="4"/>
  <c r="E223" i="4"/>
  <c r="E222" i="4"/>
  <c r="Q222" i="4" s="1"/>
  <c r="R221" i="4"/>
  <c r="P221" i="4"/>
  <c r="E221" i="4"/>
  <c r="Q221" i="4" s="1"/>
  <c r="E220" i="4"/>
  <c r="Q220" i="4" s="1"/>
  <c r="E219" i="4"/>
  <c r="Q219" i="4" s="1"/>
  <c r="P219" i="4" s="1"/>
  <c r="Q218" i="4"/>
  <c r="P218" i="4" s="1"/>
  <c r="E218" i="4"/>
  <c r="E217" i="4"/>
  <c r="Q217" i="4" s="1"/>
  <c r="E216" i="4"/>
  <c r="Q216" i="4" s="1"/>
  <c r="E215" i="4"/>
  <c r="Q215" i="4" s="1"/>
  <c r="R215" i="4" s="1"/>
  <c r="O215" i="4" s="1"/>
  <c r="E214" i="4"/>
  <c r="Q214" i="4" s="1"/>
  <c r="E213" i="4"/>
  <c r="Q213" i="4" s="1"/>
  <c r="P212" i="4"/>
  <c r="E212" i="4"/>
  <c r="Q212" i="4" s="1"/>
  <c r="R212" i="4" s="1"/>
  <c r="S212" i="4" s="1"/>
  <c r="T212" i="4" s="1"/>
  <c r="E211" i="4"/>
  <c r="Q211" i="4" s="1"/>
  <c r="R211" i="4" s="1"/>
  <c r="E210" i="4"/>
  <c r="Q210" i="4" s="1"/>
  <c r="P210" i="4" s="1"/>
  <c r="Q209" i="4"/>
  <c r="R209" i="4" s="1"/>
  <c r="O209" i="4" s="1"/>
  <c r="P209" i="4"/>
  <c r="E209" i="4"/>
  <c r="P208" i="4"/>
  <c r="O208" i="4"/>
  <c r="E208" i="4"/>
  <c r="Q208" i="4" s="1"/>
  <c r="R208" i="4" s="1"/>
  <c r="S208" i="4" s="1"/>
  <c r="T208" i="4" s="1"/>
  <c r="E207" i="4"/>
  <c r="Q207" i="4" s="1"/>
  <c r="R207" i="4" s="1"/>
  <c r="S207" i="4" s="1"/>
  <c r="T207" i="4" s="1"/>
  <c r="P206" i="4"/>
  <c r="E206" i="4"/>
  <c r="Q206" i="4" s="1"/>
  <c r="R206" i="4" s="1"/>
  <c r="O206" i="4" s="1"/>
  <c r="E205" i="4"/>
  <c r="Q205" i="4" s="1"/>
  <c r="Q204" i="4"/>
  <c r="R204" i="4" s="1"/>
  <c r="P204" i="4"/>
  <c r="E204" i="4"/>
  <c r="E203" i="4"/>
  <c r="Q203" i="4" s="1"/>
  <c r="R203" i="4" s="1"/>
  <c r="S203" i="4" s="1"/>
  <c r="T203" i="4" s="1"/>
  <c r="Q202" i="4"/>
  <c r="E202" i="4"/>
  <c r="E201" i="4"/>
  <c r="Q201" i="4" s="1"/>
  <c r="E200" i="4"/>
  <c r="Q200" i="4" s="1"/>
  <c r="R200" i="4" s="1"/>
  <c r="Q199" i="4"/>
  <c r="E199" i="4"/>
  <c r="R198" i="4"/>
  <c r="P198" i="4"/>
  <c r="E198" i="4"/>
  <c r="Q198" i="4" s="1"/>
  <c r="E197" i="4"/>
  <c r="Q197" i="4" s="1"/>
  <c r="E196" i="4"/>
  <c r="Q196" i="4" s="1"/>
  <c r="R195" i="4"/>
  <c r="P195" i="4"/>
  <c r="E195" i="4"/>
  <c r="Q195" i="4" s="1"/>
  <c r="E194" i="4"/>
  <c r="Q194" i="4" s="1"/>
  <c r="E193" i="4"/>
  <c r="Q193" i="4" s="1"/>
  <c r="R192" i="4"/>
  <c r="S192" i="4" s="1"/>
  <c r="T192" i="4" s="1"/>
  <c r="Q192" i="4"/>
  <c r="P192" i="4"/>
  <c r="O192" i="4"/>
  <c r="E192" i="4"/>
  <c r="E191" i="4"/>
  <c r="Q191" i="4" s="1"/>
  <c r="R190" i="4"/>
  <c r="O190" i="4" s="1"/>
  <c r="Q190" i="4"/>
  <c r="P190" i="4" s="1"/>
  <c r="E190" i="4"/>
  <c r="E189" i="4"/>
  <c r="Q189" i="4" s="1"/>
  <c r="O188" i="4"/>
  <c r="E188" i="4"/>
  <c r="Q188" i="4" s="1"/>
  <c r="R188" i="4" s="1"/>
  <c r="S188" i="4" s="1"/>
  <c r="T188" i="4" s="1"/>
  <c r="E187" i="4"/>
  <c r="Q187" i="4" s="1"/>
  <c r="P187" i="4" s="1"/>
  <c r="Q186" i="4"/>
  <c r="P186" i="4" s="1"/>
  <c r="E186" i="4"/>
  <c r="R185" i="4"/>
  <c r="E185" i="4"/>
  <c r="Q185" i="4" s="1"/>
  <c r="P185" i="4" s="1"/>
  <c r="P184" i="4"/>
  <c r="O184" i="4"/>
  <c r="E184" i="4"/>
  <c r="Q184" i="4" s="1"/>
  <c r="R184" i="4" s="1"/>
  <c r="S184" i="4" s="1"/>
  <c r="T184" i="4" s="1"/>
  <c r="E183" i="4"/>
  <c r="Q183" i="4" s="1"/>
  <c r="R183" i="4" s="1"/>
  <c r="E182" i="4"/>
  <c r="Q182" i="4" s="1"/>
  <c r="P182" i="4" s="1"/>
  <c r="E181" i="4"/>
  <c r="Q181" i="4" s="1"/>
  <c r="R181" i="4" s="1"/>
  <c r="S181" i="4" s="1"/>
  <c r="T181" i="4" s="1"/>
  <c r="E180" i="4"/>
  <c r="Q180" i="4" s="1"/>
  <c r="E179" i="4"/>
  <c r="Q179" i="4" s="1"/>
  <c r="R179" i="4" s="1"/>
  <c r="E178" i="4"/>
  <c r="Q178" i="4" s="1"/>
  <c r="P178" i="4" s="1"/>
  <c r="Q177" i="4"/>
  <c r="E177" i="4"/>
  <c r="Q176" i="4"/>
  <c r="E176" i="4"/>
  <c r="E175" i="4"/>
  <c r="Q175" i="4" s="1"/>
  <c r="E174" i="4"/>
  <c r="Q174" i="4" s="1"/>
  <c r="E173" i="4"/>
  <c r="Q173" i="4" s="1"/>
  <c r="P173" i="4" s="1"/>
  <c r="Q172" i="4"/>
  <c r="E172" i="4"/>
  <c r="E171" i="4"/>
  <c r="Q171" i="4" s="1"/>
  <c r="E170" i="4"/>
  <c r="Q170" i="4" s="1"/>
  <c r="E169" i="4"/>
  <c r="Q169" i="4" s="1"/>
  <c r="R168" i="4"/>
  <c r="Q168" i="4"/>
  <c r="P168" i="4" s="1"/>
  <c r="E168" i="4"/>
  <c r="Q167" i="4"/>
  <c r="E167" i="4"/>
  <c r="Q166" i="4"/>
  <c r="R166" i="4" s="1"/>
  <c r="P166" i="4"/>
  <c r="E166" i="4"/>
  <c r="E165" i="4"/>
  <c r="Q165" i="4" s="1"/>
  <c r="E164" i="4"/>
  <c r="Q164" i="4" s="1"/>
  <c r="E163" i="4"/>
  <c r="Q163" i="4" s="1"/>
  <c r="E162" i="4"/>
  <c r="Q162" i="4" s="1"/>
  <c r="W161" i="4"/>
  <c r="V161" i="4"/>
  <c r="U161" i="4"/>
  <c r="Q161" i="4"/>
  <c r="P161" i="4" s="1"/>
  <c r="H161" i="4"/>
  <c r="I161" i="4" s="1"/>
  <c r="J161" i="4" s="1"/>
  <c r="E161" i="4"/>
  <c r="W160" i="4"/>
  <c r="Q160" i="4" s="1"/>
  <c r="V160" i="4"/>
  <c r="U160" i="4"/>
  <c r="H160" i="4"/>
  <c r="N160" i="4" s="1"/>
  <c r="E160" i="4"/>
  <c r="W159" i="4"/>
  <c r="V159" i="4"/>
  <c r="U159" i="4"/>
  <c r="H159" i="4"/>
  <c r="E159" i="4"/>
  <c r="W158" i="4"/>
  <c r="V158" i="4"/>
  <c r="U158" i="4"/>
  <c r="N158" i="4"/>
  <c r="H158" i="4"/>
  <c r="I158" i="4" s="1"/>
  <c r="E158" i="4"/>
  <c r="W157" i="4"/>
  <c r="V157" i="4"/>
  <c r="U157" i="4"/>
  <c r="H157" i="4"/>
  <c r="I157" i="4" s="1"/>
  <c r="E157" i="4"/>
  <c r="W156" i="4"/>
  <c r="V156" i="4"/>
  <c r="U156" i="4"/>
  <c r="N156" i="4"/>
  <c r="H156" i="4"/>
  <c r="I156" i="4" s="1"/>
  <c r="K156" i="4" s="1"/>
  <c r="E156" i="4"/>
  <c r="W155" i="4"/>
  <c r="V155" i="4"/>
  <c r="U155" i="4"/>
  <c r="N155" i="4"/>
  <c r="I155" i="4"/>
  <c r="K155" i="4" s="1"/>
  <c r="H155" i="4"/>
  <c r="E155" i="4"/>
  <c r="W154" i="4"/>
  <c r="V154" i="4"/>
  <c r="U154" i="4"/>
  <c r="H154" i="4"/>
  <c r="I154" i="4" s="1"/>
  <c r="E154" i="4"/>
  <c r="W153" i="4"/>
  <c r="V153" i="4"/>
  <c r="U153" i="4"/>
  <c r="H153" i="4"/>
  <c r="N153" i="4" s="1"/>
  <c r="E153" i="4"/>
  <c r="W152" i="4"/>
  <c r="V152" i="4"/>
  <c r="U152" i="4"/>
  <c r="Q152" i="4" s="1"/>
  <c r="I152" i="4"/>
  <c r="H152" i="4"/>
  <c r="N152" i="4" s="1"/>
  <c r="E152" i="4"/>
  <c r="V151" i="4"/>
  <c r="U151" i="4"/>
  <c r="N151" i="4"/>
  <c r="I151" i="4"/>
  <c r="H151" i="4"/>
  <c r="E151" i="4"/>
  <c r="V150" i="4"/>
  <c r="U150" i="4"/>
  <c r="N150" i="4"/>
  <c r="H150" i="4"/>
  <c r="I150" i="4" s="1"/>
  <c r="J150" i="4" s="1"/>
  <c r="E150" i="4"/>
  <c r="Q150" i="4" s="1"/>
  <c r="V149" i="4"/>
  <c r="U149" i="4"/>
  <c r="H149" i="4"/>
  <c r="N149" i="4" s="1"/>
  <c r="E149" i="4"/>
  <c r="V148" i="4"/>
  <c r="U148" i="4"/>
  <c r="H148" i="4"/>
  <c r="N148" i="4" s="1"/>
  <c r="E148" i="4"/>
  <c r="Q148" i="4" s="1"/>
  <c r="V147" i="4"/>
  <c r="U147" i="4"/>
  <c r="H147" i="4"/>
  <c r="E147" i="4"/>
  <c r="V146" i="4"/>
  <c r="U146" i="4"/>
  <c r="Q146" i="4" s="1"/>
  <c r="R146" i="4" s="1"/>
  <c r="P146" i="4"/>
  <c r="N146" i="4"/>
  <c r="H146" i="4"/>
  <c r="I146" i="4" s="1"/>
  <c r="K146" i="4" s="1"/>
  <c r="E146" i="4"/>
  <c r="V145" i="4"/>
  <c r="U145" i="4"/>
  <c r="Q145" i="4" s="1"/>
  <c r="H145" i="4"/>
  <c r="I145" i="4" s="1"/>
  <c r="E145" i="4"/>
  <c r="V144" i="4"/>
  <c r="U144" i="4"/>
  <c r="Q144" i="4" s="1"/>
  <c r="H144" i="4"/>
  <c r="N144" i="4" s="1"/>
  <c r="E144" i="4"/>
  <c r="V143" i="4"/>
  <c r="U143" i="4"/>
  <c r="H143" i="4"/>
  <c r="E143" i="4"/>
  <c r="V142" i="4"/>
  <c r="U142" i="4"/>
  <c r="Q142" i="4" s="1"/>
  <c r="H142" i="4"/>
  <c r="E142" i="4"/>
  <c r="I141" i="4"/>
  <c r="H141" i="4"/>
  <c r="N141" i="4" s="1"/>
  <c r="E141" i="4"/>
  <c r="K140" i="4"/>
  <c r="H140" i="4"/>
  <c r="I140" i="4" s="1"/>
  <c r="J140" i="4" s="1"/>
  <c r="E140" i="4"/>
  <c r="H139" i="4"/>
  <c r="N139" i="4" s="1"/>
  <c r="E139" i="4"/>
  <c r="H138" i="4"/>
  <c r="I138" i="4" s="1"/>
  <c r="E138" i="4"/>
  <c r="U137" i="4"/>
  <c r="H137" i="4"/>
  <c r="N137" i="4" s="1"/>
  <c r="E137" i="4"/>
  <c r="U136" i="4"/>
  <c r="H136" i="4"/>
  <c r="E136" i="4"/>
  <c r="AH135" i="4"/>
  <c r="U135" i="4"/>
  <c r="H135" i="4"/>
  <c r="N135" i="4" s="1"/>
  <c r="E135" i="4"/>
  <c r="AH134" i="4"/>
  <c r="H134" i="4"/>
  <c r="N134" i="4" s="1"/>
  <c r="E134" i="4"/>
  <c r="AH133" i="4"/>
  <c r="U133" i="4"/>
  <c r="I133" i="4"/>
  <c r="H133" i="4"/>
  <c r="N133" i="4" s="1"/>
  <c r="E133" i="4"/>
  <c r="U132" i="4"/>
  <c r="H132" i="4"/>
  <c r="E132" i="4"/>
  <c r="V131" i="4"/>
  <c r="E131" i="4"/>
  <c r="E130" i="4"/>
  <c r="E129" i="4"/>
  <c r="V128" i="4"/>
  <c r="E128" i="4"/>
  <c r="V127" i="4"/>
  <c r="E127" i="4"/>
  <c r="E126" i="4"/>
  <c r="AM125" i="4"/>
  <c r="V125" i="4"/>
  <c r="E125" i="4"/>
  <c r="AM124" i="4"/>
  <c r="E124" i="4"/>
  <c r="AM123" i="4"/>
  <c r="V123" i="4"/>
  <c r="E123" i="4"/>
  <c r="V122" i="4"/>
  <c r="E122" i="4"/>
  <c r="V121" i="4"/>
  <c r="E121" i="4"/>
  <c r="U120" i="4"/>
  <c r="E120" i="4"/>
  <c r="Q119" i="4"/>
  <c r="E119" i="4"/>
  <c r="E118" i="4"/>
  <c r="U117" i="4"/>
  <c r="E117" i="4"/>
  <c r="E116" i="4"/>
  <c r="AC115" i="4"/>
  <c r="V115" i="4"/>
  <c r="E115" i="4"/>
  <c r="AC114" i="4"/>
  <c r="U114" i="4" s="1"/>
  <c r="E114" i="4"/>
  <c r="AC113" i="4"/>
  <c r="E113" i="4"/>
  <c r="E112" i="4"/>
  <c r="E111" i="4"/>
  <c r="Q111" i="4" s="1"/>
  <c r="P111" i="4" s="1"/>
  <c r="E110" i="4"/>
  <c r="Q110" i="4" s="1"/>
  <c r="R110" i="4" s="1"/>
  <c r="O110" i="4" s="1"/>
  <c r="E109" i="4"/>
  <c r="Q109" i="4" s="1"/>
  <c r="E108" i="4"/>
  <c r="Q108" i="4" s="1"/>
  <c r="R108" i="4" s="1"/>
  <c r="Q107" i="4"/>
  <c r="E107" i="4"/>
  <c r="E106" i="4"/>
  <c r="Q106" i="4" s="1"/>
  <c r="E105" i="4"/>
  <c r="Q105" i="4" s="1"/>
  <c r="E104" i="4"/>
  <c r="Q104" i="4" s="1"/>
  <c r="E103" i="4"/>
  <c r="Q103" i="4" s="1"/>
  <c r="P103" i="4" s="1"/>
  <c r="E102" i="4"/>
  <c r="Q102" i="4" s="1"/>
  <c r="R102" i="4" s="1"/>
  <c r="Q101" i="4"/>
  <c r="R101" i="4" s="1"/>
  <c r="O101" i="4" s="1"/>
  <c r="P101" i="4"/>
  <c r="E101" i="4"/>
  <c r="E100" i="4"/>
  <c r="Q100" i="4" s="1"/>
  <c r="P100" i="4" s="1"/>
  <c r="Q99" i="4"/>
  <c r="R99" i="4" s="1"/>
  <c r="E99" i="4"/>
  <c r="E98" i="4"/>
  <c r="Q98" i="4" s="1"/>
  <c r="R98" i="4" s="1"/>
  <c r="E97" i="4"/>
  <c r="Q97" i="4" s="1"/>
  <c r="E96" i="4"/>
  <c r="Q96" i="4" s="1"/>
  <c r="R96" i="4" s="1"/>
  <c r="E95" i="4"/>
  <c r="Q95" i="4" s="1"/>
  <c r="E94" i="4"/>
  <c r="Q94" i="4" s="1"/>
  <c r="P94" i="4" s="1"/>
  <c r="Q93" i="4"/>
  <c r="P93" i="4" s="1"/>
  <c r="E93" i="4"/>
  <c r="E92" i="4"/>
  <c r="Q92" i="4" s="1"/>
  <c r="AD91" i="4"/>
  <c r="E91" i="4"/>
  <c r="AD90" i="4"/>
  <c r="E90" i="4"/>
  <c r="AD89" i="4"/>
  <c r="E89" i="4"/>
  <c r="AD88" i="4"/>
  <c r="E88" i="4"/>
  <c r="AB87" i="4"/>
  <c r="Y87" i="4"/>
  <c r="AD87" i="4" s="1"/>
  <c r="E87" i="4"/>
  <c r="AB86" i="4"/>
  <c r="AA86" i="4"/>
  <c r="Y86" i="4"/>
  <c r="E86" i="4"/>
  <c r="AB85" i="4"/>
  <c r="AA85" i="4"/>
  <c r="Y85" i="4"/>
  <c r="AD85" i="4" s="1"/>
  <c r="E85" i="4"/>
  <c r="AD84" i="4"/>
  <c r="E84" i="4"/>
  <c r="AC83" i="4"/>
  <c r="AB83" i="4"/>
  <c r="AA83" i="4"/>
  <c r="Y83" i="4"/>
  <c r="E83" i="4"/>
  <c r="AC82" i="4"/>
  <c r="AB82" i="4"/>
  <c r="AA82" i="4"/>
  <c r="Z82" i="4"/>
  <c r="Y82" i="4"/>
  <c r="AD82" i="4" s="1"/>
  <c r="AF82" i="4" s="1"/>
  <c r="E82" i="4"/>
  <c r="E81" i="4"/>
  <c r="Q81" i="4" s="1"/>
  <c r="E80" i="4"/>
  <c r="Q80" i="4" s="1"/>
  <c r="P80" i="4" s="1"/>
  <c r="E79" i="4"/>
  <c r="Q79" i="4" s="1"/>
  <c r="E78" i="4"/>
  <c r="Q78" i="4" s="1"/>
  <c r="E77" i="4"/>
  <c r="Q77" i="4" s="1"/>
  <c r="R77" i="4" s="1"/>
  <c r="S77" i="4" s="1"/>
  <c r="T77" i="4" s="1"/>
  <c r="S76" i="4"/>
  <c r="T76" i="4" s="1"/>
  <c r="P76" i="4"/>
  <c r="E76" i="4"/>
  <c r="Q76" i="4" s="1"/>
  <c r="R76" i="4" s="1"/>
  <c r="O76" i="4" s="1"/>
  <c r="E75" i="4"/>
  <c r="Q75" i="4" s="1"/>
  <c r="Q74" i="4"/>
  <c r="E74" i="4"/>
  <c r="E73" i="4"/>
  <c r="Q73" i="4" s="1"/>
  <c r="R73" i="4" s="1"/>
  <c r="S73" i="4" s="1"/>
  <c r="T73" i="4" s="1"/>
  <c r="E72" i="4"/>
  <c r="Q72" i="4" s="1"/>
  <c r="E71" i="4"/>
  <c r="Q71" i="4" s="1"/>
  <c r="P71" i="4" s="1"/>
  <c r="Q70" i="4"/>
  <c r="P70" i="4" s="1"/>
  <c r="E70" i="4"/>
  <c r="P69" i="4"/>
  <c r="E69" i="4"/>
  <c r="Q69" i="4" s="1"/>
  <c r="R69" i="4" s="1"/>
  <c r="E68" i="4"/>
  <c r="Q68" i="4" s="1"/>
  <c r="E67" i="4"/>
  <c r="Q67" i="4" s="1"/>
  <c r="R67" i="4" s="1"/>
  <c r="Q66" i="4"/>
  <c r="E66" i="4"/>
  <c r="O65" i="4"/>
  <c r="E65" i="4"/>
  <c r="Q65" i="4" s="1"/>
  <c r="R65" i="4" s="1"/>
  <c r="S65" i="4" s="1"/>
  <c r="T65" i="4" s="1"/>
  <c r="E64" i="4"/>
  <c r="Q64" i="4" s="1"/>
  <c r="E63" i="4"/>
  <c r="Q63" i="4" s="1"/>
  <c r="Q62" i="4"/>
  <c r="P62" i="4" s="1"/>
  <c r="E62" i="4"/>
  <c r="V61" i="4"/>
  <c r="H61" i="4"/>
  <c r="N61" i="4" s="1"/>
  <c r="E61" i="4"/>
  <c r="V60" i="4"/>
  <c r="H60" i="4"/>
  <c r="E60" i="4"/>
  <c r="H59" i="4"/>
  <c r="I59" i="4" s="1"/>
  <c r="K59" i="4" s="1"/>
  <c r="E59" i="4"/>
  <c r="V58" i="4"/>
  <c r="I58" i="4"/>
  <c r="K58" i="4" s="1"/>
  <c r="H58" i="4"/>
  <c r="N58" i="4" s="1"/>
  <c r="E58" i="4"/>
  <c r="H57" i="4"/>
  <c r="I57" i="4" s="1"/>
  <c r="E57" i="4"/>
  <c r="AR56" i="4"/>
  <c r="H56" i="4"/>
  <c r="N56" i="4" s="1"/>
  <c r="E56" i="4"/>
  <c r="AR55" i="4"/>
  <c r="V59" i="4" s="1"/>
  <c r="Q55" i="4"/>
  <c r="P55" i="4" s="1"/>
  <c r="H55" i="4"/>
  <c r="N55" i="4" s="1"/>
  <c r="E55" i="4"/>
  <c r="AR54" i="4"/>
  <c r="V54" i="4"/>
  <c r="U54" i="4"/>
  <c r="H54" i="4"/>
  <c r="N54" i="4" s="1"/>
  <c r="E54" i="4"/>
  <c r="AR53" i="4"/>
  <c r="H53" i="4"/>
  <c r="I53" i="4" s="1"/>
  <c r="K53" i="4" s="1"/>
  <c r="E53" i="4"/>
  <c r="V52" i="4"/>
  <c r="N52" i="4"/>
  <c r="H52" i="4"/>
  <c r="I52" i="4" s="1"/>
  <c r="J52" i="4" s="1"/>
  <c r="Q51" i="4"/>
  <c r="R51" i="4" s="1"/>
  <c r="E51" i="4"/>
  <c r="E50" i="4"/>
  <c r="Q50" i="4" s="1"/>
  <c r="T49" i="4"/>
  <c r="P49" i="4"/>
  <c r="O49" i="4"/>
  <c r="E49" i="4"/>
  <c r="Q49" i="4" s="1"/>
  <c r="R49" i="4" s="1"/>
  <c r="S49" i="4" s="1"/>
  <c r="E48" i="4"/>
  <c r="Q48" i="4" s="1"/>
  <c r="P48" i="4" s="1"/>
  <c r="E47" i="4"/>
  <c r="Q47" i="4" s="1"/>
  <c r="E46" i="4"/>
  <c r="Q46" i="4" s="1"/>
  <c r="Q45" i="4"/>
  <c r="R45" i="4" s="1"/>
  <c r="S45" i="4" s="1"/>
  <c r="T45" i="4" s="1"/>
  <c r="E45" i="4"/>
  <c r="E44" i="4"/>
  <c r="Q44" i="4" s="1"/>
  <c r="R44" i="4" s="1"/>
  <c r="O44" i="4" s="1"/>
  <c r="E43" i="4"/>
  <c r="Q43" i="4" s="1"/>
  <c r="E42" i="4"/>
  <c r="Q42" i="4" s="1"/>
  <c r="E41" i="4"/>
  <c r="Q41" i="4" s="1"/>
  <c r="E40" i="4"/>
  <c r="Q40" i="4" s="1"/>
  <c r="R39" i="4"/>
  <c r="O39" i="4" s="1"/>
  <c r="E39" i="4"/>
  <c r="Q39" i="4" s="1"/>
  <c r="P39" i="4" s="1"/>
  <c r="Q38" i="4"/>
  <c r="P38" i="4" s="1"/>
  <c r="E38" i="4"/>
  <c r="E37" i="4"/>
  <c r="Q37" i="4" s="1"/>
  <c r="R37" i="4" s="1"/>
  <c r="Q36" i="4"/>
  <c r="P36" i="4" s="1"/>
  <c r="E36" i="4"/>
  <c r="E35" i="4"/>
  <c r="Q35" i="4" s="1"/>
  <c r="R35" i="4" s="1"/>
  <c r="S35" i="4" s="1"/>
  <c r="T35" i="4" s="1"/>
  <c r="E34" i="4"/>
  <c r="Q34" i="4" s="1"/>
  <c r="P34" i="4" s="1"/>
  <c r="E33" i="4"/>
  <c r="Q33" i="4" s="1"/>
  <c r="E32" i="4"/>
  <c r="Q32" i="4" s="1"/>
  <c r="Q31" i="4"/>
  <c r="E31" i="4"/>
  <c r="E30" i="4"/>
  <c r="Q30" i="4" s="1"/>
  <c r="P30" i="4" s="1"/>
  <c r="E29" i="4"/>
  <c r="Q29" i="4" s="1"/>
  <c r="Q28" i="4"/>
  <c r="R28" i="4" s="1"/>
  <c r="E28" i="4"/>
  <c r="E27" i="4"/>
  <c r="Q27" i="4" s="1"/>
  <c r="E26" i="4"/>
  <c r="Q26" i="4" s="1"/>
  <c r="R26" i="4" s="1"/>
  <c r="S26" i="4" s="1"/>
  <c r="T26" i="4" s="1"/>
  <c r="E25" i="4"/>
  <c r="Q25" i="4" s="1"/>
  <c r="R24" i="4"/>
  <c r="S24" i="4" s="1"/>
  <c r="T24" i="4" s="1"/>
  <c r="E24" i="4"/>
  <c r="Q24" i="4" s="1"/>
  <c r="P24" i="4" s="1"/>
  <c r="E23" i="4"/>
  <c r="Q23" i="4" s="1"/>
  <c r="P23" i="4" s="1"/>
  <c r="E22" i="4"/>
  <c r="Q22" i="4" s="1"/>
  <c r="R21" i="4"/>
  <c r="O21" i="4" s="1"/>
  <c r="Q21" i="4"/>
  <c r="P21" i="4" s="1"/>
  <c r="E21" i="4"/>
  <c r="E20" i="4"/>
  <c r="Q20" i="4" s="1"/>
  <c r="P20" i="4" s="1"/>
  <c r="E19" i="4"/>
  <c r="Q19" i="4" s="1"/>
  <c r="E18" i="4"/>
  <c r="Q18" i="4" s="1"/>
  <c r="P17" i="4"/>
  <c r="E17" i="4"/>
  <c r="Q17" i="4" s="1"/>
  <c r="R17" i="4" s="1"/>
  <c r="S17" i="4" s="1"/>
  <c r="T17" i="4" s="1"/>
  <c r="E16" i="4"/>
  <c r="Q16" i="4" s="1"/>
  <c r="P16" i="4" s="1"/>
  <c r="Q15" i="4"/>
  <c r="P15" i="4" s="1"/>
  <c r="E15" i="4"/>
  <c r="E14" i="4"/>
  <c r="Q14" i="4" s="1"/>
  <c r="P14" i="4" s="1"/>
  <c r="E13" i="4"/>
  <c r="Q13" i="4" s="1"/>
  <c r="R13" i="4" s="1"/>
  <c r="S12" i="4"/>
  <c r="T12" i="4" s="1"/>
  <c r="P12" i="4"/>
  <c r="E12" i="4"/>
  <c r="Q12" i="4" s="1"/>
  <c r="R12" i="4" s="1"/>
  <c r="O12" i="4" s="1"/>
  <c r="E11" i="4"/>
  <c r="Q11" i="4" s="1"/>
  <c r="P11" i="4" s="1"/>
  <c r="E10" i="4"/>
  <c r="Q10" i="4" s="1"/>
  <c r="E9" i="4"/>
  <c r="Q9" i="4" s="1"/>
  <c r="P9" i="4" s="1"/>
  <c r="E8" i="4"/>
  <c r="Q8" i="4" s="1"/>
  <c r="E7" i="4"/>
  <c r="Q7" i="4" s="1"/>
  <c r="E6" i="4"/>
  <c r="Q6" i="4" s="1"/>
  <c r="P6" i="4" s="1"/>
  <c r="E5" i="4"/>
  <c r="Q5" i="4" s="1"/>
  <c r="E4" i="4"/>
  <c r="Q4" i="4" s="1"/>
  <c r="R4" i="4" s="1"/>
  <c r="S4" i="4" s="1"/>
  <c r="T4" i="4" s="1"/>
  <c r="E3" i="4"/>
  <c r="Q3" i="4" s="1"/>
  <c r="P3" i="4" s="1"/>
  <c r="E2" i="4"/>
  <c r="Q2" i="4" s="1"/>
  <c r="P47" i="4" l="1"/>
  <c r="R47" i="4"/>
  <c r="O47" i="4" s="1"/>
  <c r="R562" i="4"/>
  <c r="P562" i="4"/>
  <c r="R559" i="4"/>
  <c r="P559" i="4"/>
  <c r="R33" i="4"/>
  <c r="P33" i="4"/>
  <c r="R485" i="4"/>
  <c r="P485" i="4"/>
  <c r="P162" i="4"/>
  <c r="R162" i="4"/>
  <c r="R41" i="4"/>
  <c r="P41" i="4"/>
  <c r="R42" i="4"/>
  <c r="P42" i="4"/>
  <c r="P79" i="4"/>
  <c r="R79" i="4"/>
  <c r="O79" i="4" s="1"/>
  <c r="S13" i="4"/>
  <c r="T13" i="4" s="1"/>
  <c r="O13" i="4"/>
  <c r="R19" i="4"/>
  <c r="P19" i="4"/>
  <c r="S37" i="4"/>
  <c r="T37" i="4" s="1"/>
  <c r="O37" i="4"/>
  <c r="P109" i="4"/>
  <c r="R109" i="4"/>
  <c r="O109" i="4" s="1"/>
  <c r="P274" i="4"/>
  <c r="R274" i="4"/>
  <c r="O274" i="4" s="1"/>
  <c r="R360" i="4"/>
  <c r="P360" i="4"/>
  <c r="R5" i="4"/>
  <c r="P5" i="4"/>
  <c r="R29" i="4"/>
  <c r="O29" i="4" s="1"/>
  <c r="P29" i="4"/>
  <c r="R78" i="4"/>
  <c r="O78" i="4" s="1"/>
  <c r="P78" i="4"/>
  <c r="R8" i="4"/>
  <c r="P8" i="4"/>
  <c r="R152" i="4"/>
  <c r="S152" i="4" s="1"/>
  <c r="T152" i="4" s="1"/>
  <c r="P152" i="4"/>
  <c r="P281" i="4"/>
  <c r="R281" i="4"/>
  <c r="R388" i="4"/>
  <c r="S388" i="4" s="1"/>
  <c r="T388" i="4" s="1"/>
  <c r="P388" i="4"/>
  <c r="P169" i="4"/>
  <c r="R169" i="4"/>
  <c r="O169" i="4" s="1"/>
  <c r="O338" i="4"/>
  <c r="P358" i="4"/>
  <c r="R389" i="4"/>
  <c r="P389" i="4"/>
  <c r="R556" i="4"/>
  <c r="O556" i="4" s="1"/>
  <c r="R591" i="4"/>
  <c r="S591" i="4" s="1"/>
  <c r="T591" i="4" s="1"/>
  <c r="P591" i="4"/>
  <c r="I54" i="4"/>
  <c r="J54" i="4" s="1"/>
  <c r="N57" i="4"/>
  <c r="J157" i="4"/>
  <c r="K157" i="4"/>
  <c r="Q158" i="4"/>
  <c r="R167" i="4"/>
  <c r="O167" i="4" s="1"/>
  <c r="P167" i="4"/>
  <c r="R193" i="4"/>
  <c r="P193" i="4"/>
  <c r="S227" i="4"/>
  <c r="T227" i="4" s="1"/>
  <c r="O227" i="4"/>
  <c r="R305" i="4"/>
  <c r="O305" i="4" s="1"/>
  <c r="P305" i="4"/>
  <c r="O434" i="4"/>
  <c r="S434" i="4"/>
  <c r="T434" i="4" s="1"/>
  <c r="P563" i="4"/>
  <c r="R563" i="4"/>
  <c r="O24" i="4"/>
  <c r="V53" i="4"/>
  <c r="Q54" i="4"/>
  <c r="I56" i="4"/>
  <c r="J56" i="4" s="1"/>
  <c r="P65" i="4"/>
  <c r="AD86" i="4"/>
  <c r="R93" i="4"/>
  <c r="R104" i="4"/>
  <c r="P104" i="4"/>
  <c r="V129" i="4"/>
  <c r="V124" i="4"/>
  <c r="V130" i="4"/>
  <c r="V126" i="4"/>
  <c r="N140" i="4"/>
  <c r="Q149" i="4"/>
  <c r="I160" i="4"/>
  <c r="J160" i="4" s="1"/>
  <c r="R161" i="4"/>
  <c r="R186" i="4"/>
  <c r="P191" i="4"/>
  <c r="R191" i="4"/>
  <c r="R244" i="4"/>
  <c r="P244" i="4"/>
  <c r="I258" i="4"/>
  <c r="N258" i="4"/>
  <c r="Q261" i="4"/>
  <c r="R271" i="4"/>
  <c r="P271" i="4"/>
  <c r="R280" i="4"/>
  <c r="P280" i="4"/>
  <c r="S299" i="4"/>
  <c r="T299" i="4" s="1"/>
  <c r="O299" i="4"/>
  <c r="R310" i="4"/>
  <c r="S314" i="4"/>
  <c r="T314" i="4" s="1"/>
  <c r="S341" i="4"/>
  <c r="T341" i="4" s="1"/>
  <c r="O341" i="4"/>
  <c r="U408" i="4"/>
  <c r="U403" i="4"/>
  <c r="Q403" i="4" s="1"/>
  <c r="U410" i="4"/>
  <c r="R418" i="4"/>
  <c r="W425" i="4"/>
  <c r="W422" i="4"/>
  <c r="W427" i="4"/>
  <c r="W424" i="4"/>
  <c r="P434" i="4"/>
  <c r="R543" i="4"/>
  <c r="O543" i="4" s="1"/>
  <c r="P543" i="4"/>
  <c r="S573" i="4"/>
  <c r="T573" i="4" s="1"/>
  <c r="O573" i="4"/>
  <c r="R230" i="4"/>
  <c r="S230" i="4" s="1"/>
  <c r="T230" i="4" s="1"/>
  <c r="P230" i="4"/>
  <c r="S21" i="4"/>
  <c r="T21" i="4" s="1"/>
  <c r="K57" i="4"/>
  <c r="J57" i="4"/>
  <c r="R62" i="4"/>
  <c r="R316" i="4"/>
  <c r="Q366" i="4"/>
  <c r="O385" i="4"/>
  <c r="S530" i="4"/>
  <c r="T530" i="4" s="1"/>
  <c r="O530" i="4"/>
  <c r="N53" i="4"/>
  <c r="N59" i="4"/>
  <c r="R74" i="4"/>
  <c r="O74" i="4" s="1"/>
  <c r="P74" i="4"/>
  <c r="I147" i="4"/>
  <c r="N147" i="4"/>
  <c r="R163" i="4"/>
  <c r="O163" i="4" s="1"/>
  <c r="P163" i="4"/>
  <c r="V326" i="4"/>
  <c r="V327" i="4"/>
  <c r="V330" i="4"/>
  <c r="Q330" i="4" s="1"/>
  <c r="V324" i="4"/>
  <c r="Q324" i="4" s="1"/>
  <c r="V325" i="4"/>
  <c r="Q325" i="4" s="1"/>
  <c r="R382" i="4"/>
  <c r="P382" i="4"/>
  <c r="I422" i="4"/>
  <c r="K422" i="4" s="1"/>
  <c r="N422" i="4"/>
  <c r="J431" i="4"/>
  <c r="K431" i="4"/>
  <c r="P553" i="4"/>
  <c r="R553" i="4"/>
  <c r="S60" i="19"/>
  <c r="T60" i="19" s="1"/>
  <c r="O60" i="19"/>
  <c r="S286" i="19"/>
  <c r="T286" i="19" s="1"/>
  <c r="O286" i="19"/>
  <c r="P28" i="4"/>
  <c r="O45" i="4"/>
  <c r="U115" i="4"/>
  <c r="U118" i="4"/>
  <c r="U119" i="4"/>
  <c r="Q159" i="4"/>
  <c r="P159" i="4" s="1"/>
  <c r="R174" i="4"/>
  <c r="P174" i="4"/>
  <c r="S179" i="4"/>
  <c r="T179" i="4" s="1"/>
  <c r="O179" i="4"/>
  <c r="S224" i="4"/>
  <c r="T224" i="4" s="1"/>
  <c r="O224" i="4"/>
  <c r="Q326" i="4"/>
  <c r="P326" i="4" s="1"/>
  <c r="Q431" i="4"/>
  <c r="R431" i="4" s="1"/>
  <c r="R445" i="4"/>
  <c r="P445" i="4"/>
  <c r="U476" i="4"/>
  <c r="Q476" i="4" s="1"/>
  <c r="P476" i="4" s="1"/>
  <c r="N60" i="4"/>
  <c r="I60" i="4"/>
  <c r="S250" i="4"/>
  <c r="T250" i="4" s="1"/>
  <c r="O250" i="4"/>
  <c r="R456" i="4"/>
  <c r="P456" i="4"/>
  <c r="R590" i="4"/>
  <c r="S590" i="4" s="1"/>
  <c r="T590" i="4" s="1"/>
  <c r="P590" i="4"/>
  <c r="I55" i="4"/>
  <c r="K55" i="4" s="1"/>
  <c r="J155" i="4"/>
  <c r="R546" i="4"/>
  <c r="P546" i="4"/>
  <c r="O185" i="4"/>
  <c r="S185" i="4"/>
  <c r="T185" i="4" s="1"/>
  <c r="R218" i="4"/>
  <c r="S247" i="4"/>
  <c r="T247" i="4" s="1"/>
  <c r="P385" i="4"/>
  <c r="R457" i="4"/>
  <c r="P457" i="4"/>
  <c r="P535" i="4"/>
  <c r="R535" i="4"/>
  <c r="O535" i="4" s="1"/>
  <c r="R581" i="4"/>
  <c r="P581" i="4"/>
  <c r="O26" i="4"/>
  <c r="P44" i="4"/>
  <c r="J53" i="4"/>
  <c r="V56" i="4"/>
  <c r="V55" i="4"/>
  <c r="Q57" i="4"/>
  <c r="P57" i="4" s="1"/>
  <c r="J59" i="4"/>
  <c r="S101" i="4"/>
  <c r="T101" i="4" s="1"/>
  <c r="R107" i="4"/>
  <c r="O107" i="4" s="1"/>
  <c r="P107" i="4"/>
  <c r="U126" i="4"/>
  <c r="U122" i="4"/>
  <c r="U124" i="4"/>
  <c r="Q124" i="4" s="1"/>
  <c r="R124" i="4" s="1"/>
  <c r="U125" i="4"/>
  <c r="Q125" i="4" s="1"/>
  <c r="U123" i="4"/>
  <c r="Q123" i="4" s="1"/>
  <c r="I142" i="4"/>
  <c r="N142" i="4"/>
  <c r="N145" i="4"/>
  <c r="P171" i="4"/>
  <c r="R171" i="4"/>
  <c r="P181" i="4"/>
  <c r="Q257" i="4"/>
  <c r="R257" i="4" s="1"/>
  <c r="P268" i="4"/>
  <c r="R268" i="4"/>
  <c r="AC283" i="4"/>
  <c r="U282" i="4" s="1"/>
  <c r="Q282" i="4" s="1"/>
  <c r="R339" i="4"/>
  <c r="O339" i="4" s="1"/>
  <c r="P339" i="4"/>
  <c r="U345" i="4"/>
  <c r="Q345" i="4" s="1"/>
  <c r="U342" i="4"/>
  <c r="Q342" i="4" s="1"/>
  <c r="R342" i="4" s="1"/>
  <c r="R362" i="4"/>
  <c r="AA362" i="4" s="1"/>
  <c r="P390" i="4"/>
  <c r="R421" i="4"/>
  <c r="P433" i="4"/>
  <c r="R433" i="4"/>
  <c r="U474" i="4"/>
  <c r="R551" i="4"/>
  <c r="P551" i="4"/>
  <c r="R557" i="4"/>
  <c r="R150" i="4"/>
  <c r="P150" i="4"/>
  <c r="R15" i="4"/>
  <c r="O15" i="4" s="1"/>
  <c r="S96" i="4"/>
  <c r="T96" i="4" s="1"/>
  <c r="O96" i="4"/>
  <c r="J141" i="4"/>
  <c r="K141" i="4"/>
  <c r="S195" i="4"/>
  <c r="T195" i="4" s="1"/>
  <c r="O195" i="4"/>
  <c r="P251" i="4"/>
  <c r="R251" i="4"/>
  <c r="S262" i="4"/>
  <c r="T262" i="4" s="1"/>
  <c r="O262" i="4"/>
  <c r="O416" i="4"/>
  <c r="I425" i="4"/>
  <c r="J425" i="4" s="1"/>
  <c r="P450" i="4"/>
  <c r="P67" i="4"/>
  <c r="I132" i="4"/>
  <c r="N132" i="4"/>
  <c r="N154" i="4"/>
  <c r="O181" i="4"/>
  <c r="P253" i="4"/>
  <c r="R253" i="4"/>
  <c r="O253" i="4" s="1"/>
  <c r="P267" i="4"/>
  <c r="R313" i="4"/>
  <c r="P313" i="4"/>
  <c r="P338" i="4"/>
  <c r="P416" i="4"/>
  <c r="R575" i="4"/>
  <c r="P575" i="4"/>
  <c r="O17" i="4"/>
  <c r="S44" i="4"/>
  <c r="T44" i="4" s="1"/>
  <c r="P51" i="4"/>
  <c r="V57" i="4"/>
  <c r="I61" i="4"/>
  <c r="J61" i="4" s="1"/>
  <c r="P98" i="4"/>
  <c r="Q151" i="4"/>
  <c r="S209" i="4"/>
  <c r="T209" i="4" s="1"/>
  <c r="S215" i="4"/>
  <c r="T215" i="4" s="1"/>
  <c r="N255" i="4"/>
  <c r="R278" i="4"/>
  <c r="P278" i="4"/>
  <c r="V322" i="4"/>
  <c r="Q404" i="4"/>
  <c r="R404" i="4" s="1"/>
  <c r="I428" i="4"/>
  <c r="P438" i="4"/>
  <c r="Q113" i="4"/>
  <c r="R113" i="4" s="1"/>
  <c r="AE344" i="4"/>
  <c r="AG386" i="4"/>
  <c r="Y388" i="4" s="1"/>
  <c r="S410" i="19"/>
  <c r="T410" i="19" s="1"/>
  <c r="O410" i="19"/>
  <c r="O409" i="19"/>
  <c r="S409" i="19"/>
  <c r="T409" i="19" s="1"/>
  <c r="Q143" i="4"/>
  <c r="R143" i="4" s="1"/>
  <c r="J146" i="4"/>
  <c r="O203" i="4"/>
  <c r="O207" i="4"/>
  <c r="O235" i="4"/>
  <c r="O239" i="4"/>
  <c r="I252" i="4"/>
  <c r="J252" i="4" s="1"/>
  <c r="Q259" i="4"/>
  <c r="S352" i="4"/>
  <c r="T352" i="4" s="1"/>
  <c r="O415" i="4"/>
  <c r="N429" i="4"/>
  <c r="P436" i="4"/>
  <c r="O452" i="4"/>
  <c r="R547" i="4"/>
  <c r="O547" i="4" s="1"/>
  <c r="R569" i="4"/>
  <c r="O569" i="4" s="1"/>
  <c r="P579" i="4"/>
  <c r="Q255" i="4"/>
  <c r="P255" i="4" s="1"/>
  <c r="V497" i="4"/>
  <c r="N138" i="4"/>
  <c r="Q147" i="4"/>
  <c r="K150" i="4"/>
  <c r="Q157" i="4"/>
  <c r="R157" i="4" s="1"/>
  <c r="R178" i="4"/>
  <c r="O178" i="4" s="1"/>
  <c r="O212" i="4"/>
  <c r="R219" i="4"/>
  <c r="P265" i="4"/>
  <c r="V403" i="4"/>
  <c r="I424" i="4"/>
  <c r="K424" i="4" s="1"/>
  <c r="I427" i="4"/>
  <c r="O443" i="4"/>
  <c r="R455" i="4"/>
  <c r="O455" i="4" s="1"/>
  <c r="P470" i="4"/>
  <c r="R531" i="4"/>
  <c r="P539" i="4"/>
  <c r="R572" i="4"/>
  <c r="S325" i="19"/>
  <c r="T325" i="19" s="1"/>
  <c r="O325" i="19"/>
  <c r="S127" i="19"/>
  <c r="T127" i="19" s="1"/>
  <c r="O127" i="19"/>
  <c r="S126" i="19"/>
  <c r="T126" i="19" s="1"/>
  <c r="O126" i="19"/>
  <c r="S499" i="19"/>
  <c r="T499" i="19" s="1"/>
  <c r="O499" i="19"/>
  <c r="S139" i="19"/>
  <c r="T139" i="19" s="1"/>
  <c r="O139" i="19"/>
  <c r="S137" i="19"/>
  <c r="T137" i="19" s="1"/>
  <c r="O137" i="19"/>
  <c r="S327" i="19"/>
  <c r="T327" i="19" s="1"/>
  <c r="O327" i="19"/>
  <c r="S501" i="19"/>
  <c r="T501" i="19" s="1"/>
  <c r="O501" i="19"/>
  <c r="H22" i="13"/>
  <c r="O152" i="4"/>
  <c r="P2" i="4"/>
  <c r="R2" i="4"/>
  <c r="R334" i="4"/>
  <c r="P334" i="4"/>
  <c r="S51" i="4"/>
  <c r="T51" i="4" s="1"/>
  <c r="O51" i="4"/>
  <c r="R7" i="4"/>
  <c r="P7" i="4"/>
  <c r="O28" i="4"/>
  <c r="S28" i="4"/>
  <c r="T28" i="4" s="1"/>
  <c r="R25" i="4"/>
  <c r="P25" i="4"/>
  <c r="P43" i="4"/>
  <c r="R43" i="4"/>
  <c r="R46" i="4"/>
  <c r="P46" i="4"/>
  <c r="R148" i="4"/>
  <c r="P148" i="4"/>
  <c r="S69" i="4"/>
  <c r="T69" i="4" s="1"/>
  <c r="O69" i="4"/>
  <c r="R27" i="4"/>
  <c r="P27" i="4"/>
  <c r="P194" i="4"/>
  <c r="R194" i="4"/>
  <c r="P234" i="4"/>
  <c r="R234" i="4"/>
  <c r="R364" i="4"/>
  <c r="P364" i="4"/>
  <c r="P75" i="4"/>
  <c r="R75" i="4"/>
  <c r="P113" i="4"/>
  <c r="R63" i="4"/>
  <c r="P63" i="4"/>
  <c r="O8" i="4"/>
  <c r="S8" i="4"/>
  <c r="T8" i="4" s="1"/>
  <c r="S19" i="4"/>
  <c r="T19" i="4" s="1"/>
  <c r="O19" i="4"/>
  <c r="R22" i="4"/>
  <c r="P22" i="4"/>
  <c r="R391" i="4"/>
  <c r="P391" i="4"/>
  <c r="K61" i="4"/>
  <c r="R94" i="4"/>
  <c r="K152" i="4"/>
  <c r="J152" i="4"/>
  <c r="R229" i="4"/>
  <c r="P229" i="4"/>
  <c r="U60" i="4"/>
  <c r="Q58" i="4"/>
  <c r="U55" i="4"/>
  <c r="Q52" i="4"/>
  <c r="Q56" i="4"/>
  <c r="U52" i="4"/>
  <c r="Q61" i="4"/>
  <c r="Q59" i="4"/>
  <c r="U53" i="4"/>
  <c r="U59" i="4"/>
  <c r="S78" i="4"/>
  <c r="T78" i="4" s="1"/>
  <c r="R100" i="4"/>
  <c r="S171" i="4"/>
  <c r="T171" i="4" s="1"/>
  <c r="O171" i="4"/>
  <c r="R337" i="4"/>
  <c r="P337" i="4"/>
  <c r="P124" i="4"/>
  <c r="I134" i="4"/>
  <c r="N143" i="4"/>
  <c r="I143" i="4"/>
  <c r="R144" i="4"/>
  <c r="P144" i="4"/>
  <c r="P147" i="4"/>
  <c r="R147" i="4"/>
  <c r="J156" i="4"/>
  <c r="K160" i="4"/>
  <c r="N161" i="4"/>
  <c r="R175" i="4"/>
  <c r="P175" i="4"/>
  <c r="O200" i="4"/>
  <c r="S200" i="4"/>
  <c r="T200" i="4" s="1"/>
  <c r="S236" i="4"/>
  <c r="T236" i="4" s="1"/>
  <c r="O236" i="4"/>
  <c r="P246" i="4"/>
  <c r="R246" i="4"/>
  <c r="S266" i="4"/>
  <c r="T266" i="4" s="1"/>
  <c r="O266" i="4"/>
  <c r="R297" i="4"/>
  <c r="R304" i="4"/>
  <c r="P304" i="4"/>
  <c r="R400" i="4"/>
  <c r="P400" i="4"/>
  <c r="S448" i="4"/>
  <c r="T448" i="4" s="1"/>
  <c r="O448" i="4"/>
  <c r="P487" i="4"/>
  <c r="R487" i="4"/>
  <c r="P512" i="4"/>
  <c r="R512" i="4"/>
  <c r="R254" i="4"/>
  <c r="P254" i="4"/>
  <c r="R6" i="4"/>
  <c r="O73" i="4"/>
  <c r="P245" i="4"/>
  <c r="R245" i="4"/>
  <c r="O386" i="4"/>
  <c r="S386" i="4"/>
  <c r="T386" i="4" s="1"/>
  <c r="R495" i="4"/>
  <c r="P495" i="4"/>
  <c r="R160" i="4"/>
  <c r="P160" i="4"/>
  <c r="R172" i="4"/>
  <c r="P172" i="4"/>
  <c r="P213" i="4"/>
  <c r="R213" i="4"/>
  <c r="R217" i="4"/>
  <c r="P217" i="4"/>
  <c r="P237" i="4"/>
  <c r="R237" i="4"/>
  <c r="R242" i="4"/>
  <c r="Q252" i="4"/>
  <c r="J259" i="4"/>
  <c r="K259" i="4"/>
  <c r="Q260" i="4"/>
  <c r="R264" i="4"/>
  <c r="P264" i="4"/>
  <c r="P269" i="4"/>
  <c r="R269" i="4"/>
  <c r="O281" i="4"/>
  <c r="S281" i="4"/>
  <c r="T281" i="4" s="1"/>
  <c r="S313" i="4"/>
  <c r="T313" i="4" s="1"/>
  <c r="O313" i="4"/>
  <c r="R315" i="4"/>
  <c r="P315" i="4"/>
  <c r="R367" i="4"/>
  <c r="P396" i="4"/>
  <c r="R396" i="4"/>
  <c r="P516" i="4"/>
  <c r="R516" i="4"/>
  <c r="K60" i="4"/>
  <c r="J60" i="4"/>
  <c r="R80" i="4"/>
  <c r="P308" i="4"/>
  <c r="K56" i="4"/>
  <c r="R68" i="4"/>
  <c r="P68" i="4"/>
  <c r="P73" i="4"/>
  <c r="S107" i="4"/>
  <c r="T107" i="4" s="1"/>
  <c r="P145" i="4"/>
  <c r="R145" i="4"/>
  <c r="U56" i="4"/>
  <c r="P95" i="4"/>
  <c r="R95" i="4"/>
  <c r="R103" i="4"/>
  <c r="V135" i="4"/>
  <c r="Q135" i="4" s="1"/>
  <c r="V138" i="4"/>
  <c r="V136" i="4"/>
  <c r="Q136" i="4" s="1"/>
  <c r="V133" i="4"/>
  <c r="Q133" i="4" s="1"/>
  <c r="V132" i="4"/>
  <c r="V141" i="4"/>
  <c r="V140" i="4"/>
  <c r="V139" i="4"/>
  <c r="V137" i="4"/>
  <c r="Q137" i="4" s="1"/>
  <c r="S15" i="4"/>
  <c r="T15" i="4" s="1"/>
  <c r="R111" i="4"/>
  <c r="V120" i="4"/>
  <c r="V114" i="4"/>
  <c r="V113" i="4"/>
  <c r="V112" i="4"/>
  <c r="V116" i="4"/>
  <c r="V119" i="4"/>
  <c r="V117" i="4"/>
  <c r="V118" i="4"/>
  <c r="J133" i="4"/>
  <c r="K133" i="4"/>
  <c r="V134" i="4"/>
  <c r="P143" i="4"/>
  <c r="R176" i="4"/>
  <c r="P176" i="4"/>
  <c r="P179" i="4"/>
  <c r="S190" i="4"/>
  <c r="T190" i="4" s="1"/>
  <c r="S204" i="4"/>
  <c r="T204" i="4" s="1"/>
  <c r="O204" i="4"/>
  <c r="P214" i="4"/>
  <c r="R214" i="4"/>
  <c r="R222" i="4"/>
  <c r="P222" i="4"/>
  <c r="N259" i="4"/>
  <c r="P270" i="4"/>
  <c r="R270" i="4"/>
  <c r="S278" i="4"/>
  <c r="T278" i="4" s="1"/>
  <c r="O278" i="4"/>
  <c r="P300" i="4"/>
  <c r="R300" i="4"/>
  <c r="P471" i="4"/>
  <c r="R471" i="4"/>
  <c r="P503" i="4"/>
  <c r="R503" i="4"/>
  <c r="S42" i="4"/>
  <c r="T42" i="4" s="1"/>
  <c r="O42" i="4"/>
  <c r="R54" i="4"/>
  <c r="P54" i="4"/>
  <c r="O99" i="4"/>
  <c r="S99" i="4"/>
  <c r="T99" i="4" s="1"/>
  <c r="R119" i="4"/>
  <c r="P119" i="4"/>
  <c r="R123" i="4"/>
  <c r="P123" i="4"/>
  <c r="S183" i="4"/>
  <c r="T183" i="4" s="1"/>
  <c r="O183" i="4"/>
  <c r="P202" i="4"/>
  <c r="R202" i="4"/>
  <c r="P223" i="4"/>
  <c r="R223" i="4"/>
  <c r="P226" i="4"/>
  <c r="R226" i="4"/>
  <c r="R231" i="4"/>
  <c r="P231" i="4"/>
  <c r="I261" i="4"/>
  <c r="N261" i="4"/>
  <c r="O308" i="4"/>
  <c r="S308" i="4"/>
  <c r="T308" i="4" s="1"/>
  <c r="R357" i="4"/>
  <c r="P357" i="4"/>
  <c r="O4" i="4"/>
  <c r="P10" i="4"/>
  <c r="R10" i="4"/>
  <c r="R14" i="4"/>
  <c r="R16" i="4"/>
  <c r="S29" i="4"/>
  <c r="T29" i="4" s="1"/>
  <c r="R32" i="4"/>
  <c r="P32" i="4"/>
  <c r="R34" i="4"/>
  <c r="R36" i="4"/>
  <c r="R38" i="4"/>
  <c r="R55" i="4"/>
  <c r="S109" i="4"/>
  <c r="T109" i="4" s="1"/>
  <c r="K154" i="4"/>
  <c r="J154" i="4"/>
  <c r="P170" i="4"/>
  <c r="R170" i="4"/>
  <c r="P177" i="4"/>
  <c r="R177" i="4"/>
  <c r="P183" i="4"/>
  <c r="R259" i="4"/>
  <c r="P259" i="4"/>
  <c r="S305" i="4"/>
  <c r="T305" i="4" s="1"/>
  <c r="R324" i="4"/>
  <c r="P324" i="4"/>
  <c r="R353" i="4"/>
  <c r="P353" i="4"/>
  <c r="R460" i="4"/>
  <c r="P460" i="4"/>
  <c r="R465" i="4"/>
  <c r="P465" i="4"/>
  <c r="P4" i="4"/>
  <c r="R70" i="4"/>
  <c r="R97" i="4"/>
  <c r="P97" i="4"/>
  <c r="O102" i="4"/>
  <c r="S102" i="4"/>
  <c r="T102" i="4" s="1"/>
  <c r="S146" i="4"/>
  <c r="T146" i="4" s="1"/>
  <c r="O146" i="4"/>
  <c r="K151" i="4"/>
  <c r="J151" i="4"/>
  <c r="P157" i="4"/>
  <c r="R159" i="4"/>
  <c r="R189" i="4"/>
  <c r="P189" i="4"/>
  <c r="R199" i="4"/>
  <c r="P199" i="4"/>
  <c r="O232" i="4"/>
  <c r="S232" i="4"/>
  <c r="T232" i="4" s="1"/>
  <c r="O292" i="4"/>
  <c r="S292" i="4"/>
  <c r="T292" i="4" s="1"/>
  <c r="P354" i="4"/>
  <c r="R354" i="4"/>
  <c r="S382" i="4"/>
  <c r="T382" i="4" s="1"/>
  <c r="O382" i="4"/>
  <c r="P548" i="4"/>
  <c r="R548" i="4"/>
  <c r="S579" i="4"/>
  <c r="T579" i="4" s="1"/>
  <c r="O579" i="4"/>
  <c r="U61" i="4"/>
  <c r="R92" i="4"/>
  <c r="P92" i="4"/>
  <c r="P102" i="4"/>
  <c r="O143" i="4"/>
  <c r="S143" i="4"/>
  <c r="T143" i="4" s="1"/>
  <c r="I144" i="4"/>
  <c r="I153" i="4"/>
  <c r="K161" i="4"/>
  <c r="S178" i="4"/>
  <c r="T178" i="4" s="1"/>
  <c r="R197" i="4"/>
  <c r="P197" i="4"/>
  <c r="S241" i="4"/>
  <c r="T241" i="4" s="1"/>
  <c r="R249" i="4"/>
  <c r="P249" i="4"/>
  <c r="N260" i="4"/>
  <c r="I260" i="4"/>
  <c r="P306" i="4"/>
  <c r="R306" i="4"/>
  <c r="P552" i="4"/>
  <c r="R552" i="4"/>
  <c r="R30" i="4"/>
  <c r="O35" i="4"/>
  <c r="S39" i="4"/>
  <c r="T39" i="4" s="1"/>
  <c r="S47" i="4"/>
  <c r="T47" i="4" s="1"/>
  <c r="R50" i="4"/>
  <c r="P50" i="4"/>
  <c r="U57" i="4"/>
  <c r="Q60" i="4"/>
  <c r="R81" i="4"/>
  <c r="P81" i="4"/>
  <c r="R11" i="4"/>
  <c r="R23" i="4"/>
  <c r="P35" i="4"/>
  <c r="U58" i="4"/>
  <c r="R71" i="4"/>
  <c r="S98" i="4"/>
  <c r="T98" i="4" s="1"/>
  <c r="O98" i="4"/>
  <c r="O108" i="4"/>
  <c r="S108" i="4"/>
  <c r="T108" i="4" s="1"/>
  <c r="R9" i="4"/>
  <c r="R18" i="4"/>
  <c r="P18" i="4"/>
  <c r="R20" i="4"/>
  <c r="R40" i="4"/>
  <c r="P40" i="4"/>
  <c r="K54" i="4"/>
  <c r="P64" i="4"/>
  <c r="R64" i="4"/>
  <c r="O77" i="4"/>
  <c r="P31" i="4"/>
  <c r="R31" i="4"/>
  <c r="R48" i="4"/>
  <c r="Q53" i="4"/>
  <c r="S67" i="4"/>
  <c r="T67" i="4" s="1"/>
  <c r="O67" i="4"/>
  <c r="P72" i="4"/>
  <c r="R72" i="4"/>
  <c r="P77" i="4"/>
  <c r="R106" i="4"/>
  <c r="P106" i="4"/>
  <c r="S169" i="4"/>
  <c r="T169" i="4" s="1"/>
  <c r="P205" i="4"/>
  <c r="R205" i="4"/>
  <c r="R210" i="4"/>
  <c r="R220" i="4"/>
  <c r="P220" i="4"/>
  <c r="R228" i="4"/>
  <c r="P228" i="4"/>
  <c r="S253" i="4"/>
  <c r="T253" i="4" s="1"/>
  <c r="R255" i="4"/>
  <c r="J257" i="4"/>
  <c r="K257" i="4"/>
  <c r="R279" i="4"/>
  <c r="P279" i="4"/>
  <c r="R295" i="4"/>
  <c r="P295" i="4"/>
  <c r="S307" i="4"/>
  <c r="T307" i="4" s="1"/>
  <c r="O307" i="4"/>
  <c r="P325" i="4"/>
  <c r="R325" i="4"/>
  <c r="O359" i="4"/>
  <c r="S359" i="4"/>
  <c r="T359" i="4" s="1"/>
  <c r="R376" i="4"/>
  <c r="P376" i="4"/>
  <c r="R464" i="4"/>
  <c r="P464" i="4"/>
  <c r="U506" i="4"/>
  <c r="Q506" i="4" s="1"/>
  <c r="U508" i="4"/>
  <c r="Q508" i="4" s="1"/>
  <c r="U511" i="4"/>
  <c r="Q511" i="4" s="1"/>
  <c r="U509" i="4"/>
  <c r="Q509" i="4" s="1"/>
  <c r="U505" i="4"/>
  <c r="Q505" i="4" s="1"/>
  <c r="U502" i="4"/>
  <c r="Q502" i="4" s="1"/>
  <c r="U507" i="4"/>
  <c r="Q507" i="4" s="1"/>
  <c r="U504" i="4"/>
  <c r="Q504" i="4" s="1"/>
  <c r="U510" i="4"/>
  <c r="Q510" i="4" s="1"/>
  <c r="N430" i="4"/>
  <c r="I430" i="4"/>
  <c r="P437" i="4"/>
  <c r="R437" i="4"/>
  <c r="R570" i="4"/>
  <c r="P570" i="4"/>
  <c r="R587" i="4"/>
  <c r="P587" i="4"/>
  <c r="P13" i="4"/>
  <c r="P37" i="4"/>
  <c r="P45" i="4"/>
  <c r="P99" i="4"/>
  <c r="P108" i="4"/>
  <c r="U121" i="4"/>
  <c r="Q117" i="4"/>
  <c r="Q112" i="4"/>
  <c r="Q116" i="4"/>
  <c r="U113" i="4"/>
  <c r="U112" i="4"/>
  <c r="Q121" i="4"/>
  <c r="Q120" i="4"/>
  <c r="Q114" i="4"/>
  <c r="Q122" i="4"/>
  <c r="K145" i="4"/>
  <c r="J145" i="4"/>
  <c r="K147" i="4"/>
  <c r="J147" i="4"/>
  <c r="K158" i="4"/>
  <c r="J158" i="4"/>
  <c r="R164" i="4"/>
  <c r="P164" i="4"/>
  <c r="P200" i="4"/>
  <c r="P232" i="4"/>
  <c r="K252" i="4"/>
  <c r="O265" i="4"/>
  <c r="S265" i="4"/>
  <c r="T265" i="4" s="1"/>
  <c r="R276" i="4"/>
  <c r="P276" i="4"/>
  <c r="P292" i="4"/>
  <c r="R319" i="4"/>
  <c r="P319" i="4"/>
  <c r="P332" i="4"/>
  <c r="R332" i="4"/>
  <c r="R348" i="4"/>
  <c r="P348" i="4"/>
  <c r="S358" i="4"/>
  <c r="T358" i="4" s="1"/>
  <c r="O358" i="4"/>
  <c r="S360" i="4"/>
  <c r="T360" i="4" s="1"/>
  <c r="O360" i="4"/>
  <c r="P377" i="4"/>
  <c r="R377" i="4"/>
  <c r="P381" i="4"/>
  <c r="R381" i="4"/>
  <c r="P405" i="4"/>
  <c r="R405" i="4"/>
  <c r="P440" i="4"/>
  <c r="R440" i="4"/>
  <c r="S525" i="4"/>
  <c r="T525" i="4" s="1"/>
  <c r="O525" i="4"/>
  <c r="P540" i="4"/>
  <c r="R540" i="4"/>
  <c r="P412" i="4"/>
  <c r="R412" i="4"/>
  <c r="O439" i="4"/>
  <c r="S439" i="4"/>
  <c r="T439" i="4" s="1"/>
  <c r="R142" i="4"/>
  <c r="P142" i="4"/>
  <c r="N159" i="4"/>
  <c r="I159" i="4"/>
  <c r="O161" i="4"/>
  <c r="S161" i="4"/>
  <c r="T161" i="4" s="1"/>
  <c r="S166" i="4"/>
  <c r="T166" i="4" s="1"/>
  <c r="O166" i="4"/>
  <c r="R180" i="4"/>
  <c r="P180" i="4"/>
  <c r="O191" i="4"/>
  <c r="S191" i="4"/>
  <c r="T191" i="4" s="1"/>
  <c r="R261" i="4"/>
  <c r="P261" i="4"/>
  <c r="O267" i="4"/>
  <c r="S267" i="4"/>
  <c r="T267" i="4" s="1"/>
  <c r="R273" i="4"/>
  <c r="P273" i="4"/>
  <c r="P277" i="4"/>
  <c r="R277" i="4"/>
  <c r="P301" i="4"/>
  <c r="R301" i="4"/>
  <c r="P309" i="4"/>
  <c r="R309" i="4"/>
  <c r="O316" i="4"/>
  <c r="S316" i="4"/>
  <c r="T316" i="4" s="1"/>
  <c r="Q329" i="4"/>
  <c r="R373" i="4"/>
  <c r="P373" i="4"/>
  <c r="R419" i="4"/>
  <c r="P419" i="4"/>
  <c r="K425" i="4"/>
  <c r="S444" i="4"/>
  <c r="T444" i="4" s="1"/>
  <c r="O444" i="4"/>
  <c r="R447" i="4"/>
  <c r="P447" i="4"/>
  <c r="R458" i="4"/>
  <c r="P458" i="4"/>
  <c r="P480" i="4"/>
  <c r="R480" i="4"/>
  <c r="S563" i="4"/>
  <c r="T563" i="4" s="1"/>
  <c r="O563" i="4"/>
  <c r="O583" i="4"/>
  <c r="S583" i="4"/>
  <c r="T583" i="4" s="1"/>
  <c r="R66" i="4"/>
  <c r="P66" i="4"/>
  <c r="N136" i="4"/>
  <c r="I136" i="4"/>
  <c r="R3" i="4"/>
  <c r="P26" i="4"/>
  <c r="K52" i="4"/>
  <c r="J58" i="4"/>
  <c r="S79" i="4"/>
  <c r="T79" i="4" s="1"/>
  <c r="P110" i="4"/>
  <c r="U116" i="4"/>
  <c r="Q118" i="4"/>
  <c r="Q132" i="4"/>
  <c r="I137" i="4"/>
  <c r="I149" i="4"/>
  <c r="Q156" i="4"/>
  <c r="O168" i="4"/>
  <c r="S168" i="4"/>
  <c r="T168" i="4" s="1"/>
  <c r="R173" i="4"/>
  <c r="O193" i="4"/>
  <c r="S193" i="4"/>
  <c r="T193" i="4" s="1"/>
  <c r="S206" i="4"/>
  <c r="T206" i="4" s="1"/>
  <c r="S221" i="4"/>
  <c r="T221" i="4" s="1"/>
  <c r="O221" i="4"/>
  <c r="R225" i="4"/>
  <c r="P225" i="4"/>
  <c r="S238" i="4"/>
  <c r="T238" i="4" s="1"/>
  <c r="K253" i="4"/>
  <c r="K255" i="4"/>
  <c r="J255" i="4"/>
  <c r="R263" i="4"/>
  <c r="P263" i="4"/>
  <c r="S312" i="4"/>
  <c r="T312" i="4" s="1"/>
  <c r="O312" i="4"/>
  <c r="P317" i="4"/>
  <c r="R317" i="4"/>
  <c r="P320" i="4"/>
  <c r="R320" i="4"/>
  <c r="R345" i="4"/>
  <c r="P345" i="4"/>
  <c r="P393" i="4"/>
  <c r="R393" i="4"/>
  <c r="S401" i="4"/>
  <c r="T401" i="4" s="1"/>
  <c r="P417" i="4"/>
  <c r="R417" i="4"/>
  <c r="J424" i="4"/>
  <c r="S449" i="4"/>
  <c r="T449" i="4" s="1"/>
  <c r="O449" i="4"/>
  <c r="R462" i="4"/>
  <c r="P462" i="4"/>
  <c r="R490" i="4"/>
  <c r="P490" i="4"/>
  <c r="P537" i="4"/>
  <c r="R537" i="4"/>
  <c r="R105" i="4"/>
  <c r="P105" i="4"/>
  <c r="S110" i="4"/>
  <c r="T110" i="4" s="1"/>
  <c r="Q115" i="4"/>
  <c r="K138" i="4"/>
  <c r="J138" i="4"/>
  <c r="I139" i="4"/>
  <c r="Q153" i="4"/>
  <c r="R165" i="4"/>
  <c r="P165" i="4"/>
  <c r="R182" i="4"/>
  <c r="R187" i="4"/>
  <c r="R196" i="4"/>
  <c r="P196" i="4"/>
  <c r="S198" i="4"/>
  <c r="T198" i="4" s="1"/>
  <c r="O198" i="4"/>
  <c r="P201" i="4"/>
  <c r="R201" i="4"/>
  <c r="O230" i="4"/>
  <c r="P233" i="4"/>
  <c r="R233" i="4"/>
  <c r="I254" i="4"/>
  <c r="K256" i="4"/>
  <c r="J256" i="4"/>
  <c r="U289" i="4"/>
  <c r="Q289" i="4" s="1"/>
  <c r="U286" i="4"/>
  <c r="Q286" i="4" s="1"/>
  <c r="U287" i="4"/>
  <c r="Q287" i="4" s="1"/>
  <c r="P293" i="4"/>
  <c r="R293" i="4"/>
  <c r="P302" i="4"/>
  <c r="R302" i="4"/>
  <c r="P312" i="4"/>
  <c r="R321" i="4"/>
  <c r="P321" i="4"/>
  <c r="R378" i="4"/>
  <c r="P378" i="4"/>
  <c r="P383" i="4"/>
  <c r="R383" i="4"/>
  <c r="R399" i="4"/>
  <c r="P399" i="4"/>
  <c r="P420" i="4"/>
  <c r="R420" i="4"/>
  <c r="O438" i="4"/>
  <c r="S438" i="4"/>
  <c r="T438" i="4" s="1"/>
  <c r="R442" i="4"/>
  <c r="P442" i="4"/>
  <c r="R453" i="4"/>
  <c r="P453" i="4"/>
  <c r="U127" i="4"/>
  <c r="Q127" i="4" s="1"/>
  <c r="U128" i="4"/>
  <c r="Q128" i="4" s="1"/>
  <c r="U129" i="4"/>
  <c r="U130" i="4"/>
  <c r="Q130" i="4" s="1"/>
  <c r="U131" i="4"/>
  <c r="Q131" i="4" s="1"/>
  <c r="U139" i="4"/>
  <c r="Q139" i="4" s="1"/>
  <c r="U134" i="4"/>
  <c r="U141" i="4"/>
  <c r="Q155" i="4"/>
  <c r="R216" i="4"/>
  <c r="P216" i="4"/>
  <c r="R248" i="4"/>
  <c r="P248" i="4"/>
  <c r="Q258" i="4"/>
  <c r="P333" i="4"/>
  <c r="R333" i="4"/>
  <c r="S335" i="4"/>
  <c r="T335" i="4" s="1"/>
  <c r="O335" i="4"/>
  <c r="P397" i="4"/>
  <c r="R397" i="4"/>
  <c r="R482" i="4"/>
  <c r="P482" i="4"/>
  <c r="P576" i="4"/>
  <c r="R576" i="4"/>
  <c r="P96" i="4"/>
  <c r="U138" i="4"/>
  <c r="N157" i="4"/>
  <c r="P188" i="4"/>
  <c r="P203" i="4"/>
  <c r="P207" i="4"/>
  <c r="S211" i="4"/>
  <c r="T211" i="4" s="1"/>
  <c r="O211" i="4"/>
  <c r="P235" i="4"/>
  <c r="P239" i="4"/>
  <c r="S243" i="4"/>
  <c r="T243" i="4" s="1"/>
  <c r="O243" i="4"/>
  <c r="R303" i="4"/>
  <c r="P303" i="4"/>
  <c r="R311" i="4"/>
  <c r="P311" i="4"/>
  <c r="P336" i="4"/>
  <c r="R336" i="4"/>
  <c r="P355" i="4"/>
  <c r="R355" i="4"/>
  <c r="P374" i="4"/>
  <c r="R374" i="4"/>
  <c r="K428" i="4"/>
  <c r="J428" i="4"/>
  <c r="O450" i="4"/>
  <c r="S450" i="4"/>
  <c r="T450" i="4" s="1"/>
  <c r="P454" i="4"/>
  <c r="R454" i="4"/>
  <c r="P484" i="4"/>
  <c r="R484" i="4"/>
  <c r="R567" i="4"/>
  <c r="P567" i="4"/>
  <c r="AD83" i="4"/>
  <c r="I135" i="4"/>
  <c r="U140" i="4"/>
  <c r="Q140" i="4" s="1"/>
  <c r="I148" i="4"/>
  <c r="Q154" i="4"/>
  <c r="P211" i="4"/>
  <c r="P215" i="4"/>
  <c r="P243" i="4"/>
  <c r="P247" i="4"/>
  <c r="P272" i="4"/>
  <c r="R272" i="4"/>
  <c r="R296" i="4"/>
  <c r="P296" i="4"/>
  <c r="P340" i="4"/>
  <c r="R340" i="4"/>
  <c r="S390" i="4"/>
  <c r="T390" i="4" s="1"/>
  <c r="O390" i="4"/>
  <c r="P413" i="4"/>
  <c r="R413" i="4"/>
  <c r="R446" i="4"/>
  <c r="O488" i="4"/>
  <c r="S488" i="4"/>
  <c r="T488" i="4" s="1"/>
  <c r="P498" i="4"/>
  <c r="R498" i="4"/>
  <c r="R542" i="4"/>
  <c r="P542" i="4"/>
  <c r="R558" i="4"/>
  <c r="P558" i="4"/>
  <c r="P564" i="4"/>
  <c r="R564" i="4"/>
  <c r="V329" i="4"/>
  <c r="U351" i="4"/>
  <c r="Q351" i="4" s="1"/>
  <c r="U350" i="4"/>
  <c r="Q350" i="4" s="1"/>
  <c r="U349" i="4"/>
  <c r="Q349" i="4" s="1"/>
  <c r="U343" i="4"/>
  <c r="Q343" i="4" s="1"/>
  <c r="U344" i="4"/>
  <c r="Q344" i="4" s="1"/>
  <c r="U347" i="4"/>
  <c r="Q347" i="4" s="1"/>
  <c r="R372" i="4"/>
  <c r="P372" i="4"/>
  <c r="R387" i="4"/>
  <c r="P387" i="4"/>
  <c r="S389" i="4"/>
  <c r="T389" i="4" s="1"/>
  <c r="O389" i="4"/>
  <c r="R394" i="4"/>
  <c r="P394" i="4"/>
  <c r="R398" i="4"/>
  <c r="P398" i="4"/>
  <c r="S414" i="4"/>
  <c r="T414" i="4" s="1"/>
  <c r="O414" i="4"/>
  <c r="P432" i="4"/>
  <c r="R432" i="4"/>
  <c r="R461" i="4"/>
  <c r="P461" i="4"/>
  <c r="R476" i="4"/>
  <c r="P489" i="4"/>
  <c r="R489" i="4"/>
  <c r="P528" i="4"/>
  <c r="R528" i="4"/>
  <c r="Q256" i="4"/>
  <c r="P298" i="4"/>
  <c r="U327" i="4"/>
  <c r="U322" i="4"/>
  <c r="Q322" i="4" s="1"/>
  <c r="U323" i="4"/>
  <c r="Q323" i="4" s="1"/>
  <c r="V328" i="4"/>
  <c r="Q328" i="4" s="1"/>
  <c r="U422" i="4"/>
  <c r="U427" i="4"/>
  <c r="U426" i="4"/>
  <c r="U430" i="4"/>
  <c r="U429" i="4"/>
  <c r="U428" i="4"/>
  <c r="Q428" i="4" s="1"/>
  <c r="Q474" i="4"/>
  <c r="U501" i="4"/>
  <c r="Q501" i="4" s="1"/>
  <c r="U494" i="4"/>
  <c r="U497" i="4"/>
  <c r="Q497" i="4" s="1"/>
  <c r="U496" i="4"/>
  <c r="Q496" i="4" s="1"/>
  <c r="U493" i="4"/>
  <c r="U499" i="4"/>
  <c r="Q499" i="4" s="1"/>
  <c r="U500" i="4"/>
  <c r="S523" i="4"/>
  <c r="T523" i="4" s="1"/>
  <c r="O523" i="4"/>
  <c r="R550" i="4"/>
  <c r="P550" i="4"/>
  <c r="P560" i="4"/>
  <c r="R560" i="4"/>
  <c r="AC282" i="4"/>
  <c r="V323" i="4"/>
  <c r="U331" i="4"/>
  <c r="Q331" i="4" s="1"/>
  <c r="U346" i="4"/>
  <c r="Q346" i="4" s="1"/>
  <c r="R361" i="4"/>
  <c r="P361" i="4"/>
  <c r="R379" i="4"/>
  <c r="Y389" i="4"/>
  <c r="Y390" i="4" s="1"/>
  <c r="R392" i="4"/>
  <c r="P392" i="4"/>
  <c r="V427" i="4"/>
  <c r="V426" i="4"/>
  <c r="V425" i="4"/>
  <c r="Q425" i="4" s="1"/>
  <c r="V424" i="4"/>
  <c r="Q424" i="4" s="1"/>
  <c r="V423" i="4"/>
  <c r="Q423" i="4" s="1"/>
  <c r="V428" i="4"/>
  <c r="V430" i="4"/>
  <c r="V429" i="4"/>
  <c r="V422" i="4"/>
  <c r="O436" i="4"/>
  <c r="P459" i="4"/>
  <c r="R459" i="4"/>
  <c r="R463" i="4"/>
  <c r="P467" i="4"/>
  <c r="R467" i="4"/>
  <c r="R483" i="4"/>
  <c r="R486" i="4"/>
  <c r="P486" i="4"/>
  <c r="R519" i="4"/>
  <c r="P519" i="4"/>
  <c r="P523" i="4"/>
  <c r="P532" i="4"/>
  <c r="R532" i="4"/>
  <c r="P544" i="4"/>
  <c r="R544" i="4"/>
  <c r="P585" i="4"/>
  <c r="R585" i="4"/>
  <c r="P524" i="4"/>
  <c r="R524" i="4"/>
  <c r="R534" i="4"/>
  <c r="P534" i="4"/>
  <c r="O551" i="4"/>
  <c r="S551" i="4"/>
  <c r="T551" i="4" s="1"/>
  <c r="R578" i="4"/>
  <c r="P578" i="4"/>
  <c r="P588" i="4"/>
  <c r="R588" i="4"/>
  <c r="P341" i="4"/>
  <c r="U363" i="4"/>
  <c r="Q363" i="4" s="1"/>
  <c r="U371" i="4"/>
  <c r="Q371" i="4" s="1"/>
  <c r="U370" i="4"/>
  <c r="Q370" i="4" s="1"/>
  <c r="U369" i="4"/>
  <c r="Q369" i="4" s="1"/>
  <c r="U368" i="4"/>
  <c r="Q368" i="4" s="1"/>
  <c r="R375" i="4"/>
  <c r="P380" i="4"/>
  <c r="R380" i="4"/>
  <c r="P415" i="4"/>
  <c r="P441" i="4"/>
  <c r="R441" i="4"/>
  <c r="U477" i="4"/>
  <c r="Q477" i="4" s="1"/>
  <c r="U472" i="4"/>
  <c r="Q472" i="4" s="1"/>
  <c r="U478" i="4"/>
  <c r="Q478" i="4" s="1"/>
  <c r="U473" i="4"/>
  <c r="Q473" i="4" s="1"/>
  <c r="U481" i="4"/>
  <c r="Q481" i="4" s="1"/>
  <c r="S515" i="4"/>
  <c r="T515" i="4" s="1"/>
  <c r="O515" i="4"/>
  <c r="R521" i="4"/>
  <c r="R571" i="4"/>
  <c r="P571" i="4"/>
  <c r="U407" i="4"/>
  <c r="U402" i="4"/>
  <c r="Q402" i="4" s="1"/>
  <c r="U406" i="4"/>
  <c r="Q406" i="4" s="1"/>
  <c r="U411" i="4"/>
  <c r="J422" i="4"/>
  <c r="N423" i="4"/>
  <c r="I423" i="4"/>
  <c r="N426" i="4"/>
  <c r="I426" i="4"/>
  <c r="S435" i="4"/>
  <c r="T435" i="4" s="1"/>
  <c r="O435" i="4"/>
  <c r="R451" i="4"/>
  <c r="U475" i="4"/>
  <c r="Q475" i="4" s="1"/>
  <c r="U479" i="4"/>
  <c r="Q479" i="4" s="1"/>
  <c r="R491" i="4"/>
  <c r="R518" i="4"/>
  <c r="P518" i="4"/>
  <c r="O527" i="4"/>
  <c r="S527" i="4"/>
  <c r="T527" i="4" s="1"/>
  <c r="R538" i="4"/>
  <c r="P538" i="4"/>
  <c r="S541" i="4"/>
  <c r="T541" i="4" s="1"/>
  <c r="O541" i="4"/>
  <c r="S549" i="4"/>
  <c r="T549" i="4" s="1"/>
  <c r="O549" i="4"/>
  <c r="P580" i="4"/>
  <c r="R580" i="4"/>
  <c r="AC472" i="4"/>
  <c r="R526" i="4"/>
  <c r="P526" i="4"/>
  <c r="R554" i="4"/>
  <c r="P554" i="4"/>
  <c r="S565" i="4"/>
  <c r="T565" i="4" s="1"/>
  <c r="O565" i="4"/>
  <c r="P568" i="4"/>
  <c r="R568" i="4"/>
  <c r="R582" i="4"/>
  <c r="P582" i="4"/>
  <c r="O591" i="4"/>
  <c r="V407" i="4"/>
  <c r="V408" i="4"/>
  <c r="Q408" i="4" s="1"/>
  <c r="V409" i="4"/>
  <c r="Q409" i="4" s="1"/>
  <c r="V410" i="4"/>
  <c r="V411" i="4"/>
  <c r="P444" i="4"/>
  <c r="P452" i="4"/>
  <c r="P468" i="4"/>
  <c r="R522" i="4"/>
  <c r="P522" i="4"/>
  <c r="S533" i="4"/>
  <c r="T533" i="4" s="1"/>
  <c r="O533" i="4"/>
  <c r="P536" i="4"/>
  <c r="R536" i="4"/>
  <c r="S547" i="4"/>
  <c r="T547" i="4" s="1"/>
  <c r="S555" i="4"/>
  <c r="T555" i="4" s="1"/>
  <c r="O555" i="4"/>
  <c r="O575" i="4"/>
  <c r="S575" i="4"/>
  <c r="T575" i="4" s="1"/>
  <c r="W428" i="4"/>
  <c r="W429" i="4"/>
  <c r="R466" i="4"/>
  <c r="O470" i="4"/>
  <c r="S470" i="4"/>
  <c r="T470" i="4" s="1"/>
  <c r="S517" i="4"/>
  <c r="T517" i="4" s="1"/>
  <c r="O517" i="4"/>
  <c r="P520" i="4"/>
  <c r="R520" i="4"/>
  <c r="S531" i="4"/>
  <c r="T531" i="4" s="1"/>
  <c r="O531" i="4"/>
  <c r="S539" i="4"/>
  <c r="T539" i="4" s="1"/>
  <c r="O539" i="4"/>
  <c r="P555" i="4"/>
  <c r="O559" i="4"/>
  <c r="S559" i="4"/>
  <c r="T559" i="4" s="1"/>
  <c r="R566" i="4"/>
  <c r="P566" i="4"/>
  <c r="P577" i="4"/>
  <c r="R577" i="4"/>
  <c r="P589" i="4"/>
  <c r="R589" i="4"/>
  <c r="R513" i="4"/>
  <c r="R529" i="4"/>
  <c r="R545" i="4"/>
  <c r="R561" i="4"/>
  <c r="P584" i="4"/>
  <c r="R584" i="4"/>
  <c r="S586" i="4"/>
  <c r="T586" i="4" s="1"/>
  <c r="O586" i="4"/>
  <c r="V500" i="4"/>
  <c r="V494" i="4"/>
  <c r="V493" i="4"/>
  <c r="V492" i="4"/>
  <c r="Q492" i="4" s="1"/>
  <c r="O590" i="4"/>
  <c r="P574" i="4"/>
  <c r="O572" i="4" l="1"/>
  <c r="S572" i="4"/>
  <c r="T572" i="4" s="1"/>
  <c r="S557" i="4"/>
  <c r="T557" i="4" s="1"/>
  <c r="O557" i="4"/>
  <c r="S186" i="4"/>
  <c r="T186" i="4" s="1"/>
  <c r="O186" i="4"/>
  <c r="S455" i="4"/>
  <c r="T455" i="4" s="1"/>
  <c r="S33" i="4"/>
  <c r="T33" i="4" s="1"/>
  <c r="O33" i="4"/>
  <c r="Q407" i="4"/>
  <c r="Q494" i="4"/>
  <c r="P494" i="4" s="1"/>
  <c r="Q422" i="4"/>
  <c r="R422" i="4" s="1"/>
  <c r="U288" i="4"/>
  <c r="Q288" i="4" s="1"/>
  <c r="P431" i="4"/>
  <c r="S535" i="4"/>
  <c r="T535" i="4" s="1"/>
  <c r="R326" i="4"/>
  <c r="O326" i="4" s="1"/>
  <c r="S274" i="4"/>
  <c r="T274" i="4" s="1"/>
  <c r="O362" i="4"/>
  <c r="O219" i="4"/>
  <c r="S219" i="4"/>
  <c r="T219" i="4" s="1"/>
  <c r="S546" i="4"/>
  <c r="T546" i="4" s="1"/>
  <c r="O546" i="4"/>
  <c r="O553" i="4"/>
  <c r="S553" i="4"/>
  <c r="T553" i="4" s="1"/>
  <c r="P366" i="4"/>
  <c r="R366" i="4"/>
  <c r="O310" i="4"/>
  <c r="S310" i="4"/>
  <c r="T310" i="4" s="1"/>
  <c r="O104" i="4"/>
  <c r="S104" i="4"/>
  <c r="T104" i="4" s="1"/>
  <c r="O456" i="4"/>
  <c r="S456" i="4"/>
  <c r="T456" i="4" s="1"/>
  <c r="O271" i="4"/>
  <c r="S271" i="4"/>
  <c r="T271" i="4" s="1"/>
  <c r="S569" i="4"/>
  <c r="T569" i="4" s="1"/>
  <c r="S362" i="4"/>
  <c r="T362" i="4" s="1"/>
  <c r="S5" i="4"/>
  <c r="T5" i="4" s="1"/>
  <c r="O5" i="4"/>
  <c r="O388" i="4"/>
  <c r="Q138" i="4"/>
  <c r="R138" i="4" s="1"/>
  <c r="Q129" i="4"/>
  <c r="S167" i="4"/>
  <c r="T167" i="4" s="1"/>
  <c r="R151" i="4"/>
  <c r="P151" i="4"/>
  <c r="Q126" i="4"/>
  <c r="S457" i="4"/>
  <c r="T457" i="4" s="1"/>
  <c r="O457" i="4"/>
  <c r="S418" i="4"/>
  <c r="T418" i="4" s="1"/>
  <c r="O418" i="4"/>
  <c r="J258" i="4"/>
  <c r="K258" i="4"/>
  <c r="P149" i="4"/>
  <c r="R149" i="4"/>
  <c r="S93" i="4"/>
  <c r="T93" i="4" s="1"/>
  <c r="O93" i="4"/>
  <c r="S41" i="4"/>
  <c r="T41" i="4" s="1"/>
  <c r="O41" i="4"/>
  <c r="S433" i="4"/>
  <c r="T433" i="4" s="1"/>
  <c r="O433" i="4"/>
  <c r="S162" i="4"/>
  <c r="T162" i="4" s="1"/>
  <c r="O162" i="4"/>
  <c r="S163" i="4"/>
  <c r="T163" i="4" s="1"/>
  <c r="O251" i="4"/>
  <c r="S251" i="4"/>
  <c r="T251" i="4" s="1"/>
  <c r="U284" i="4"/>
  <c r="Q284" i="4" s="1"/>
  <c r="U285" i="4"/>
  <c r="Q285" i="4" s="1"/>
  <c r="U283" i="4"/>
  <c r="Q283" i="4" s="1"/>
  <c r="S244" i="4"/>
  <c r="T244" i="4" s="1"/>
  <c r="O244" i="4"/>
  <c r="S543" i="4"/>
  <c r="T543" i="4" s="1"/>
  <c r="Q327" i="4"/>
  <c r="P327" i="4" s="1"/>
  <c r="P404" i="4"/>
  <c r="U291" i="4"/>
  <c r="Q291" i="4" s="1"/>
  <c r="P257" i="4"/>
  <c r="J55" i="4"/>
  <c r="S339" i="4"/>
  <c r="T339" i="4" s="1"/>
  <c r="P342" i="4"/>
  <c r="R57" i="4"/>
  <c r="S556" i="4"/>
  <c r="T556" i="4" s="1"/>
  <c r="K427" i="4"/>
  <c r="J427" i="4"/>
  <c r="J132" i="4"/>
  <c r="K132" i="4"/>
  <c r="S421" i="4"/>
  <c r="T421" i="4" s="1"/>
  <c r="O421" i="4"/>
  <c r="O268" i="4"/>
  <c r="S268" i="4"/>
  <c r="T268" i="4" s="1"/>
  <c r="J142" i="4"/>
  <c r="K142" i="4"/>
  <c r="S218" i="4"/>
  <c r="T218" i="4" s="1"/>
  <c r="O218" i="4"/>
  <c r="S280" i="4"/>
  <c r="T280" i="4" s="1"/>
  <c r="O280" i="4"/>
  <c r="P158" i="4"/>
  <c r="R158" i="4"/>
  <c r="S62" i="4"/>
  <c r="T62" i="4" s="1"/>
  <c r="O62" i="4"/>
  <c r="Q500" i="4"/>
  <c r="S562" i="4"/>
  <c r="T562" i="4" s="1"/>
  <c r="O562" i="4"/>
  <c r="Q410" i="4"/>
  <c r="U290" i="4"/>
  <c r="Q290" i="4" s="1"/>
  <c r="S74" i="4"/>
  <c r="T74" i="4" s="1"/>
  <c r="S150" i="4"/>
  <c r="T150" i="4" s="1"/>
  <c r="O150" i="4"/>
  <c r="S581" i="4"/>
  <c r="T581" i="4" s="1"/>
  <c r="O581" i="4"/>
  <c r="S445" i="4"/>
  <c r="T445" i="4" s="1"/>
  <c r="O445" i="4"/>
  <c r="O174" i="4"/>
  <c r="S174" i="4"/>
  <c r="T174" i="4" s="1"/>
  <c r="S485" i="4"/>
  <c r="T485" i="4" s="1"/>
  <c r="O485" i="4"/>
  <c r="R492" i="4"/>
  <c r="P492" i="4"/>
  <c r="R410" i="4"/>
  <c r="P410" i="4"/>
  <c r="P328" i="4"/>
  <c r="R328" i="4"/>
  <c r="R407" i="4"/>
  <c r="P407" i="4"/>
  <c r="R494" i="4"/>
  <c r="O558" i="4"/>
  <c r="S558" i="4"/>
  <c r="T558" i="4" s="1"/>
  <c r="S321" i="4"/>
  <c r="T321" i="4" s="1"/>
  <c r="O321" i="4"/>
  <c r="O257" i="4"/>
  <c r="S257" i="4"/>
  <c r="T257" i="4" s="1"/>
  <c r="R137" i="4"/>
  <c r="P137" i="4"/>
  <c r="O210" i="4"/>
  <c r="S210" i="4"/>
  <c r="T210" i="4" s="1"/>
  <c r="S197" i="4"/>
  <c r="T197" i="4" s="1"/>
  <c r="O197" i="4"/>
  <c r="S36" i="4"/>
  <c r="T36" i="4" s="1"/>
  <c r="O36" i="4"/>
  <c r="O214" i="4"/>
  <c r="S214" i="4"/>
  <c r="T214" i="4" s="1"/>
  <c r="P481" i="4"/>
  <c r="R481" i="4"/>
  <c r="R349" i="4"/>
  <c r="P349" i="4"/>
  <c r="S447" i="4"/>
  <c r="T447" i="4" s="1"/>
  <c r="O447" i="4"/>
  <c r="O540" i="4"/>
  <c r="S540" i="4"/>
  <c r="T540" i="4" s="1"/>
  <c r="O164" i="4"/>
  <c r="S164" i="4"/>
  <c r="T164" i="4" s="1"/>
  <c r="S255" i="4"/>
  <c r="T255" i="4" s="1"/>
  <c r="O255" i="4"/>
  <c r="S50" i="4"/>
  <c r="T50" i="4" s="1"/>
  <c r="O50" i="4"/>
  <c r="S324" i="4"/>
  <c r="T324" i="4" s="1"/>
  <c r="O324" i="4"/>
  <c r="S202" i="4"/>
  <c r="T202" i="4" s="1"/>
  <c r="O202" i="4"/>
  <c r="S534" i="4"/>
  <c r="T534" i="4" s="1"/>
  <c r="O534" i="4"/>
  <c r="O336" i="4"/>
  <c r="S336" i="4"/>
  <c r="T336" i="4" s="1"/>
  <c r="P125" i="4"/>
  <c r="R125" i="4"/>
  <c r="O9" i="4"/>
  <c r="S9" i="4"/>
  <c r="T9" i="4" s="1"/>
  <c r="S234" i="4"/>
  <c r="T234" i="4" s="1"/>
  <c r="O234" i="4"/>
  <c r="S561" i="4"/>
  <c r="T561" i="4" s="1"/>
  <c r="O561" i="4"/>
  <c r="O524" i="4"/>
  <c r="S524" i="4"/>
  <c r="T524" i="4" s="1"/>
  <c r="R428" i="4"/>
  <c r="P428" i="4"/>
  <c r="S498" i="4"/>
  <c r="T498" i="4" s="1"/>
  <c r="O498" i="4"/>
  <c r="S11" i="4"/>
  <c r="T11" i="4" s="1"/>
  <c r="O11" i="4"/>
  <c r="R133" i="4"/>
  <c r="P133" i="4"/>
  <c r="S124" i="4"/>
  <c r="T124" i="4" s="1"/>
  <c r="O124" i="4"/>
  <c r="O391" i="4"/>
  <c r="S391" i="4"/>
  <c r="T391" i="4" s="1"/>
  <c r="O63" i="4"/>
  <c r="S63" i="4"/>
  <c r="T63" i="4" s="1"/>
  <c r="O582" i="4"/>
  <c r="S582" i="4"/>
  <c r="T582" i="4" s="1"/>
  <c r="O567" i="4"/>
  <c r="S567" i="4"/>
  <c r="T567" i="4" s="1"/>
  <c r="O576" i="4"/>
  <c r="S576" i="4"/>
  <c r="T576" i="4" s="1"/>
  <c r="S333" i="4"/>
  <c r="T333" i="4" s="1"/>
  <c r="O333" i="4"/>
  <c r="S216" i="4"/>
  <c r="T216" i="4" s="1"/>
  <c r="O216" i="4"/>
  <c r="P128" i="4"/>
  <c r="R128" i="4"/>
  <c r="S420" i="4"/>
  <c r="T420" i="4" s="1"/>
  <c r="O420" i="4"/>
  <c r="O293" i="4"/>
  <c r="S293" i="4"/>
  <c r="T293" i="4" s="1"/>
  <c r="R282" i="4"/>
  <c r="P282" i="4"/>
  <c r="O201" i="4"/>
  <c r="S201" i="4"/>
  <c r="T201" i="4" s="1"/>
  <c r="O462" i="4"/>
  <c r="S462" i="4"/>
  <c r="T462" i="4" s="1"/>
  <c r="S173" i="4"/>
  <c r="T173" i="4" s="1"/>
  <c r="O173" i="4"/>
  <c r="P118" i="4"/>
  <c r="R118" i="4"/>
  <c r="K136" i="4"/>
  <c r="J136" i="4"/>
  <c r="O480" i="4"/>
  <c r="S480" i="4"/>
  <c r="T480" i="4" s="1"/>
  <c r="S431" i="4"/>
  <c r="T431" i="4" s="1"/>
  <c r="O431" i="4"/>
  <c r="R121" i="4"/>
  <c r="P121" i="4"/>
  <c r="O437" i="4"/>
  <c r="S437" i="4"/>
  <c r="T437" i="4" s="1"/>
  <c r="R505" i="4"/>
  <c r="P505" i="4"/>
  <c r="S376" i="4"/>
  <c r="T376" i="4" s="1"/>
  <c r="O376" i="4"/>
  <c r="O295" i="4"/>
  <c r="S295" i="4"/>
  <c r="T295" i="4" s="1"/>
  <c r="K153" i="4"/>
  <c r="J153" i="4"/>
  <c r="S189" i="4"/>
  <c r="T189" i="4" s="1"/>
  <c r="O189" i="4"/>
  <c r="S231" i="4"/>
  <c r="T231" i="4" s="1"/>
  <c r="O231" i="4"/>
  <c r="S54" i="4"/>
  <c r="T54" i="4" s="1"/>
  <c r="O54" i="4"/>
  <c r="S111" i="4"/>
  <c r="T111" i="4" s="1"/>
  <c r="O111" i="4"/>
  <c r="P136" i="4"/>
  <c r="R136" i="4"/>
  <c r="O80" i="4"/>
  <c r="S80" i="4"/>
  <c r="T80" i="4" s="1"/>
  <c r="O160" i="4"/>
  <c r="S160" i="4"/>
  <c r="T160" i="4" s="1"/>
  <c r="S6" i="4"/>
  <c r="T6" i="4" s="1"/>
  <c r="O6" i="4"/>
  <c r="S175" i="4"/>
  <c r="T175" i="4" s="1"/>
  <c r="O175" i="4"/>
  <c r="R59" i="4"/>
  <c r="P59" i="4"/>
  <c r="S113" i="4"/>
  <c r="T113" i="4" s="1"/>
  <c r="O113" i="4"/>
  <c r="S194" i="4"/>
  <c r="T194" i="4" s="1"/>
  <c r="O194" i="4"/>
  <c r="R371" i="4"/>
  <c r="P371" i="4"/>
  <c r="S550" i="4"/>
  <c r="T550" i="4" s="1"/>
  <c r="O550" i="4"/>
  <c r="O413" i="4"/>
  <c r="S413" i="4"/>
  <c r="T413" i="4" s="1"/>
  <c r="R258" i="4"/>
  <c r="P258" i="4"/>
  <c r="P510" i="4"/>
  <c r="R510" i="4"/>
  <c r="P424" i="4"/>
  <c r="R424" i="4"/>
  <c r="K135" i="4"/>
  <c r="J135" i="4"/>
  <c r="O196" i="4"/>
  <c r="S196" i="4"/>
  <c r="T196" i="4" s="1"/>
  <c r="S587" i="4"/>
  <c r="T587" i="4" s="1"/>
  <c r="O587" i="4"/>
  <c r="S72" i="4"/>
  <c r="T72" i="4" s="1"/>
  <c r="O72" i="4"/>
  <c r="P252" i="4"/>
  <c r="R252" i="4"/>
  <c r="O25" i="4"/>
  <c r="S25" i="4"/>
  <c r="T25" i="4" s="1"/>
  <c r="K423" i="4"/>
  <c r="J423" i="4"/>
  <c r="O532" i="4"/>
  <c r="S532" i="4"/>
  <c r="T532" i="4" s="1"/>
  <c r="O490" i="4"/>
  <c r="S490" i="4"/>
  <c r="T490" i="4" s="1"/>
  <c r="R507" i="4"/>
  <c r="P507" i="4"/>
  <c r="P479" i="4"/>
  <c r="R479" i="4"/>
  <c r="AD476" i="4"/>
  <c r="S476" i="4"/>
  <c r="T476" i="4" s="1"/>
  <c r="O476" i="4"/>
  <c r="P288" i="4"/>
  <c r="R288" i="4"/>
  <c r="S277" i="4"/>
  <c r="T277" i="4" s="1"/>
  <c r="O277" i="4"/>
  <c r="R120" i="4"/>
  <c r="P120" i="4"/>
  <c r="S270" i="4"/>
  <c r="T270" i="4" s="1"/>
  <c r="O270" i="4"/>
  <c r="O367" i="4"/>
  <c r="S367" i="4"/>
  <c r="T367" i="4" s="1"/>
  <c r="O148" i="4"/>
  <c r="S148" i="4"/>
  <c r="T148" i="4" s="1"/>
  <c r="S566" i="4"/>
  <c r="T566" i="4" s="1"/>
  <c r="O566" i="4"/>
  <c r="P472" i="4"/>
  <c r="R472" i="4"/>
  <c r="Q411" i="4"/>
  <c r="S398" i="4"/>
  <c r="T398" i="4" s="1"/>
  <c r="O398" i="4"/>
  <c r="R155" i="4"/>
  <c r="P155" i="4"/>
  <c r="P127" i="4"/>
  <c r="R127" i="4"/>
  <c r="S165" i="4"/>
  <c r="T165" i="4" s="1"/>
  <c r="O165" i="4"/>
  <c r="S309" i="4"/>
  <c r="T309" i="4" s="1"/>
  <c r="O309" i="4"/>
  <c r="S412" i="4"/>
  <c r="T412" i="4" s="1"/>
  <c r="O412" i="4"/>
  <c r="O377" i="4"/>
  <c r="S377" i="4"/>
  <c r="T377" i="4" s="1"/>
  <c r="P509" i="4"/>
  <c r="R509" i="4"/>
  <c r="O228" i="4"/>
  <c r="S228" i="4"/>
  <c r="T228" i="4" s="1"/>
  <c r="P53" i="4"/>
  <c r="R53" i="4"/>
  <c r="S81" i="4"/>
  <c r="T81" i="4" s="1"/>
  <c r="O81" i="4"/>
  <c r="O30" i="4"/>
  <c r="S30" i="4"/>
  <c r="T30" i="4" s="1"/>
  <c r="O249" i="4"/>
  <c r="S249" i="4"/>
  <c r="T249" i="4" s="1"/>
  <c r="O159" i="4"/>
  <c r="S159" i="4"/>
  <c r="T159" i="4" s="1"/>
  <c r="O460" i="4"/>
  <c r="S460" i="4"/>
  <c r="T460" i="4" s="1"/>
  <c r="S259" i="4"/>
  <c r="T259" i="4" s="1"/>
  <c r="O259" i="4"/>
  <c r="O16" i="4"/>
  <c r="S16" i="4"/>
  <c r="T16" i="4" s="1"/>
  <c r="O226" i="4"/>
  <c r="S226" i="4"/>
  <c r="T226" i="4" s="1"/>
  <c r="O315" i="4"/>
  <c r="S315" i="4"/>
  <c r="T315" i="4" s="1"/>
  <c r="S264" i="4"/>
  <c r="T264" i="4" s="1"/>
  <c r="O264" i="4"/>
  <c r="O246" i="4"/>
  <c r="S246" i="4"/>
  <c r="T246" i="4" s="1"/>
  <c r="O144" i="4"/>
  <c r="S144" i="4"/>
  <c r="T144" i="4" s="1"/>
  <c r="S337" i="4"/>
  <c r="T337" i="4" s="1"/>
  <c r="O337" i="4"/>
  <c r="R61" i="4"/>
  <c r="P61" i="4"/>
  <c r="S229" i="4"/>
  <c r="T229" i="4" s="1"/>
  <c r="O229" i="4"/>
  <c r="O22" i="4"/>
  <c r="S22" i="4"/>
  <c r="T22" i="4" s="1"/>
  <c r="O46" i="4"/>
  <c r="S46" i="4"/>
  <c r="T46" i="4" s="1"/>
  <c r="S7" i="4"/>
  <c r="T7" i="4" s="1"/>
  <c r="O7" i="4"/>
  <c r="S522" i="4"/>
  <c r="T522" i="4" s="1"/>
  <c r="O522" i="4"/>
  <c r="R425" i="4"/>
  <c r="P425" i="4"/>
  <c r="R140" i="4"/>
  <c r="P140" i="4"/>
  <c r="R290" i="4"/>
  <c r="P290" i="4"/>
  <c r="S342" i="4"/>
  <c r="T342" i="4" s="1"/>
  <c r="O342" i="4"/>
  <c r="O119" i="4"/>
  <c r="S119" i="4"/>
  <c r="T119" i="4" s="1"/>
  <c r="S512" i="4"/>
  <c r="T512" i="4" s="1"/>
  <c r="O512" i="4"/>
  <c r="R363" i="4"/>
  <c r="P363" i="4"/>
  <c r="R286" i="4"/>
  <c r="P286" i="4"/>
  <c r="J137" i="4"/>
  <c r="K137" i="4"/>
  <c r="R117" i="4"/>
  <c r="P117" i="4"/>
  <c r="S364" i="4"/>
  <c r="T364" i="4" s="1"/>
  <c r="AA364" i="4"/>
  <c r="O364" i="4"/>
  <c r="R474" i="4"/>
  <c r="P474" i="4"/>
  <c r="U86" i="4"/>
  <c r="Q86" i="4" s="1"/>
  <c r="U82" i="4"/>
  <c r="Q82" i="4" s="1"/>
  <c r="U90" i="4"/>
  <c r="Q90" i="4" s="1"/>
  <c r="U83" i="4"/>
  <c r="Q83" i="4" s="1"/>
  <c r="U88" i="4"/>
  <c r="Q88" i="4" s="1"/>
  <c r="U87" i="4"/>
  <c r="Q87" i="4" s="1"/>
  <c r="U84" i="4"/>
  <c r="Q84" i="4" s="1"/>
  <c r="U89" i="4"/>
  <c r="Q89" i="4" s="1"/>
  <c r="U85" i="4"/>
  <c r="Q85" i="4" s="1"/>
  <c r="U91" i="4"/>
  <c r="Q91" i="4" s="1"/>
  <c r="R130" i="4"/>
  <c r="P130" i="4"/>
  <c r="S64" i="4"/>
  <c r="T64" i="4" s="1"/>
  <c r="O64" i="4"/>
  <c r="S199" i="4"/>
  <c r="T199" i="4" s="1"/>
  <c r="O199" i="4"/>
  <c r="S571" i="4"/>
  <c r="T571" i="4" s="1"/>
  <c r="O571" i="4"/>
  <c r="P351" i="4"/>
  <c r="R351" i="4"/>
  <c r="O182" i="4"/>
  <c r="S182" i="4"/>
  <c r="T182" i="4" s="1"/>
  <c r="R502" i="4"/>
  <c r="P502" i="4"/>
  <c r="S92" i="4"/>
  <c r="T92" i="4" s="1"/>
  <c r="O92" i="4"/>
  <c r="S32" i="4"/>
  <c r="T32" i="4" s="1"/>
  <c r="O32" i="4"/>
  <c r="S520" i="4"/>
  <c r="T520" i="4" s="1"/>
  <c r="O520" i="4"/>
  <c r="S568" i="4"/>
  <c r="T568" i="4" s="1"/>
  <c r="O568" i="4"/>
  <c r="R477" i="4"/>
  <c r="P477" i="4"/>
  <c r="O459" i="4"/>
  <c r="S459" i="4"/>
  <c r="T459" i="4" s="1"/>
  <c r="O580" i="4"/>
  <c r="S580" i="4"/>
  <c r="T580" i="4" s="1"/>
  <c r="R496" i="4"/>
  <c r="P496" i="4"/>
  <c r="O484" i="4"/>
  <c r="S484" i="4"/>
  <c r="T484" i="4" s="1"/>
  <c r="P153" i="4"/>
  <c r="R153" i="4"/>
  <c r="O345" i="4"/>
  <c r="S345" i="4"/>
  <c r="T345" i="4" s="1"/>
  <c r="S263" i="4"/>
  <c r="T263" i="4" s="1"/>
  <c r="O263" i="4"/>
  <c r="O225" i="4"/>
  <c r="S225" i="4"/>
  <c r="T225" i="4" s="1"/>
  <c r="S273" i="4"/>
  <c r="T273" i="4" s="1"/>
  <c r="O273" i="4"/>
  <c r="S180" i="4"/>
  <c r="T180" i="4" s="1"/>
  <c r="O180" i="4"/>
  <c r="S142" i="4"/>
  <c r="T142" i="4" s="1"/>
  <c r="O142" i="4"/>
  <c r="O348" i="4"/>
  <c r="S348" i="4"/>
  <c r="T348" i="4" s="1"/>
  <c r="O319" i="4"/>
  <c r="S319" i="4"/>
  <c r="T319" i="4" s="1"/>
  <c r="K430" i="4"/>
  <c r="J430" i="4"/>
  <c r="P511" i="4"/>
  <c r="R511" i="4"/>
  <c r="S279" i="4"/>
  <c r="T279" i="4" s="1"/>
  <c r="O279" i="4"/>
  <c r="S106" i="4"/>
  <c r="T106" i="4" s="1"/>
  <c r="O106" i="4"/>
  <c r="O48" i="4"/>
  <c r="S48" i="4"/>
  <c r="T48" i="4" s="1"/>
  <c r="S40" i="4"/>
  <c r="T40" i="4" s="1"/>
  <c r="O40" i="4"/>
  <c r="R60" i="4"/>
  <c r="P60" i="4"/>
  <c r="S552" i="4"/>
  <c r="T552" i="4" s="1"/>
  <c r="O552" i="4"/>
  <c r="K144" i="4"/>
  <c r="J144" i="4"/>
  <c r="O55" i="4"/>
  <c r="S55" i="4"/>
  <c r="T55" i="4" s="1"/>
  <c r="O14" i="4"/>
  <c r="S14" i="4"/>
  <c r="T14" i="4" s="1"/>
  <c r="S357" i="4"/>
  <c r="T357" i="4" s="1"/>
  <c r="O357" i="4"/>
  <c r="S123" i="4"/>
  <c r="T123" i="4" s="1"/>
  <c r="O123" i="4"/>
  <c r="P260" i="4"/>
  <c r="R260" i="4"/>
  <c r="O217" i="4"/>
  <c r="S217" i="4"/>
  <c r="T217" i="4" s="1"/>
  <c r="S495" i="4"/>
  <c r="T495" i="4" s="1"/>
  <c r="O495" i="4"/>
  <c r="O254" i="4"/>
  <c r="S254" i="4"/>
  <c r="T254" i="4" s="1"/>
  <c r="K143" i="4"/>
  <c r="J143" i="4"/>
  <c r="S75" i="4"/>
  <c r="T75" i="4" s="1"/>
  <c r="O75" i="4"/>
  <c r="O43" i="4"/>
  <c r="S43" i="4"/>
  <c r="T43" i="4" s="1"/>
  <c r="K426" i="4"/>
  <c r="J426" i="4"/>
  <c r="S544" i="4"/>
  <c r="T544" i="4" s="1"/>
  <c r="O544" i="4"/>
  <c r="S486" i="4"/>
  <c r="T486" i="4" s="1"/>
  <c r="O486" i="4"/>
  <c r="O361" i="4"/>
  <c r="S361" i="4"/>
  <c r="T361" i="4" s="1"/>
  <c r="P422" i="4"/>
  <c r="R343" i="4"/>
  <c r="P343" i="4"/>
  <c r="S272" i="4"/>
  <c r="T272" i="4" s="1"/>
  <c r="O272" i="4"/>
  <c r="S454" i="4"/>
  <c r="T454" i="4" s="1"/>
  <c r="O454" i="4"/>
  <c r="O355" i="4"/>
  <c r="S355" i="4"/>
  <c r="T355" i="4" s="1"/>
  <c r="O397" i="4"/>
  <c r="S397" i="4"/>
  <c r="T397" i="4" s="1"/>
  <c r="P139" i="4"/>
  <c r="R139" i="4"/>
  <c r="O404" i="4"/>
  <c r="S404" i="4"/>
  <c r="T404" i="4" s="1"/>
  <c r="O233" i="4"/>
  <c r="S233" i="4"/>
  <c r="T233" i="4" s="1"/>
  <c r="O417" i="4"/>
  <c r="S417" i="4"/>
  <c r="T417" i="4" s="1"/>
  <c r="J149" i="4"/>
  <c r="K149" i="4"/>
  <c r="R112" i="4"/>
  <c r="P112" i="4"/>
  <c r="R506" i="4"/>
  <c r="P506" i="4"/>
  <c r="O306" i="4"/>
  <c r="S306" i="4"/>
  <c r="T306" i="4" s="1"/>
  <c r="O70" i="4"/>
  <c r="S70" i="4"/>
  <c r="T70" i="4" s="1"/>
  <c r="O95" i="4"/>
  <c r="S95" i="4"/>
  <c r="T95" i="4" s="1"/>
  <c r="P135" i="4"/>
  <c r="R135" i="4"/>
  <c r="O100" i="4"/>
  <c r="S100" i="4"/>
  <c r="T100" i="4" s="1"/>
  <c r="R52" i="4"/>
  <c r="P52" i="4"/>
  <c r="O94" i="4"/>
  <c r="S94" i="4"/>
  <c r="T94" i="4" s="1"/>
  <c r="S584" i="4"/>
  <c r="T584" i="4" s="1"/>
  <c r="O584" i="4"/>
  <c r="S577" i="4"/>
  <c r="T577" i="4" s="1"/>
  <c r="O577" i="4"/>
  <c r="S518" i="4"/>
  <c r="T518" i="4" s="1"/>
  <c r="O518" i="4"/>
  <c r="P403" i="4"/>
  <c r="R403" i="4"/>
  <c r="S483" i="4"/>
  <c r="T483" i="4" s="1"/>
  <c r="O483" i="4"/>
  <c r="R346" i="4"/>
  <c r="P346" i="4"/>
  <c r="R501" i="4"/>
  <c r="P501" i="4"/>
  <c r="S489" i="4"/>
  <c r="T489" i="4" s="1"/>
  <c r="O489" i="4"/>
  <c r="P131" i="4"/>
  <c r="R131" i="4"/>
  <c r="S442" i="4"/>
  <c r="T442" i="4" s="1"/>
  <c r="O442" i="4"/>
  <c r="S317" i="4"/>
  <c r="T317" i="4" s="1"/>
  <c r="O317" i="4"/>
  <c r="O373" i="4"/>
  <c r="S373" i="4"/>
  <c r="T373" i="4" s="1"/>
  <c r="O405" i="4"/>
  <c r="S405" i="4"/>
  <c r="T405" i="4" s="1"/>
  <c r="S332" i="4"/>
  <c r="T332" i="4" s="1"/>
  <c r="O332" i="4"/>
  <c r="O276" i="4"/>
  <c r="S276" i="4"/>
  <c r="T276" i="4" s="1"/>
  <c r="R122" i="4"/>
  <c r="P122" i="4"/>
  <c r="P504" i="4"/>
  <c r="R504" i="4"/>
  <c r="S205" i="4"/>
  <c r="T205" i="4" s="1"/>
  <c r="O205" i="4"/>
  <c r="S18" i="4"/>
  <c r="T18" i="4" s="1"/>
  <c r="O18" i="4"/>
  <c r="S170" i="4"/>
  <c r="T170" i="4" s="1"/>
  <c r="O170" i="4"/>
  <c r="S34" i="4"/>
  <c r="T34" i="4" s="1"/>
  <c r="O34" i="4"/>
  <c r="S471" i="4"/>
  <c r="T471" i="4" s="1"/>
  <c r="O471" i="4"/>
  <c r="S68" i="4"/>
  <c r="T68" i="4" s="1"/>
  <c r="O68" i="4"/>
  <c r="O396" i="4"/>
  <c r="S396" i="4"/>
  <c r="T396" i="4" s="1"/>
  <c r="S245" i="4"/>
  <c r="T245" i="4" s="1"/>
  <c r="O245" i="4"/>
  <c r="S304" i="4"/>
  <c r="T304" i="4" s="1"/>
  <c r="O304" i="4"/>
  <c r="K134" i="4"/>
  <c r="J134" i="4"/>
  <c r="S334" i="4"/>
  <c r="T334" i="4" s="1"/>
  <c r="O334" i="4"/>
  <c r="S466" i="4"/>
  <c r="T466" i="4" s="1"/>
  <c r="O466" i="4"/>
  <c r="S554" i="4"/>
  <c r="T554" i="4" s="1"/>
  <c r="O554" i="4"/>
  <c r="O491" i="4"/>
  <c r="S491" i="4"/>
  <c r="T491" i="4" s="1"/>
  <c r="P473" i="4"/>
  <c r="R473" i="4"/>
  <c r="O380" i="4"/>
  <c r="S380" i="4"/>
  <c r="T380" i="4" s="1"/>
  <c r="S467" i="4"/>
  <c r="T467" i="4" s="1"/>
  <c r="O467" i="4"/>
  <c r="R331" i="4"/>
  <c r="P331" i="4"/>
  <c r="R323" i="4"/>
  <c r="P323" i="4"/>
  <c r="R350" i="4"/>
  <c r="P350" i="4"/>
  <c r="S542" i="4"/>
  <c r="T542" i="4" s="1"/>
  <c r="O542" i="4"/>
  <c r="P138" i="4"/>
  <c r="S248" i="4"/>
  <c r="T248" i="4" s="1"/>
  <c r="O248" i="4"/>
  <c r="S399" i="4"/>
  <c r="T399" i="4" s="1"/>
  <c r="O399" i="4"/>
  <c r="O302" i="4"/>
  <c r="S302" i="4"/>
  <c r="T302" i="4" s="1"/>
  <c r="P289" i="4"/>
  <c r="R289" i="4"/>
  <c r="O187" i="4"/>
  <c r="S187" i="4"/>
  <c r="T187" i="4" s="1"/>
  <c r="R132" i="4"/>
  <c r="P132" i="4"/>
  <c r="P329" i="4"/>
  <c r="R329" i="4"/>
  <c r="S261" i="4"/>
  <c r="T261" i="4" s="1"/>
  <c r="O261" i="4"/>
  <c r="P114" i="4"/>
  <c r="R114" i="4"/>
  <c r="S464" i="4"/>
  <c r="T464" i="4" s="1"/>
  <c r="O464" i="4"/>
  <c r="O23" i="4"/>
  <c r="S23" i="4"/>
  <c r="T23" i="4" s="1"/>
  <c r="K260" i="4"/>
  <c r="J260" i="4"/>
  <c r="K261" i="4"/>
  <c r="J261" i="4"/>
  <c r="S269" i="4"/>
  <c r="T269" i="4" s="1"/>
  <c r="O269" i="4"/>
  <c r="O242" i="4"/>
  <c r="S242" i="4"/>
  <c r="T242" i="4" s="1"/>
  <c r="O172" i="4"/>
  <c r="S172" i="4"/>
  <c r="T172" i="4" s="1"/>
  <c r="O487" i="4"/>
  <c r="S487" i="4"/>
  <c r="T487" i="4" s="1"/>
  <c r="O297" i="4"/>
  <c r="S297" i="4"/>
  <c r="T297" i="4" s="1"/>
  <c r="O147" i="4"/>
  <c r="S147" i="4"/>
  <c r="T147" i="4" s="1"/>
  <c r="R58" i="4"/>
  <c r="P58" i="4"/>
  <c r="O2" i="4"/>
  <c r="S2" i="4"/>
  <c r="T2" i="4" s="1"/>
  <c r="S536" i="4"/>
  <c r="T536" i="4" s="1"/>
  <c r="O536" i="4"/>
  <c r="P478" i="4"/>
  <c r="R478" i="4"/>
  <c r="S588" i="4"/>
  <c r="T588" i="4" s="1"/>
  <c r="O588" i="4"/>
  <c r="R500" i="4"/>
  <c r="P500" i="4"/>
  <c r="P322" i="4"/>
  <c r="R322" i="4"/>
  <c r="S387" i="4"/>
  <c r="T387" i="4" s="1"/>
  <c r="O387" i="4"/>
  <c r="R129" i="4"/>
  <c r="P129" i="4"/>
  <c r="O383" i="4"/>
  <c r="S383" i="4"/>
  <c r="T383" i="4" s="1"/>
  <c r="R115" i="4"/>
  <c r="P115" i="4"/>
  <c r="O393" i="4"/>
  <c r="S393" i="4"/>
  <c r="T393" i="4" s="1"/>
  <c r="O3" i="4"/>
  <c r="S3" i="4"/>
  <c r="T3" i="4" s="1"/>
  <c r="K159" i="4"/>
  <c r="J159" i="4"/>
  <c r="S381" i="4"/>
  <c r="T381" i="4" s="1"/>
  <c r="O381" i="4"/>
  <c r="S570" i="4"/>
  <c r="T570" i="4" s="1"/>
  <c r="O570" i="4"/>
  <c r="O354" i="4"/>
  <c r="S354" i="4"/>
  <c r="T354" i="4" s="1"/>
  <c r="O465" i="4"/>
  <c r="S465" i="4"/>
  <c r="T465" i="4" s="1"/>
  <c r="O300" i="4"/>
  <c r="S300" i="4"/>
  <c r="T300" i="4" s="1"/>
  <c r="O145" i="4"/>
  <c r="S145" i="4"/>
  <c r="T145" i="4" s="1"/>
  <c r="S237" i="4"/>
  <c r="T237" i="4" s="1"/>
  <c r="O237" i="4"/>
  <c r="S545" i="4"/>
  <c r="T545" i="4" s="1"/>
  <c r="O545" i="4"/>
  <c r="S526" i="4"/>
  <c r="T526" i="4" s="1"/>
  <c r="O526" i="4"/>
  <c r="R475" i="4"/>
  <c r="P475" i="4"/>
  <c r="S375" i="4"/>
  <c r="T375" i="4" s="1"/>
  <c r="O375" i="4"/>
  <c r="O463" i="4"/>
  <c r="S463" i="4"/>
  <c r="T463" i="4" s="1"/>
  <c r="S392" i="4"/>
  <c r="T392" i="4" s="1"/>
  <c r="O392" i="4"/>
  <c r="P499" i="4"/>
  <c r="R499" i="4"/>
  <c r="Q429" i="4"/>
  <c r="O340" i="4"/>
  <c r="S340" i="4"/>
  <c r="T340" i="4" s="1"/>
  <c r="S529" i="4"/>
  <c r="T529" i="4" s="1"/>
  <c r="O529" i="4"/>
  <c r="S538" i="4"/>
  <c r="T538" i="4" s="1"/>
  <c r="O538" i="4"/>
  <c r="O451" i="4"/>
  <c r="S451" i="4"/>
  <c r="T451" i="4" s="1"/>
  <c r="R368" i="4"/>
  <c r="P368" i="4"/>
  <c r="S585" i="4"/>
  <c r="T585" i="4" s="1"/>
  <c r="O585" i="4"/>
  <c r="O560" i="4"/>
  <c r="S560" i="4"/>
  <c r="T560" i="4" s="1"/>
  <c r="Q493" i="4"/>
  <c r="Q430" i="4"/>
  <c r="S372" i="4"/>
  <c r="T372" i="4" s="1"/>
  <c r="O372" i="4"/>
  <c r="O564" i="4"/>
  <c r="S564" i="4"/>
  <c r="T564" i="4" s="1"/>
  <c r="O311" i="4"/>
  <c r="S311" i="4"/>
  <c r="T311" i="4" s="1"/>
  <c r="S513" i="4"/>
  <c r="T513" i="4" s="1"/>
  <c r="O513" i="4"/>
  <c r="P409" i="4"/>
  <c r="R409" i="4"/>
  <c r="R406" i="4"/>
  <c r="P406" i="4"/>
  <c r="S521" i="4"/>
  <c r="T521" i="4" s="1"/>
  <c r="O521" i="4"/>
  <c r="O441" i="4"/>
  <c r="S441" i="4"/>
  <c r="T441" i="4" s="1"/>
  <c r="P369" i="4"/>
  <c r="R369" i="4"/>
  <c r="S578" i="4"/>
  <c r="T578" i="4" s="1"/>
  <c r="O578" i="4"/>
  <c r="O519" i="4"/>
  <c r="S519" i="4"/>
  <c r="T519" i="4" s="1"/>
  <c r="R423" i="4"/>
  <c r="P423" i="4"/>
  <c r="O379" i="4"/>
  <c r="S379" i="4"/>
  <c r="T379" i="4" s="1"/>
  <c r="Q426" i="4"/>
  <c r="R256" i="4"/>
  <c r="P256" i="4"/>
  <c r="S461" i="4"/>
  <c r="T461" i="4" s="1"/>
  <c r="O461" i="4"/>
  <c r="R347" i="4"/>
  <c r="P347" i="4"/>
  <c r="P154" i="4"/>
  <c r="R154" i="4"/>
  <c r="O374" i="4"/>
  <c r="S374" i="4"/>
  <c r="T374" i="4" s="1"/>
  <c r="R330" i="4"/>
  <c r="P330" i="4"/>
  <c r="Q141" i="4"/>
  <c r="S378" i="4"/>
  <c r="T378" i="4" s="1"/>
  <c r="O378" i="4"/>
  <c r="P287" i="4"/>
  <c r="R287" i="4"/>
  <c r="S105" i="4"/>
  <c r="T105" i="4" s="1"/>
  <c r="O105" i="4"/>
  <c r="O589" i="4"/>
  <c r="S589" i="4"/>
  <c r="T589" i="4" s="1"/>
  <c r="R408" i="4"/>
  <c r="P408" i="4"/>
  <c r="P402" i="4"/>
  <c r="R402" i="4"/>
  <c r="P370" i="4"/>
  <c r="R370" i="4"/>
  <c r="P497" i="4"/>
  <c r="R497" i="4"/>
  <c r="Q427" i="4"/>
  <c r="S528" i="4"/>
  <c r="T528" i="4" s="1"/>
  <c r="O528" i="4"/>
  <c r="O432" i="4"/>
  <c r="S432" i="4"/>
  <c r="T432" i="4" s="1"/>
  <c r="S394" i="4"/>
  <c r="T394" i="4" s="1"/>
  <c r="O394" i="4"/>
  <c r="R344" i="4"/>
  <c r="P344" i="4"/>
  <c r="S446" i="4"/>
  <c r="T446" i="4" s="1"/>
  <c r="O446" i="4"/>
  <c r="S296" i="4"/>
  <c r="T296" i="4" s="1"/>
  <c r="O296" i="4"/>
  <c r="K148" i="4"/>
  <c r="J148" i="4"/>
  <c r="S303" i="4"/>
  <c r="T303" i="4" s="1"/>
  <c r="O303" i="4"/>
  <c r="O482" i="4"/>
  <c r="S482" i="4"/>
  <c r="T482" i="4" s="1"/>
  <c r="Q134" i="4"/>
  <c r="S453" i="4"/>
  <c r="T453" i="4" s="1"/>
  <c r="O453" i="4"/>
  <c r="R291" i="4"/>
  <c r="P291" i="4"/>
  <c r="J254" i="4"/>
  <c r="K254" i="4"/>
  <c r="K139" i="4"/>
  <c r="J139" i="4"/>
  <c r="S537" i="4"/>
  <c r="T537" i="4" s="1"/>
  <c r="O537" i="4"/>
  <c r="S320" i="4"/>
  <c r="T320" i="4" s="1"/>
  <c r="O320" i="4"/>
  <c r="R156" i="4"/>
  <c r="P156" i="4"/>
  <c r="O66" i="4"/>
  <c r="S66" i="4"/>
  <c r="T66" i="4" s="1"/>
  <c r="O458" i="4"/>
  <c r="S458" i="4"/>
  <c r="T458" i="4" s="1"/>
  <c r="O419" i="4"/>
  <c r="S419" i="4"/>
  <c r="T419" i="4" s="1"/>
  <c r="S301" i="4"/>
  <c r="T301" i="4" s="1"/>
  <c r="O301" i="4"/>
  <c r="O440" i="4"/>
  <c r="S440" i="4"/>
  <c r="T440" i="4" s="1"/>
  <c r="R116" i="4"/>
  <c r="P116" i="4"/>
  <c r="P508" i="4"/>
  <c r="R508" i="4"/>
  <c r="S325" i="4"/>
  <c r="T325" i="4" s="1"/>
  <c r="O325" i="4"/>
  <c r="S220" i="4"/>
  <c r="T220" i="4" s="1"/>
  <c r="O220" i="4"/>
  <c r="S31" i="4"/>
  <c r="T31" i="4" s="1"/>
  <c r="O31" i="4"/>
  <c r="O20" i="4"/>
  <c r="S20" i="4"/>
  <c r="T20" i="4" s="1"/>
  <c r="O71" i="4"/>
  <c r="S71" i="4"/>
  <c r="T71" i="4" s="1"/>
  <c r="O548" i="4"/>
  <c r="S548" i="4"/>
  <c r="T548" i="4" s="1"/>
  <c r="S157" i="4"/>
  <c r="T157" i="4" s="1"/>
  <c r="O157" i="4"/>
  <c r="S97" i="4"/>
  <c r="T97" i="4" s="1"/>
  <c r="O97" i="4"/>
  <c r="O353" i="4"/>
  <c r="S353" i="4"/>
  <c r="T353" i="4" s="1"/>
  <c r="O177" i="4"/>
  <c r="S177" i="4"/>
  <c r="T177" i="4" s="1"/>
  <c r="O38" i="4"/>
  <c r="S38" i="4"/>
  <c r="T38" i="4" s="1"/>
  <c r="O10" i="4"/>
  <c r="S10" i="4"/>
  <c r="T10" i="4" s="1"/>
  <c r="O223" i="4"/>
  <c r="S223" i="4"/>
  <c r="T223" i="4" s="1"/>
  <c r="O503" i="4"/>
  <c r="AE503" i="4"/>
  <c r="S503" i="4"/>
  <c r="T503" i="4" s="1"/>
  <c r="S222" i="4"/>
  <c r="T222" i="4" s="1"/>
  <c r="O222" i="4"/>
  <c r="O176" i="4"/>
  <c r="S176" i="4"/>
  <c r="T176" i="4" s="1"/>
  <c r="S103" i="4"/>
  <c r="T103" i="4" s="1"/>
  <c r="O103" i="4"/>
  <c r="O57" i="4"/>
  <c r="S57" i="4"/>
  <c r="T57" i="4" s="1"/>
  <c r="O516" i="4"/>
  <c r="S516" i="4"/>
  <c r="T516" i="4" s="1"/>
  <c r="S213" i="4"/>
  <c r="T213" i="4" s="1"/>
  <c r="O213" i="4"/>
  <c r="S400" i="4"/>
  <c r="T400" i="4" s="1"/>
  <c r="O400" i="4"/>
  <c r="P56" i="4"/>
  <c r="R56" i="4"/>
  <c r="S27" i="4"/>
  <c r="T27" i="4" s="1"/>
  <c r="O27" i="4"/>
  <c r="S158" i="4" l="1"/>
  <c r="T158" i="4" s="1"/>
  <c r="O158" i="4"/>
  <c r="R327" i="4"/>
  <c r="S327" i="4" s="1"/>
  <c r="T327" i="4" s="1"/>
  <c r="O149" i="4"/>
  <c r="S149" i="4"/>
  <c r="T149" i="4" s="1"/>
  <c r="P126" i="4"/>
  <c r="R126" i="4"/>
  <c r="O151" i="4"/>
  <c r="S151" i="4"/>
  <c r="T151" i="4" s="1"/>
  <c r="S326" i="4"/>
  <c r="T326" i="4" s="1"/>
  <c r="R285" i="4"/>
  <c r="P285" i="4"/>
  <c r="O366" i="4"/>
  <c r="S366" i="4"/>
  <c r="T366" i="4" s="1"/>
  <c r="P283" i="4"/>
  <c r="R283" i="4"/>
  <c r="R284" i="4"/>
  <c r="P284" i="4"/>
  <c r="R426" i="4"/>
  <c r="P426" i="4"/>
  <c r="AE504" i="4"/>
  <c r="S504" i="4"/>
  <c r="T504" i="4" s="1"/>
  <c r="O504" i="4"/>
  <c r="O369" i="4"/>
  <c r="S369" i="4"/>
  <c r="T369" i="4" s="1"/>
  <c r="P411" i="4"/>
  <c r="R411" i="4"/>
  <c r="S510" i="4"/>
  <c r="T510" i="4" s="1"/>
  <c r="O510" i="4"/>
  <c r="O136" i="4"/>
  <c r="S136" i="4"/>
  <c r="T136" i="4" s="1"/>
  <c r="S328" i="4"/>
  <c r="T328" i="4" s="1"/>
  <c r="O328" i="4"/>
  <c r="S156" i="4"/>
  <c r="T156" i="4" s="1"/>
  <c r="O156" i="4"/>
  <c r="R427" i="4"/>
  <c r="P427" i="4"/>
  <c r="O408" i="4"/>
  <c r="S408" i="4"/>
  <c r="T408" i="4" s="1"/>
  <c r="O368" i="4"/>
  <c r="S368" i="4"/>
  <c r="T368" i="4" s="1"/>
  <c r="S114" i="4"/>
  <c r="T114" i="4" s="1"/>
  <c r="O114" i="4"/>
  <c r="AD473" i="4"/>
  <c r="O473" i="4"/>
  <c r="S473" i="4"/>
  <c r="T473" i="4" s="1"/>
  <c r="O403" i="4"/>
  <c r="S403" i="4"/>
  <c r="T403" i="4" s="1"/>
  <c r="O153" i="4"/>
  <c r="S153" i="4"/>
  <c r="T153" i="4" s="1"/>
  <c r="S351" i="4"/>
  <c r="T351" i="4" s="1"/>
  <c r="O351" i="4"/>
  <c r="R83" i="4"/>
  <c r="P83" i="4"/>
  <c r="AA363" i="4"/>
  <c r="S363" i="4"/>
  <c r="T363" i="4" s="1"/>
  <c r="O363" i="4"/>
  <c r="S290" i="4"/>
  <c r="T290" i="4" s="1"/>
  <c r="O290" i="4"/>
  <c r="O61" i="4"/>
  <c r="S61" i="4"/>
  <c r="T61" i="4" s="1"/>
  <c r="O288" i="4"/>
  <c r="S288" i="4"/>
  <c r="T288" i="4" s="1"/>
  <c r="AE507" i="4"/>
  <c r="S507" i="4"/>
  <c r="T507" i="4" s="1"/>
  <c r="O507" i="4"/>
  <c r="O371" i="4"/>
  <c r="S371" i="4"/>
  <c r="T371" i="4" s="1"/>
  <c r="AE505" i="4"/>
  <c r="O505" i="4"/>
  <c r="S505" i="4"/>
  <c r="T505" i="4" s="1"/>
  <c r="O349" i="4"/>
  <c r="S349" i="4"/>
  <c r="T349" i="4" s="1"/>
  <c r="P134" i="4"/>
  <c r="R134" i="4"/>
  <c r="S502" i="4"/>
  <c r="T502" i="4" s="1"/>
  <c r="AE502" i="4"/>
  <c r="O502" i="4"/>
  <c r="S286" i="4"/>
  <c r="T286" i="4" s="1"/>
  <c r="O286" i="4"/>
  <c r="S115" i="4"/>
  <c r="T115" i="4" s="1"/>
  <c r="O115" i="4"/>
  <c r="S422" i="4"/>
  <c r="T422" i="4" s="1"/>
  <c r="O422" i="4"/>
  <c r="R141" i="4"/>
  <c r="P141" i="4"/>
  <c r="O130" i="4"/>
  <c r="S130" i="4"/>
  <c r="T130" i="4" s="1"/>
  <c r="S56" i="4"/>
  <c r="T56" i="4" s="1"/>
  <c r="O56" i="4"/>
  <c r="P493" i="4"/>
  <c r="R493" i="4"/>
  <c r="O499" i="4"/>
  <c r="S499" i="4"/>
  <c r="T499" i="4" s="1"/>
  <c r="S289" i="4"/>
  <c r="T289" i="4" s="1"/>
  <c r="O289" i="4"/>
  <c r="S139" i="4"/>
  <c r="T139" i="4" s="1"/>
  <c r="O139" i="4"/>
  <c r="P91" i="4"/>
  <c r="R91" i="4"/>
  <c r="R82" i="4"/>
  <c r="P82" i="4"/>
  <c r="S117" i="4"/>
  <c r="T117" i="4" s="1"/>
  <c r="O117" i="4"/>
  <c r="O140" i="4"/>
  <c r="S140" i="4"/>
  <c r="T140" i="4" s="1"/>
  <c r="AD472" i="4"/>
  <c r="O472" i="4"/>
  <c r="S472" i="4"/>
  <c r="T472" i="4" s="1"/>
  <c r="S258" i="4"/>
  <c r="T258" i="4" s="1"/>
  <c r="O258" i="4"/>
  <c r="O428" i="4"/>
  <c r="S428" i="4"/>
  <c r="T428" i="4" s="1"/>
  <c r="O410" i="4"/>
  <c r="S410" i="4"/>
  <c r="T410" i="4" s="1"/>
  <c r="S402" i="4"/>
  <c r="T402" i="4" s="1"/>
  <c r="O402" i="4"/>
  <c r="S287" i="4"/>
  <c r="T287" i="4" s="1"/>
  <c r="O287" i="4"/>
  <c r="S256" i="4"/>
  <c r="T256" i="4" s="1"/>
  <c r="O256" i="4"/>
  <c r="O346" i="4"/>
  <c r="S346" i="4"/>
  <c r="T346" i="4" s="1"/>
  <c r="S343" i="4"/>
  <c r="T343" i="4" s="1"/>
  <c r="O343" i="4"/>
  <c r="S496" i="4"/>
  <c r="T496" i="4" s="1"/>
  <c r="O496" i="4"/>
  <c r="O474" i="4"/>
  <c r="S474" i="4"/>
  <c r="T474" i="4" s="1"/>
  <c r="AD474" i="4"/>
  <c r="S479" i="4"/>
  <c r="T479" i="4" s="1"/>
  <c r="O479" i="4"/>
  <c r="S424" i="4"/>
  <c r="T424" i="4" s="1"/>
  <c r="O424" i="4"/>
  <c r="O154" i="4"/>
  <c r="S154" i="4"/>
  <c r="T154" i="4" s="1"/>
  <c r="O406" i="4"/>
  <c r="S406" i="4"/>
  <c r="T406" i="4" s="1"/>
  <c r="S322" i="4"/>
  <c r="T322" i="4" s="1"/>
  <c r="O322" i="4"/>
  <c r="O131" i="4"/>
  <c r="S131" i="4"/>
  <c r="T131" i="4" s="1"/>
  <c r="P87" i="4"/>
  <c r="R87" i="4"/>
  <c r="S59" i="4"/>
  <c r="T59" i="4" s="1"/>
  <c r="O59" i="4"/>
  <c r="S407" i="4"/>
  <c r="T407" i="4" s="1"/>
  <c r="O407" i="4"/>
  <c r="S409" i="4"/>
  <c r="T409" i="4" s="1"/>
  <c r="O409" i="4"/>
  <c r="S132" i="4"/>
  <c r="T132" i="4" s="1"/>
  <c r="O132" i="4"/>
  <c r="S350" i="4"/>
  <c r="T350" i="4" s="1"/>
  <c r="O350" i="4"/>
  <c r="AE506" i="4"/>
  <c r="S506" i="4"/>
  <c r="T506" i="4" s="1"/>
  <c r="O506" i="4"/>
  <c r="R88" i="4"/>
  <c r="P88" i="4"/>
  <c r="S508" i="4"/>
  <c r="T508" i="4" s="1"/>
  <c r="O508" i="4"/>
  <c r="AE508" i="4"/>
  <c r="O344" i="4"/>
  <c r="S344" i="4"/>
  <c r="T344" i="4" s="1"/>
  <c r="S497" i="4"/>
  <c r="T497" i="4" s="1"/>
  <c r="O497" i="4"/>
  <c r="O347" i="4"/>
  <c r="S347" i="4"/>
  <c r="T347" i="4" s="1"/>
  <c r="P430" i="4"/>
  <c r="R430" i="4"/>
  <c r="S500" i="4"/>
  <c r="T500" i="4" s="1"/>
  <c r="O500" i="4"/>
  <c r="S323" i="4"/>
  <c r="T323" i="4" s="1"/>
  <c r="O323" i="4"/>
  <c r="O122" i="4"/>
  <c r="S122" i="4"/>
  <c r="T122" i="4" s="1"/>
  <c r="S112" i="4"/>
  <c r="T112" i="4" s="1"/>
  <c r="O112" i="4"/>
  <c r="P90" i="4"/>
  <c r="R90" i="4"/>
  <c r="O127" i="4"/>
  <c r="S127" i="4"/>
  <c r="T127" i="4" s="1"/>
  <c r="S128" i="4"/>
  <c r="T128" i="4" s="1"/>
  <c r="O128" i="4"/>
  <c r="O481" i="4"/>
  <c r="S481" i="4"/>
  <c r="T481" i="4" s="1"/>
  <c r="O291" i="4"/>
  <c r="S291" i="4"/>
  <c r="T291" i="4" s="1"/>
  <c r="O423" i="4"/>
  <c r="S423" i="4"/>
  <c r="T423" i="4" s="1"/>
  <c r="S370" i="4"/>
  <c r="T370" i="4" s="1"/>
  <c r="O370" i="4"/>
  <c r="S330" i="4"/>
  <c r="T330" i="4" s="1"/>
  <c r="O330" i="4"/>
  <c r="S475" i="4"/>
  <c r="T475" i="4" s="1"/>
  <c r="O475" i="4"/>
  <c r="AD475" i="4"/>
  <c r="O129" i="4"/>
  <c r="S129" i="4"/>
  <c r="T129" i="4" s="1"/>
  <c r="S58" i="4"/>
  <c r="T58" i="4" s="1"/>
  <c r="O58" i="4"/>
  <c r="S138" i="4"/>
  <c r="T138" i="4" s="1"/>
  <c r="O138" i="4"/>
  <c r="O331" i="4"/>
  <c r="S331" i="4"/>
  <c r="T331" i="4" s="1"/>
  <c r="S501" i="4"/>
  <c r="T501" i="4" s="1"/>
  <c r="O501" i="4"/>
  <c r="O52" i="4"/>
  <c r="S52" i="4"/>
  <c r="T52" i="4" s="1"/>
  <c r="S60" i="4"/>
  <c r="T60" i="4" s="1"/>
  <c r="O60" i="4"/>
  <c r="S477" i="4"/>
  <c r="T477" i="4" s="1"/>
  <c r="AD477" i="4"/>
  <c r="O477" i="4"/>
  <c r="R85" i="4"/>
  <c r="P85" i="4"/>
  <c r="R86" i="4"/>
  <c r="P86" i="4"/>
  <c r="S53" i="4"/>
  <c r="T53" i="4" s="1"/>
  <c r="O53" i="4"/>
  <c r="S252" i="4"/>
  <c r="T252" i="4" s="1"/>
  <c r="O252" i="4"/>
  <c r="S118" i="4"/>
  <c r="T118" i="4" s="1"/>
  <c r="O118" i="4"/>
  <c r="O125" i="4"/>
  <c r="S125" i="4"/>
  <c r="T125" i="4" s="1"/>
  <c r="S494" i="4"/>
  <c r="T494" i="4" s="1"/>
  <c r="O494" i="4"/>
  <c r="P84" i="4"/>
  <c r="R84" i="4"/>
  <c r="O120" i="4"/>
  <c r="S120" i="4"/>
  <c r="T120" i="4" s="1"/>
  <c r="S135" i="4"/>
  <c r="T135" i="4" s="1"/>
  <c r="O135" i="4"/>
  <c r="O509" i="4"/>
  <c r="S509" i="4"/>
  <c r="T509" i="4" s="1"/>
  <c r="P429" i="4"/>
  <c r="R429" i="4"/>
  <c r="S116" i="4"/>
  <c r="T116" i="4" s="1"/>
  <c r="O116" i="4"/>
  <c r="S478" i="4"/>
  <c r="T478" i="4" s="1"/>
  <c r="O478" i="4"/>
  <c r="S329" i="4"/>
  <c r="T329" i="4" s="1"/>
  <c r="O329" i="4"/>
  <c r="O260" i="4"/>
  <c r="S260" i="4"/>
  <c r="T260" i="4" s="1"/>
  <c r="O511" i="4"/>
  <c r="S511" i="4"/>
  <c r="T511" i="4" s="1"/>
  <c r="R89" i="4"/>
  <c r="P89" i="4"/>
  <c r="S425" i="4"/>
  <c r="T425" i="4" s="1"/>
  <c r="O425" i="4"/>
  <c r="S155" i="4"/>
  <c r="T155" i="4" s="1"/>
  <c r="O155" i="4"/>
  <c r="O121" i="4"/>
  <c r="S121" i="4"/>
  <c r="T121" i="4" s="1"/>
  <c r="S282" i="4"/>
  <c r="T282" i="4" s="1"/>
  <c r="O282" i="4"/>
  <c r="S133" i="4"/>
  <c r="T133" i="4" s="1"/>
  <c r="O133" i="4"/>
  <c r="O137" i="4"/>
  <c r="S137" i="4"/>
  <c r="T137" i="4" s="1"/>
  <c r="O492" i="4"/>
  <c r="S492" i="4"/>
  <c r="T492" i="4" s="1"/>
  <c r="O283" i="4" l="1"/>
  <c r="S283" i="4"/>
  <c r="T283" i="4" s="1"/>
  <c r="O327" i="4"/>
  <c r="O126" i="4"/>
  <c r="S126" i="4"/>
  <c r="T126" i="4" s="1"/>
  <c r="S285" i="4"/>
  <c r="T285" i="4" s="1"/>
  <c r="O285" i="4"/>
  <c r="S284" i="4"/>
  <c r="T284" i="4" s="1"/>
  <c r="O284" i="4"/>
  <c r="O88" i="4"/>
  <c r="AG88" i="4"/>
  <c r="S88" i="4"/>
  <c r="T88" i="4" s="1"/>
  <c r="AG82" i="4"/>
  <c r="O82" i="4"/>
  <c r="S82" i="4"/>
  <c r="T82" i="4" s="1"/>
  <c r="O141" i="4"/>
  <c r="S141" i="4"/>
  <c r="T141" i="4" s="1"/>
  <c r="AG85" i="4"/>
  <c r="O85" i="4"/>
  <c r="S85" i="4"/>
  <c r="T85" i="4" s="1"/>
  <c r="S134" i="4"/>
  <c r="T134" i="4" s="1"/>
  <c r="O134" i="4"/>
  <c r="S83" i="4"/>
  <c r="T83" i="4" s="1"/>
  <c r="AG83" i="4"/>
  <c r="O83" i="4"/>
  <c r="S87" i="4"/>
  <c r="T87" i="4" s="1"/>
  <c r="AG87" i="4"/>
  <c r="O87" i="4"/>
  <c r="AG84" i="4"/>
  <c r="S84" i="4"/>
  <c r="T84" i="4" s="1"/>
  <c r="O84" i="4"/>
  <c r="S90" i="4"/>
  <c r="T90" i="4" s="1"/>
  <c r="AG90" i="4"/>
  <c r="O90" i="4"/>
  <c r="S493" i="4"/>
  <c r="T493" i="4" s="1"/>
  <c r="O493" i="4"/>
  <c r="O430" i="4"/>
  <c r="S430" i="4"/>
  <c r="T430" i="4" s="1"/>
  <c r="O427" i="4"/>
  <c r="S427" i="4"/>
  <c r="T427" i="4" s="1"/>
  <c r="O429" i="4"/>
  <c r="S429" i="4"/>
  <c r="T429" i="4" s="1"/>
  <c r="S91" i="4"/>
  <c r="T91" i="4" s="1"/>
  <c r="O91" i="4"/>
  <c r="AG89" i="4"/>
  <c r="S89" i="4"/>
  <c r="T89" i="4" s="1"/>
  <c r="O89" i="4"/>
  <c r="S86" i="4"/>
  <c r="T86" i="4" s="1"/>
  <c r="O86" i="4"/>
  <c r="AG86" i="4"/>
  <c r="S411" i="4"/>
  <c r="T411" i="4" s="1"/>
  <c r="O411" i="4"/>
  <c r="S426" i="4"/>
  <c r="T426" i="4" s="1"/>
  <c r="O426" i="4"/>
</calcChain>
</file>

<file path=xl/sharedStrings.xml><?xml version="1.0" encoding="utf-8"?>
<sst xmlns="http://schemas.openxmlformats.org/spreadsheetml/2006/main" count="9361" uniqueCount="1046">
  <si>
    <t>Code</t>
  </si>
  <si>
    <t>Species</t>
  </si>
  <si>
    <t>Cohort</t>
  </si>
  <si>
    <t>numyrs</t>
  </si>
  <si>
    <t>age</t>
  </si>
  <si>
    <t>SN</t>
  </si>
  <si>
    <t>RN</t>
  </si>
  <si>
    <t>weight_g</t>
  </si>
  <si>
    <t>weight_kg</t>
  </si>
  <si>
    <t>weight_t</t>
  </si>
  <si>
    <t>weight_lbs</t>
  </si>
  <si>
    <t>li_a</t>
  </si>
  <si>
    <t>li_b</t>
  </si>
  <si>
    <t>length_cm</t>
  </si>
  <si>
    <t>vbert_cm</t>
  </si>
  <si>
    <t>grams</t>
  </si>
  <si>
    <t>SN_mg</t>
  </si>
  <si>
    <t>RN_mg</t>
  </si>
  <si>
    <t>Linf</t>
  </si>
  <si>
    <t>K</t>
  </si>
  <si>
    <t>To</t>
  </si>
  <si>
    <t>ANC</t>
  </si>
  <si>
    <t>Anchovies</t>
  </si>
  <si>
    <t>BFT</t>
  </si>
  <si>
    <t>BluefinTuna</t>
  </si>
  <si>
    <t>BIL</t>
  </si>
  <si>
    <t>Billfish</t>
  </si>
  <si>
    <t>BLF</t>
  </si>
  <si>
    <t>Bluefish</t>
  </si>
  <si>
    <t>BLS</t>
  </si>
  <si>
    <t>Blue_Shark</t>
  </si>
  <si>
    <t>BPF</t>
  </si>
  <si>
    <t>Benthopelagic_Fish</t>
  </si>
  <si>
    <t>BSB</t>
  </si>
  <si>
    <t>Black_Sea_Bass</t>
  </si>
  <si>
    <t>BUT</t>
  </si>
  <si>
    <t>Butterfish</t>
  </si>
  <si>
    <t>BWH</t>
  </si>
  <si>
    <t>Baleen_Whale</t>
  </si>
  <si>
    <t>COD</t>
  </si>
  <si>
    <t>Cod</t>
  </si>
  <si>
    <t>DOG</t>
  </si>
  <si>
    <t>Spiny_Dogfish</t>
  </si>
  <si>
    <t>DRM</t>
  </si>
  <si>
    <t>Drums_Croakers</t>
  </si>
  <si>
    <t>DSH</t>
  </si>
  <si>
    <t>Demersal_Shark</t>
  </si>
  <si>
    <t>FDE</t>
  </si>
  <si>
    <t>Shallow_Demersal_Fish</t>
  </si>
  <si>
    <t>FDF</t>
  </si>
  <si>
    <t>Misc_Demersal_Fish</t>
  </si>
  <si>
    <t>FLA</t>
  </si>
  <si>
    <t>Other_Flatfish</t>
  </si>
  <si>
    <t>FOU</t>
  </si>
  <si>
    <t>Fourspotflounder</t>
  </si>
  <si>
    <t>GOO</t>
  </si>
  <si>
    <t>Monkfish</t>
  </si>
  <si>
    <t>HAD</t>
  </si>
  <si>
    <t>Haddock</t>
  </si>
  <si>
    <t>HAL</t>
  </si>
  <si>
    <t>Halibut</t>
  </si>
  <si>
    <t>HER</t>
  </si>
  <si>
    <t>Herring</t>
  </si>
  <si>
    <t>INV</t>
  </si>
  <si>
    <t>Invasive_Species</t>
  </si>
  <si>
    <t>LSK</t>
  </si>
  <si>
    <t>Little_Skate</t>
  </si>
  <si>
    <t>MAK</t>
  </si>
  <si>
    <t>Mackerel</t>
  </si>
  <si>
    <t>MEN</t>
  </si>
  <si>
    <t>Menhaden</t>
  </si>
  <si>
    <t>MPF</t>
  </si>
  <si>
    <t>Mesopelagic_Mig_Fish</t>
  </si>
  <si>
    <t>OHK</t>
  </si>
  <si>
    <t>Offshore_Hake</t>
  </si>
  <si>
    <t>OPT</t>
  </si>
  <si>
    <t>Ocean_Pout</t>
  </si>
  <si>
    <t>PIN</t>
  </si>
  <si>
    <t>Pinniped</t>
  </si>
  <si>
    <t>PLA</t>
  </si>
  <si>
    <t>Plaice</t>
  </si>
  <si>
    <t>POL</t>
  </si>
  <si>
    <t>Pollock</t>
  </si>
  <si>
    <t>POR</t>
  </si>
  <si>
    <t>Porbeagle_Shark</t>
  </si>
  <si>
    <t>PSH</t>
  </si>
  <si>
    <t>Pelagic_Shark</t>
  </si>
  <si>
    <t>RED</t>
  </si>
  <si>
    <t>Redfish</t>
  </si>
  <si>
    <t>REP</t>
  </si>
  <si>
    <t>Turtle</t>
  </si>
  <si>
    <t>RHK</t>
  </si>
  <si>
    <t>Red_Hake</t>
  </si>
  <si>
    <t>RWH</t>
  </si>
  <si>
    <t>Right_Whale</t>
  </si>
  <si>
    <t>SAL</t>
  </si>
  <si>
    <t>Atlantic_Salmon</t>
  </si>
  <si>
    <t>SB</t>
  </si>
  <si>
    <t>Seabird</t>
  </si>
  <si>
    <t>SCU</t>
  </si>
  <si>
    <t>Scup</t>
  </si>
  <si>
    <t>SDF</t>
  </si>
  <si>
    <t>Atlantic_States_Demersals</t>
  </si>
  <si>
    <t>SHK</t>
  </si>
  <si>
    <t>Silver_Hake</t>
  </si>
  <si>
    <t>SK</t>
  </si>
  <si>
    <t>Skate</t>
  </si>
  <si>
    <t>SMO</t>
  </si>
  <si>
    <t>Smooth_Dogfish</t>
  </si>
  <si>
    <t>SSH</t>
  </si>
  <si>
    <t>Sandbar_Shark</t>
  </si>
  <si>
    <t>STB</t>
  </si>
  <si>
    <t>Striped_Bass</t>
  </si>
  <si>
    <t>SUF</t>
  </si>
  <si>
    <t>Summerflounder</t>
  </si>
  <si>
    <t>SWH</t>
  </si>
  <si>
    <t>Small_Whale</t>
  </si>
  <si>
    <t>TAU</t>
  </si>
  <si>
    <t>Tautog</t>
  </si>
  <si>
    <t>TUN</t>
  </si>
  <si>
    <t>Tunas</t>
  </si>
  <si>
    <t>TWH</t>
  </si>
  <si>
    <t>Tooth_Whale</t>
  </si>
  <si>
    <t>TYL</t>
  </si>
  <si>
    <t>Tilefish</t>
  </si>
  <si>
    <t>WHK</t>
  </si>
  <si>
    <t>White_Hake</t>
  </si>
  <si>
    <t>WIF</t>
  </si>
  <si>
    <t>Winterflounder</t>
  </si>
  <si>
    <t>WOL</t>
  </si>
  <si>
    <t>Wolffish</t>
  </si>
  <si>
    <t>WPF</t>
  </si>
  <si>
    <t>Windowpane</t>
  </si>
  <si>
    <t>WSK</t>
  </si>
  <si>
    <t>Winter_Skate</t>
  </si>
  <si>
    <t>WTF</t>
  </si>
  <si>
    <t>Witchflounder</t>
  </si>
  <si>
    <t>YTF</t>
  </si>
  <si>
    <t>Yellowtail_Flounder</t>
  </si>
  <si>
    <t>nm</t>
  </si>
  <si>
    <t>order</t>
  </si>
  <si>
    <t>recruitRN</t>
  </si>
  <si>
    <t>old v15</t>
  </si>
  <si>
    <t>recruitSN</t>
  </si>
  <si>
    <t>cohort</t>
  </si>
  <si>
    <t>yrs_chrt</t>
  </si>
  <si>
    <t>old RN</t>
  </si>
  <si>
    <t>old SN</t>
  </si>
  <si>
    <t>Beverton-Holt</t>
  </si>
  <si>
    <t>a</t>
  </si>
  <si>
    <t>b</t>
  </si>
  <si>
    <t>NEW 20180713</t>
  </si>
  <si>
    <t>KWRR_ANC</t>
  </si>
  <si>
    <t>KWSR_ANC</t>
  </si>
  <si>
    <t>BHalpha_ANC</t>
  </si>
  <si>
    <t>BHbeta_ANC</t>
  </si>
  <si>
    <t>KWRR_BFT</t>
  </si>
  <si>
    <t>KWSR_BFT</t>
  </si>
  <si>
    <t>BHalpha_BFT</t>
  </si>
  <si>
    <t>BHbeta_BFT</t>
  </si>
  <si>
    <t>KWRR_BIL</t>
  </si>
  <si>
    <t>KWSR_BIL</t>
  </si>
  <si>
    <t>BHalpha_BIL</t>
  </si>
  <si>
    <t>BHbeta_BIL</t>
  </si>
  <si>
    <t>KWRR_BLF</t>
  </si>
  <si>
    <t>KWSR_BLF</t>
  </si>
  <si>
    <t>BHalpha_BLF</t>
  </si>
  <si>
    <t>BHbeta_BLF</t>
  </si>
  <si>
    <t>KWRR_BLS</t>
  </si>
  <si>
    <t>KWSR_BLS</t>
  </si>
  <si>
    <t>BHalpha_BLS</t>
  </si>
  <si>
    <t>BHbeta_BLS</t>
  </si>
  <si>
    <t>KWRR_BPF</t>
  </si>
  <si>
    <t>KWSR_BPF</t>
  </si>
  <si>
    <t>BHalpha_BPF</t>
  </si>
  <si>
    <t>BHbeta_BPF</t>
  </si>
  <si>
    <t>KWRR_BSB</t>
  </si>
  <si>
    <t>KWSR_BSB</t>
  </si>
  <si>
    <t>BHalpha_BSB</t>
  </si>
  <si>
    <t>BHbeta_BSB</t>
  </si>
  <si>
    <t>KWRR_BUT</t>
  </si>
  <si>
    <t>KWSR_BUT</t>
  </si>
  <si>
    <t>BHalpha_BUT</t>
  </si>
  <si>
    <t>BHbeta_BUT</t>
  </si>
  <si>
    <t>KWRR_BWH</t>
  </si>
  <si>
    <t>KWSR_BWH</t>
  </si>
  <si>
    <t>BHalpha_BWH</t>
  </si>
  <si>
    <t>BHbeta_BWH</t>
  </si>
  <si>
    <t>KWRR_COD</t>
  </si>
  <si>
    <t>KWSR_COD</t>
  </si>
  <si>
    <t>BHalpha_COD</t>
  </si>
  <si>
    <t>BHbeta_COD</t>
  </si>
  <si>
    <t>KWRR_DOG</t>
  </si>
  <si>
    <t>KWSR_DOG</t>
  </si>
  <si>
    <t>BHalpha_DOG</t>
  </si>
  <si>
    <t>BHbeta_DOG</t>
  </si>
  <si>
    <t>KWRR_DRM</t>
  </si>
  <si>
    <t>KWSR_DRM</t>
  </si>
  <si>
    <t>BHalpha_DRM</t>
  </si>
  <si>
    <t>BHbeta_DRM</t>
  </si>
  <si>
    <t>KWRR_DSH</t>
  </si>
  <si>
    <t>KWSR_DSH</t>
  </si>
  <si>
    <t>BHalpha_DSH</t>
  </si>
  <si>
    <t>BHbeta_DSH</t>
  </si>
  <si>
    <t>KWRR_FDE</t>
  </si>
  <si>
    <t>KWSR_FDE</t>
  </si>
  <si>
    <t>BHalpha_FDE</t>
  </si>
  <si>
    <t>BHbeta_FDE</t>
  </si>
  <si>
    <t>KWRR_FDF</t>
  </si>
  <si>
    <t>KWSR_FDF</t>
  </si>
  <si>
    <t>BHalpha_FDF</t>
  </si>
  <si>
    <t>BHbeta_FDF</t>
  </si>
  <si>
    <t>KWRR_FLA</t>
  </si>
  <si>
    <t>KWSR_FLA</t>
  </si>
  <si>
    <t>BHalpha_FLA</t>
  </si>
  <si>
    <t>BHbeta_FLA</t>
  </si>
  <si>
    <t>KWRR_FOU</t>
  </si>
  <si>
    <t>KWSR_FOU</t>
  </si>
  <si>
    <t>BHalpha_FOU</t>
  </si>
  <si>
    <t>BHbeta_FOU</t>
  </si>
  <si>
    <t>KWRR_GOO</t>
  </si>
  <si>
    <t>KWSR_GOO</t>
  </si>
  <si>
    <t>BHalpha_GOO</t>
  </si>
  <si>
    <t>BHbeta_GOO</t>
  </si>
  <si>
    <t>KWRR_HAD</t>
  </si>
  <si>
    <t>KWSR_HAD</t>
  </si>
  <si>
    <t>BHalpha_HAD</t>
  </si>
  <si>
    <t>BHbeta_HAD</t>
  </si>
  <si>
    <t>KWRR_HAL</t>
  </si>
  <si>
    <t>KWSR_HAL</t>
  </si>
  <si>
    <t>BHalpha_HAL</t>
  </si>
  <si>
    <t>BHbeta_HAL</t>
  </si>
  <si>
    <t>KWRR_HER</t>
  </si>
  <si>
    <t>KWSR_HER</t>
  </si>
  <si>
    <t>BHalpha_HER</t>
  </si>
  <si>
    <t>BHbeta_HER</t>
  </si>
  <si>
    <t>KWRR_INV</t>
  </si>
  <si>
    <t>KWSR_INV</t>
  </si>
  <si>
    <t>BHalpha_INV</t>
  </si>
  <si>
    <t>BHbeta_INV</t>
  </si>
  <si>
    <t>KWRR_LSK</t>
  </si>
  <si>
    <t>KWSR_LSK</t>
  </si>
  <si>
    <t>BHalpha_LSK</t>
  </si>
  <si>
    <t>BHbeta_LSK</t>
  </si>
  <si>
    <t>KWRR_MAK</t>
  </si>
  <si>
    <t>KWSR_MAK</t>
  </si>
  <si>
    <t>BHalpha_MAK</t>
  </si>
  <si>
    <t>BHbeta_MAK</t>
  </si>
  <si>
    <t>KWRR_MEN</t>
  </si>
  <si>
    <t>KWSR_MEN</t>
  </si>
  <si>
    <t>BHalpha_MEN</t>
  </si>
  <si>
    <t>BHbeta_MEN</t>
  </si>
  <si>
    <t>KWRR_MPF</t>
  </si>
  <si>
    <t>KWSR_MPF</t>
  </si>
  <si>
    <t>BHalpha_MPF</t>
  </si>
  <si>
    <t>BHbeta_MPF</t>
  </si>
  <si>
    <t>KWRR_OHK</t>
  </si>
  <si>
    <t>KWSR_OHK</t>
  </si>
  <si>
    <t>BHalpha_OHK</t>
  </si>
  <si>
    <t>BHbeta_OHK</t>
  </si>
  <si>
    <t>KWRR_OPT</t>
  </si>
  <si>
    <t>KWSR_OPT</t>
  </si>
  <si>
    <t>BHalpha_OPT</t>
  </si>
  <si>
    <t>BHbeta_OPT</t>
  </si>
  <si>
    <t>KWRR_PIN</t>
  </si>
  <si>
    <t>KWSR_PIN</t>
  </si>
  <si>
    <t>BHalpha_PIN</t>
  </si>
  <si>
    <t>BHbeta_PIN</t>
  </si>
  <si>
    <t>KWRR_PLA</t>
  </si>
  <si>
    <t>KWSR_PLA</t>
  </si>
  <si>
    <t>BHalpha_PLA</t>
  </si>
  <si>
    <t>BHbeta_PLA</t>
  </si>
  <si>
    <t>KWRR_POL</t>
  </si>
  <si>
    <t>KWSR_POL</t>
  </si>
  <si>
    <t>BHalpha_POL</t>
  </si>
  <si>
    <t>BHbeta_POL</t>
  </si>
  <si>
    <t>KWRR_POR</t>
  </si>
  <si>
    <t>KWSR_POR</t>
  </si>
  <si>
    <t>BHalpha_POR</t>
  </si>
  <si>
    <t>BHbeta_POR</t>
  </si>
  <si>
    <t>KWRR_PSH</t>
  </si>
  <si>
    <t>KWSR_PSH</t>
  </si>
  <si>
    <t>BHalpha_PSH</t>
  </si>
  <si>
    <t>BHbeta_PSH</t>
  </si>
  <si>
    <t>KWRR_RED</t>
  </si>
  <si>
    <t>KWSR_RED</t>
  </si>
  <si>
    <t>BHalpha_RED</t>
  </si>
  <si>
    <t>BHbeta_RED</t>
  </si>
  <si>
    <t>KWRR_REP</t>
  </si>
  <si>
    <t>KWSR_REP</t>
  </si>
  <si>
    <t>BHalpha_REP</t>
  </si>
  <si>
    <t>BHbeta_REP</t>
  </si>
  <si>
    <t>KWRR_RHK</t>
  </si>
  <si>
    <t>KWSR_RHK</t>
  </si>
  <si>
    <t>BHalpha_RHK</t>
  </si>
  <si>
    <t>BHbeta_RHK</t>
  </si>
  <si>
    <t>KWRR_RWH</t>
  </si>
  <si>
    <t>KWSR_RWH</t>
  </si>
  <si>
    <t>BHalpha_RWH</t>
  </si>
  <si>
    <t>BHbeta_RWH</t>
  </si>
  <si>
    <t>KWRR_SAL</t>
  </si>
  <si>
    <t>KWSR_SAL</t>
  </si>
  <si>
    <t>BHalpha_SAL</t>
  </si>
  <si>
    <t>BHbeta_SAL</t>
  </si>
  <si>
    <t>KWRR_SB</t>
  </si>
  <si>
    <t>KWSR_SB</t>
  </si>
  <si>
    <t>BHalpha_SB</t>
  </si>
  <si>
    <t>BHbeta_SB</t>
  </si>
  <si>
    <t>KWRR_SCU</t>
  </si>
  <si>
    <t>KWSR_SCU</t>
  </si>
  <si>
    <t>BHalpha_SCU</t>
  </si>
  <si>
    <t>BHbeta_SCU</t>
  </si>
  <si>
    <t>KWRR_SDF</t>
  </si>
  <si>
    <t>KWSR_SDF</t>
  </si>
  <si>
    <t>BHalpha_SDF</t>
  </si>
  <si>
    <t>BHbeta_SDF</t>
  </si>
  <si>
    <t>KWRR_SHK</t>
  </si>
  <si>
    <t>KWSR_SHK</t>
  </si>
  <si>
    <t>BHalpha_SHK</t>
  </si>
  <si>
    <t>BHbeta_SHK</t>
  </si>
  <si>
    <t>KWRR_SK</t>
  </si>
  <si>
    <t>KWSR_SK</t>
  </si>
  <si>
    <t>BHalpha_SK</t>
  </si>
  <si>
    <t>BHbeta_SK</t>
  </si>
  <si>
    <t>KWRR_SMO</t>
  </si>
  <si>
    <t>KWSR_SMO</t>
  </si>
  <si>
    <t>BHalpha_SMO</t>
  </si>
  <si>
    <t>BHbeta_SMO</t>
  </si>
  <si>
    <t>KWRR_SSH</t>
  </si>
  <si>
    <t>KWSR_SSH</t>
  </si>
  <si>
    <t>BHalpha_SSH</t>
  </si>
  <si>
    <t>BHbeta_SSH</t>
  </si>
  <si>
    <t>KWRR_STB</t>
  </si>
  <si>
    <t>KWSR_STB</t>
  </si>
  <si>
    <t>BHalpha_STB</t>
  </si>
  <si>
    <t>BHbeta_STB</t>
  </si>
  <si>
    <t>KWRR_SUF</t>
  </si>
  <si>
    <t>KWSR_SUF</t>
  </si>
  <si>
    <t>BHalpha_SUF</t>
  </si>
  <si>
    <t>BHbeta_SUF</t>
  </si>
  <si>
    <t>KWRR_SWH</t>
  </si>
  <si>
    <t>KWSR_SWH</t>
  </si>
  <si>
    <t>BHalpha_SWH</t>
  </si>
  <si>
    <t>BHbeta_SWH</t>
  </si>
  <si>
    <t>KWRR_TAU</t>
  </si>
  <si>
    <t>KWSR_TAU</t>
  </si>
  <si>
    <t>BHalpha_TAU</t>
  </si>
  <si>
    <t>BHbeta_TAU</t>
  </si>
  <si>
    <t>KWRR_TUN</t>
  </si>
  <si>
    <t>KWSR_TUN</t>
  </si>
  <si>
    <t>BHalpha_TUN</t>
  </si>
  <si>
    <t>BHbeta_TUN</t>
  </si>
  <si>
    <t>KWRR_TWH</t>
  </si>
  <si>
    <t>KWSR_TWH</t>
  </si>
  <si>
    <t>BHalpha_TWH</t>
  </si>
  <si>
    <t>BHbeta_TWH</t>
  </si>
  <si>
    <t>KWRR_TYL</t>
  </si>
  <si>
    <t>KWSR_TYL</t>
  </si>
  <si>
    <t>BHalpha_TYL</t>
  </si>
  <si>
    <t>BHbeta_TYL</t>
  </si>
  <si>
    <t>KWRR_WHK</t>
  </si>
  <si>
    <t>KWSR_WHK</t>
  </si>
  <si>
    <t>BHalpha_WHK</t>
  </si>
  <si>
    <t>BHbeta_WHK</t>
  </si>
  <si>
    <t>KWRR_WIF</t>
  </si>
  <si>
    <t>KWSR_WIF</t>
  </si>
  <si>
    <t>BHalpha_WIF</t>
  </si>
  <si>
    <t>BHbeta_WIF</t>
  </si>
  <si>
    <t>KWRR_WOL</t>
  </si>
  <si>
    <t>KWSR_WOL</t>
  </si>
  <si>
    <t>BHalpha_WOL</t>
  </si>
  <si>
    <t>BHbeta_WOL</t>
  </si>
  <si>
    <t>KWRR_WPF</t>
  </si>
  <si>
    <t>KWSR_WPF</t>
  </si>
  <si>
    <t>BHalpha_WPF</t>
  </si>
  <si>
    <t>BHbeta_WPF</t>
  </si>
  <si>
    <t>KWRR_WSK</t>
  </si>
  <si>
    <t>KWSR_WSK</t>
  </si>
  <si>
    <t>BHalpha_WSK</t>
  </si>
  <si>
    <t>BHbeta_WSK</t>
  </si>
  <si>
    <t>KWRR_WTF</t>
  </si>
  <si>
    <t>KWSR_WTF</t>
  </si>
  <si>
    <t>BHalpha_WTF</t>
  </si>
  <si>
    <t>BHbeta_WTF</t>
  </si>
  <si>
    <t>KWRR_YTF</t>
  </si>
  <si>
    <t>KWSR_YTF</t>
  </si>
  <si>
    <t>BHalpha_YTF</t>
  </si>
  <si>
    <t>BHbeta_YTF</t>
  </si>
  <si>
    <t>BHalpha_LSQ</t>
  </si>
  <si>
    <t>BHbeta_LSQ</t>
  </si>
  <si>
    <t>LSQ</t>
  </si>
  <si>
    <t>BHalpha_ISQ</t>
  </si>
  <si>
    <t>BHbeta_ISQ</t>
  </si>
  <si>
    <t>ISQ</t>
  </si>
  <si>
    <t>BHalpha_NSH</t>
  </si>
  <si>
    <t>BHbeta_NSH</t>
  </si>
  <si>
    <t>NSH</t>
  </si>
  <si>
    <t>BHalpha_OSH</t>
  </si>
  <si>
    <t>BHbeta_OSH</t>
  </si>
  <si>
    <t>OSH</t>
  </si>
  <si>
    <t>calc_lbs</t>
  </si>
  <si>
    <t>calc_in</t>
  </si>
  <si>
    <t>C:\Users\ryan.morse\Desktop\GROWTH_vonBert_Atlantis</t>
  </si>
  <si>
    <t>CAPELIN</t>
  </si>
  <si>
    <t>SILVERSTRIPE HALFBEAK</t>
  </si>
  <si>
    <t>CHUB MACKEREL</t>
  </si>
  <si>
    <t>NORTHERN SAND LANCE</t>
  </si>
  <si>
    <t>ATLANTIC SAURY</t>
  </si>
  <si>
    <t>MACKEREL SCAD</t>
  </si>
  <si>
    <t>BIGEYE SCAD</t>
  </si>
  <si>
    <t>ROUND SCAD</t>
  </si>
  <si>
    <t>ROUGH SCAD</t>
  </si>
  <si>
    <t>SILVER RAG</t>
  </si>
  <si>
    <t>ATLANTIC THREAD HERRING</t>
  </si>
  <si>
    <t>SPANISH SARDINE</t>
  </si>
  <si>
    <t>FLYING HALFBEAK</t>
  </si>
  <si>
    <t>STRIPED MULLET</t>
  </si>
  <si>
    <t>WHITE MULLET</t>
  </si>
  <si>
    <t>ATLANTIC SILVERSIDE</t>
  </si>
  <si>
    <t>ATLANTIC ARGENTINE</t>
  </si>
  <si>
    <t>HARVESTFISHES</t>
  </si>
  <si>
    <t>mean value</t>
  </si>
  <si>
    <t>max length cm</t>
  </si>
  <si>
    <t>location</t>
  </si>
  <si>
    <t>labrador sea</t>
  </si>
  <si>
    <t>Brazil</t>
  </si>
  <si>
    <t>aggregate</t>
  </si>
  <si>
    <t>Italy</t>
  </si>
  <si>
    <t>agg</t>
  </si>
  <si>
    <t>NA</t>
  </si>
  <si>
    <t>Gulf Mexico</t>
  </si>
  <si>
    <t>NW Florida</t>
  </si>
  <si>
    <t>Mexico</t>
  </si>
  <si>
    <t>Rockall Bank</t>
  </si>
  <si>
    <t>source</t>
  </si>
  <si>
    <t>http://www.fishbase.org/Summary/SpeciesSummary.php?ID=252&amp;AT=capelin</t>
  </si>
  <si>
    <t>http://www.fishbase.org/Summary/SpeciesSummary.php?ID=1060&amp;AT=silverstripe+halfbeak</t>
  </si>
  <si>
    <t>http://www.fishbase.org/Summary/SpeciesSummary.php?ID=54736&amp;AT=chub+mackerel</t>
  </si>
  <si>
    <t>http://www.fishbase.org/Summary/SpeciesSummary.php?ID=3821&amp;AT=northern+sand+lance</t>
  </si>
  <si>
    <t>http://www.fishbase.org/Summary/SpeciesSummary.php?ID=1084&amp;AT=atlantic+saury</t>
  </si>
  <si>
    <t>http://www.fishbase.org/Summary/SpeciesSummary.php?ID=993&amp;AT=mackerel+scad</t>
  </si>
  <si>
    <t>http://www.fishbase.org/Summary/SpeciesSummary.php?ID=387&amp;AT=bigeye+scad</t>
  </si>
  <si>
    <t>http://www.fishbase.org/Summary/SpeciesSummary.php?ID=994&amp;AT=round+scad</t>
  </si>
  <si>
    <t>http://www.fishbase.se/Summary/SpeciesSummary.php?ID=369&amp;AT=rough+scad</t>
  </si>
  <si>
    <t>http://www.fishbase.se/Summary/SpeciesSummary.php?ID=961&amp;AT=Silver%20rag</t>
  </si>
  <si>
    <t>http://www.fishbase.se/Summary/SpeciesSummary.php?ID=1486&amp;AT=atlantic+thread+herring</t>
  </si>
  <si>
    <t>http://www.fishbase.se/Summary/SpeciesSummary.php?ID=1043&amp;AT=spanish+sardine</t>
  </si>
  <si>
    <t>http://www.fishbase.se/Summary/SpeciesSummary.php?ID=3155&amp;AT=flying+halfbeak</t>
  </si>
  <si>
    <t>http://www.fishbase.se/Summary/SpeciesSummary.php?ID=785&amp;AT=striped+mullet</t>
  </si>
  <si>
    <t>http://www.fishbase.se/Summary/SpeciesSummary.php?ID=1086&amp;AT=white+mullet</t>
  </si>
  <si>
    <t>http://www.fishbase.se/Summary/SpeciesSummary.php?ID=339&amp;AT=atlantic+silverside</t>
  </si>
  <si>
    <t>http://www.fishbase.se/Summary/SpeciesSummary.php?ID=2700&amp;AT=atlantic+argentine</t>
  </si>
  <si>
    <t>http://www.fishbase.se/Summary/SpeciesSummary.php?ID=28143&amp;AT=harvestfish</t>
  </si>
  <si>
    <t>MEANS</t>
  </si>
  <si>
    <t>Fin Whale</t>
  </si>
  <si>
    <t>Humpback</t>
  </si>
  <si>
    <t>Minke</t>
  </si>
  <si>
    <t>Sei</t>
  </si>
  <si>
    <t>Blue</t>
  </si>
  <si>
    <t>adult weight (kg)</t>
  </si>
  <si>
    <t>adult length (m)</t>
  </si>
  <si>
    <t>lifespan (yrs)</t>
  </si>
  <si>
    <t>calf weight (kg)</t>
  </si>
  <si>
    <t>calf length (m)</t>
  </si>
  <si>
    <t>max daily consumption (kg)</t>
  </si>
  <si>
    <t>https://www.fisheries.noaa.gov/species/fin-whale</t>
  </si>
  <si>
    <t>https://www.fisheries.noaa.gov/species/humpback-whale</t>
  </si>
  <si>
    <t>https://www.fisheries.noaa.gov/species/minke-whale</t>
  </si>
  <si>
    <t>https://www.fisheries.noaa.gov/species/sei-whale</t>
  </si>
  <si>
    <t>gestation (mos)</t>
  </si>
  <si>
    <t>sexual maturity (yrs)</t>
  </si>
  <si>
    <t>calf consumes milk (yrs)</t>
  </si>
  <si>
    <t>NOAA mean 2012 SAW</t>
  </si>
  <si>
    <t>NOAA mean Messeck 1985</t>
  </si>
  <si>
    <t>ATLANTIC CROAKER</t>
  </si>
  <si>
    <t>BLACK DRUM</t>
  </si>
  <si>
    <t>SPOT</t>
  </si>
  <si>
    <t>To (yrs)</t>
  </si>
  <si>
    <t>Texas</t>
  </si>
  <si>
    <t>Chesapeake Bay</t>
  </si>
  <si>
    <t>http://www.fishbase.se/Summary/SpeciesSummary.php?ID=408&amp;AT=atlantic+croaker</t>
  </si>
  <si>
    <t>http://www.fishbase.se/Summary/SpeciesSummary.php?ID=425&amp;AT=black+drum</t>
  </si>
  <si>
    <t>http://www.fishbase.se/Summary/SpeciesSummary.php?ID=429&amp;AT=spot</t>
  </si>
  <si>
    <t>BLACK DOGFISH</t>
  </si>
  <si>
    <t>SAND TIGER</t>
  </si>
  <si>
    <t>CHAIN DOGFISH</t>
  </si>
  <si>
    <t>ATLANTIC ANGEL SHARK</t>
  </si>
  <si>
    <t>SHARK,NURSE</t>
  </si>
  <si>
    <t>SHARK,BULL</t>
  </si>
  <si>
    <t>SHARK,LEMON</t>
  </si>
  <si>
    <t>SHARK,ATLANTIC SHARPNOSE</t>
  </si>
  <si>
    <t>SHARK,SCALLOPED HAMMERHEAD</t>
  </si>
  <si>
    <t>SHARK,THRESHER</t>
  </si>
  <si>
    <t>SHARK,BIGEYE THRESHER</t>
  </si>
  <si>
    <t>SHARK,THRESHER UNC</t>
  </si>
  <si>
    <t>SHARK UNCL</t>
  </si>
  <si>
    <t>bahamas</t>
  </si>
  <si>
    <t>http://www.fishbase.se/Summary/SpeciesSummary.php?ID=656&amp;AT=black+dogfish</t>
  </si>
  <si>
    <t>http://www.fishbase.se/Summary/SpeciesSummary.php?ID=749&amp;AT=sand+tiger+shark</t>
  </si>
  <si>
    <t>http://www.fishbase.se/Summary/SpeciesSummary.php?ID=853&amp;AT=chain+dogfish</t>
  </si>
  <si>
    <t>http://www.fishbase.se/Summary/SpeciesSummary.php?ID=731&amp;AT=atlantic+angel+shark</t>
  </si>
  <si>
    <t>http://www.fishbase.se/Summary/SpeciesSummary.php?ID=2532&amp;AT=nurse+shark</t>
  </si>
  <si>
    <t>http://www.fishbase.se/Summary/SpeciesSummary.php?ID=873&amp;AT=bull+shark</t>
  </si>
  <si>
    <t>http://www.fishbase.se/Summary/SpeciesSummary.php?ID=897&amp;AT=lemon+shark</t>
  </si>
  <si>
    <t>http://www.fishbase.se/Summary/SpeciesSummary.php?ID=905&amp;AT=atlantic+sharpnose+shark</t>
  </si>
  <si>
    <t>http://www.fishbase.se/Summary/SpeciesSummary.php?ID=912&amp;AT=scalloped+hammerhead</t>
  </si>
  <si>
    <t>http://www.fishbase.se/Summary/SpeciesSummary.php?ID=2535&amp;AT=thresher+shark</t>
  </si>
  <si>
    <t>http://www.fishbase.se/Summary/SpeciesSummary.php?ID=2534&amp;AT=bigeye+thresher</t>
  </si>
  <si>
    <t>(greater argentine)</t>
  </si>
  <si>
    <t>ROUND HERRING</t>
  </si>
  <si>
    <t>ALEWIFE</t>
  </si>
  <si>
    <t>BLUEBACK HERRING</t>
  </si>
  <si>
    <t>AMERICAN SHAD</t>
  </si>
  <si>
    <t>GIZZARD SHAD</t>
  </si>
  <si>
    <t>HICKORY SHAD</t>
  </si>
  <si>
    <t>HERRING SMELT</t>
  </si>
  <si>
    <t>SMELTS</t>
  </si>
  <si>
    <t>USA</t>
  </si>
  <si>
    <t>http://www.fishbase.se/Summary/SpeciesSummary.php?ID=1455&amp;AT=round+herring</t>
  </si>
  <si>
    <t>http://www.fishbase.se/Summary/SpeciesSummary.php?ID=1583&amp;AT=alewife</t>
  </si>
  <si>
    <t>http://www.fishbase.se/Summary/SpeciesSummary.php?ID=1574&amp;AT=blueback+herring</t>
  </si>
  <si>
    <t>http://www.fishbase.se/Summary/SpeciesSummary.php?ID=1584&amp;AT=american+shad</t>
  </si>
  <si>
    <t>http://www.fishbase.se/Summary/SpeciesSummary.php?ID=1604&amp;AT=gizzard+shad</t>
  </si>
  <si>
    <t>http://www.fishbase.se/Summary/SpeciesSummary.php?ID=1582&amp;AT=hickory+shad</t>
  </si>
  <si>
    <t>http://www.fishbase.se/Summary/SpeciesSummary.php?ID=2700&amp;AT=herring+smelt</t>
  </si>
  <si>
    <t>http://www.fishbase.se/Summary/SpeciesSummary.php?ID=253&amp;AT=smelt</t>
  </si>
  <si>
    <t>SPOTTED HAKE</t>
  </si>
  <si>
    <t>FOURBEARD ROCKLING</t>
  </si>
  <si>
    <t>CUSK</t>
  </si>
  <si>
    <t>THREEBEARD ROCKLING</t>
  </si>
  <si>
    <t>GRENADIER UNCL</t>
  </si>
  <si>
    <t>MARLIN-SPIKE</t>
  </si>
  <si>
    <t>ROUGHHEAD GRENADIER</t>
  </si>
  <si>
    <t>LONGNOSE GRENADIER</t>
  </si>
  <si>
    <t>DEEPWATER DAB</t>
  </si>
  <si>
    <t>GREENLAND HALIBUT</t>
  </si>
  <si>
    <t>LONGSPINE SNIPEFISH</t>
  </si>
  <si>
    <t>BUCKLER DORY</t>
  </si>
  <si>
    <t>BLACKMOUTH BASS</t>
  </si>
  <si>
    <t>THREESPINE STICKLEBACK</t>
  </si>
  <si>
    <t>NORTHERN PIPEFISH</t>
  </si>
  <si>
    <t>SMALLMOUTH FLOUNDER</t>
  </si>
  <si>
    <t>TRUMPETFISH</t>
  </si>
  <si>
    <t>BLUESPOTTED CORNETFISH</t>
  </si>
  <si>
    <t>ATLANTIC MOONFISH</t>
  </si>
  <si>
    <t>LOOKDOWN</t>
  </si>
  <si>
    <t>WEAKFISH</t>
  </si>
  <si>
    <t>NORTHERN KINGFISH</t>
  </si>
  <si>
    <t>SILVER PERCH</t>
  </si>
  <si>
    <t>SHERBORN'S CARDINALFISH</t>
  </si>
  <si>
    <t>LONGSPINE SCORPIONFISH</t>
  </si>
  <si>
    <t>BLACKBELLY ROSEFISH</t>
  </si>
  <si>
    <t>HOOKEAR SCULPIN UNCL</t>
  </si>
  <si>
    <t>SCULPIN UNCL</t>
  </si>
  <si>
    <t>MOUSTACHE SCULPIN</t>
  </si>
  <si>
    <t>SHORTHORN SCULPIN</t>
  </si>
  <si>
    <t>LONGHORN SCULPIN</t>
  </si>
  <si>
    <t>SEA RAVEN</t>
  </si>
  <si>
    <t>ALLIGATORFISH</t>
  </si>
  <si>
    <t>GRUBBY</t>
  </si>
  <si>
    <t>INQUILINE SNAILFISH</t>
  </si>
  <si>
    <t>LUMPFISH</t>
  </si>
  <si>
    <t>ATLANTIC SPINY LUMPSUCKER</t>
  </si>
  <si>
    <t>ATLANTIC SEASNAIL</t>
  </si>
  <si>
    <t>NORTHERN SEAROBIN</t>
  </si>
  <si>
    <t>STRIPED SEAROBIN</t>
  </si>
  <si>
    <t>ARMORED SEAROBIN</t>
  </si>
  <si>
    <t>SEAROBIN UNCL</t>
  </si>
  <si>
    <t>FLYING GURNARD</t>
  </si>
  <si>
    <t>CUNNER</t>
  </si>
  <si>
    <t>NORTHERN STARGAZER</t>
  </si>
  <si>
    <t>ROCK GUNNEL</t>
  </si>
  <si>
    <t>RED GOATFISH</t>
  </si>
  <si>
    <t>STRIPED CUSK-EEL</t>
  </si>
  <si>
    <t>ARCTIC EELPOUT</t>
  </si>
  <si>
    <t>WOLF EELPOUT</t>
  </si>
  <si>
    <t>WRYMOUTH</t>
  </si>
  <si>
    <t>FAWN CUSK-EEL</t>
  </si>
  <si>
    <t>SHORTNOSE GREENEYE</t>
  </si>
  <si>
    <t>LARGESCALE LIZARDFISH</t>
  </si>
  <si>
    <t>SHORTJAW LIZARDFISH</t>
  </si>
  <si>
    <t>INSHORE LIZARDFISH</t>
  </si>
  <si>
    <t>SAND DIVER</t>
  </si>
  <si>
    <t>OFFSHORE LIZARDFISH</t>
  </si>
  <si>
    <t>RED LIZARDFISH</t>
  </si>
  <si>
    <t>SNAKEFISH</t>
  </si>
  <si>
    <t>LONGNOSE LANCETFISH</t>
  </si>
  <si>
    <t>NORTHERN PUFFER</t>
  </si>
  <si>
    <t>GARFISHES</t>
  </si>
  <si>
    <t>HAGFISH</t>
  </si>
  <si>
    <t>HOGFISH</t>
  </si>
  <si>
    <t>TOADFISHES</t>
  </si>
  <si>
    <t>PERCH,SAND</t>
  </si>
  <si>
    <t>NEEDLEFISH,ATLANTIC</t>
  </si>
  <si>
    <t>SHEEPSHEAD,ATLANTIC</t>
  </si>
  <si>
    <t>ATLANTIC TOMCOD</t>
  </si>
  <si>
    <t>http://www.fishbase.se/Summary/SpeciesSummary.php?ID=1883&amp;AT=spotted+hake</t>
  </si>
  <si>
    <t>http://www.fishbase.se/Summary/SpeciesSummary.php?ID=1874&amp;AT=fourbeard+rockling</t>
  </si>
  <si>
    <t>http://www.fishbase.se/Summary/SpeciesSummary.php?ID=51&amp;AT=cusk</t>
  </si>
  <si>
    <t>http://www.fishbase.se/Summary/SpeciesSummary.php?ID=8425&amp;AT=threebeard+rockling</t>
  </si>
  <si>
    <t>HOGCHOKER</t>
  </si>
  <si>
    <t>GULF STREAM FLOUNDER</t>
  </si>
  <si>
    <t>DEEPWATER FLOUNDER</t>
  </si>
  <si>
    <t>http://www.fishbase.se/Summary/SpeciesSummary.php?ID=4260&amp;AT=hogchoker</t>
  </si>
  <si>
    <t>http://www.fishbase.se/Summary/SpeciesSummary.php?ID=4209&amp;AT=gulf+stream+flounder</t>
  </si>
  <si>
    <t>http://www.fishbase.se/Summary/SpeciesSummary.php?ID=4227&amp;AT=deepwater+flounder</t>
  </si>
  <si>
    <t>used values from plaice with max size of 41 cm</t>
  </si>
  <si>
    <t>fishbase agg</t>
  </si>
  <si>
    <t>fishbase aggregae</t>
  </si>
  <si>
    <t>NOAA NEFSC</t>
  </si>
  <si>
    <t>fishbase USA GOM GBK</t>
  </si>
  <si>
    <t>fishbase NC Lionfish</t>
  </si>
  <si>
    <t>fishbase GBK-Delaware region</t>
  </si>
  <si>
    <t>fishbase USA NW Atlantic</t>
  </si>
  <si>
    <t>LANTERNFISH UNCL</t>
  </si>
  <si>
    <t>WEITZMANS PEARLSIDES</t>
  </si>
  <si>
    <t>SPOTTED LANTERNFISH</t>
  </si>
  <si>
    <t>HORNED LANTERNFISH</t>
  </si>
  <si>
    <t>Mauritania</t>
  </si>
  <si>
    <t>http://www.fishbase.se/Summary/SpeciesSummary.php?ID=51611&amp;AT=pearlsides</t>
  </si>
  <si>
    <t>http://www.fishbase.se/Summary/SpeciesSummary.php?ID=1328&amp;AT=spotted+lanternfish</t>
  </si>
  <si>
    <t>http://www.fishbase.se/Summary/SpeciesSummary.php?ID=10174&amp;AT=lanternfish</t>
  </si>
  <si>
    <t>fishbase NES</t>
  </si>
  <si>
    <t>Fishbase SNE</t>
  </si>
  <si>
    <t>NOT IN NEUS</t>
  </si>
  <si>
    <t>Gray seal</t>
  </si>
  <si>
    <t>Harbor seal</t>
  </si>
  <si>
    <t>Hooded Seal</t>
  </si>
  <si>
    <t>Harp Seal</t>
  </si>
  <si>
    <t>https://www.fisheries.noaa.gov/species/gray-seal</t>
  </si>
  <si>
    <t>https://www.fisheries.noaa.gov/species/harbor-seal</t>
  </si>
  <si>
    <t>http://www.nmfs.noaa.gov/pr/species/mammals/seals/hooded-seal.html</t>
  </si>
  <si>
    <t>fishbase NW Atlantic</t>
  </si>
  <si>
    <t>Fishbase NW Atlantic canada</t>
  </si>
  <si>
    <t>fisbase USA NES</t>
  </si>
  <si>
    <t>DUSKY SHARK</t>
  </si>
  <si>
    <t>SHARK,GREAT HAMMERHEAD</t>
  </si>
  <si>
    <t>SHARK,BONITO(SHORTFIN MAKO)</t>
  </si>
  <si>
    <t>SHARK,WHITE</t>
  </si>
  <si>
    <t>BLACKNOSE SHARK</t>
  </si>
  <si>
    <t>SILKY SHARK</t>
  </si>
  <si>
    <t>SHARK,BLACKTIP</t>
  </si>
  <si>
    <t>SHARK,TIGER</t>
  </si>
  <si>
    <t>SHARK,FINETOOTH</t>
  </si>
  <si>
    <t>SHARK,BIGNOSE</t>
  </si>
  <si>
    <t>NES</t>
  </si>
  <si>
    <t>FL</t>
  </si>
  <si>
    <t>http://www.fishbase.se/Summary/SpeciesSummary.php?ID=878&amp;AT=dusky+shark</t>
  </si>
  <si>
    <t>http://www.fishbase.se/Summary/SpeciesSummary.php?ID=912&amp;AT=hammerhead+shark</t>
  </si>
  <si>
    <t>http://www.fishbase.se/Summary/SpeciesSummary.php?ID=752&amp;AT=bonito+shark</t>
  </si>
  <si>
    <t>http://www.fishbase.se/Summary/SpeciesSummary.php?ID=751&amp;AT=white+shark</t>
  </si>
  <si>
    <t>http://www.fishbase.se/Summary/SpeciesSummary.php?ID=857&amp;AT=blacknose+shark</t>
  </si>
  <si>
    <t>http://www.fishbase.se/Summary/SpeciesSummary.php?ID=868&amp;AT=silky+shark</t>
  </si>
  <si>
    <t>http://www.fishbase.se/Summary/SpeciesSummary.php?ID=874&amp;AT=blacktip+shark</t>
  </si>
  <si>
    <t>http://www.fishbase.se/Summary/SpeciesSummary.php?ID=886&amp;AT=tiger+shark</t>
  </si>
  <si>
    <t>http://www.fishbase.se/Summary/SpeciesSummary.php?ID=872&amp;AT=finetooth+shark</t>
  </si>
  <si>
    <t>http://www.fishbase.se/Summary/SpeciesSummary.php?ID=859&amp;AT=bignose+shark</t>
  </si>
  <si>
    <t>fishbase NE coast USA</t>
  </si>
  <si>
    <t>TURTLE,GREEN(SEA)</t>
  </si>
  <si>
    <t>TURTLE, KEMPS RIDLEY</t>
  </si>
  <si>
    <t>TURTLE, LEATHERBACK</t>
  </si>
  <si>
    <t>TURTLE,LOGGERHEAD(SEA)</t>
  </si>
  <si>
    <t>TURTLE, HAWKBILL</t>
  </si>
  <si>
    <t>https://www.fisheries.noaa.gov/species/green-turtle</t>
  </si>
  <si>
    <t>https://www.fisheries.noaa.gov/species/kemps-ridley-turtle</t>
  </si>
  <si>
    <t>https://www.fisheries.noaa.gov/species/leatherback-turtle</t>
  </si>
  <si>
    <t>https://www.fisheries.noaa.gov/species/loggerhead-turtle</t>
  </si>
  <si>
    <t>fishbase NW Atlantic USA</t>
  </si>
  <si>
    <t>Right Whale</t>
  </si>
  <si>
    <t>https://www.fisheries.noaa.gov/species/north-atlantic-right-whale</t>
  </si>
  <si>
    <t>Barrett et al 2006 NAFO area 5 (hatterans to GOM) percent by number of SB breeding in area</t>
  </si>
  <si>
    <t>largest gull</t>
  </si>
  <si>
    <t>Northern Gannet</t>
  </si>
  <si>
    <t>Great Black-backed gull</t>
  </si>
  <si>
    <t>petrels</t>
  </si>
  <si>
    <t>terns</t>
  </si>
  <si>
    <t>shearwaters</t>
  </si>
  <si>
    <t>eiders</t>
  </si>
  <si>
    <t>gulls</t>
  </si>
  <si>
    <t>pelecaniformes</t>
  </si>
  <si>
    <t>adult weight (g)</t>
  </si>
  <si>
    <t>wingspan (cm)</t>
  </si>
  <si>
    <t>https://www.nefsc.noaa.gov/ecosys/ecosystem-ecology/seabirds.html</t>
  </si>
  <si>
    <t>https://www.allaboutbirds.org/guide/Great_Black-backed_Gull/overview</t>
  </si>
  <si>
    <t>average weight</t>
  </si>
  <si>
    <t>avg length (cm)</t>
  </si>
  <si>
    <t>CONGER EEL</t>
  </si>
  <si>
    <t>CONGER EEL UNCL</t>
  </si>
  <si>
    <t>EEL UNCL</t>
  </si>
  <si>
    <t>AMERICAN EEL</t>
  </si>
  <si>
    <t>STURGEON,ATLANTIC</t>
  </si>
  <si>
    <t>STURGEONS,UNC</t>
  </si>
  <si>
    <t>STURGEON,SHORTNOSE</t>
  </si>
  <si>
    <t>SEA TROUT,SPOTTED</t>
  </si>
  <si>
    <t>New Brunswick</t>
  </si>
  <si>
    <t>http://www.fishbase.se/Summary/SpeciesSummary.php?ID=300&amp;AT=conger+eel</t>
  </si>
  <si>
    <t>http://www.fishbase.se/Summary/SpeciesSummary.php?ID=296&amp;AT=american+eel</t>
  </si>
  <si>
    <t>http://www.fishbase.se/Summary/SpeciesSummary.php?ID=2593&amp;AT=atlantic+sturgeon</t>
  </si>
  <si>
    <t>http://www.fishbase.se/Summary/SpeciesSummary.php?ID=2590&amp;AT=shortnose+sturgeon</t>
  </si>
  <si>
    <t>http://www.fishbase.se/Summary/SpeciesSummary.php?ID=405&amp;AT=Spotted%20sea%20trout</t>
  </si>
  <si>
    <t>Northeast_skate_complex</t>
  </si>
  <si>
    <t>RAY AND SKATE UNCL</t>
  </si>
  <si>
    <t>SKATE UNCL</t>
  </si>
  <si>
    <t>ATLANTIC TORPEDO</t>
  </si>
  <si>
    <t>BARNDOOR SKATE</t>
  </si>
  <si>
    <t>CLEARNOSE SKATE</t>
  </si>
  <si>
    <t>ROSETTE SKATE</t>
  </si>
  <si>
    <t>SMOOTH SKATE</t>
  </si>
  <si>
    <t>THORNY SKATE</t>
  </si>
  <si>
    <t>GBK</t>
  </si>
  <si>
    <t>Delaware Bay</t>
  </si>
  <si>
    <t>GOM</t>
  </si>
  <si>
    <t>http://www.fishbase.se/Summary/SpeciesSummary.php?ID=2553&amp;AT=atlantic+torpedo</t>
  </si>
  <si>
    <t>http://www.fishbase.se/Summary/SpeciesSummary.php?ID=2561&amp;AT=barndoor+skate</t>
  </si>
  <si>
    <t>http://www.fishbase.se/Summary/SpeciesSummary.php?ID=1252&amp;AT=clearnose+skate</t>
  </si>
  <si>
    <t>http://www.fishbase.se/Summary/SpeciesSummary.php?ID=1253&amp;AT=rosette+skate</t>
  </si>
  <si>
    <t>http://www.fishbase.se/Summary/SpeciesSummary.php?ID=2568&amp;AT=smooth+skate</t>
  </si>
  <si>
    <t>http://www.fishbase.se/Summary/SpeciesSummary.php?ID=2565&amp;AT=thorny+skate</t>
  </si>
  <si>
    <t>fishbase Buzzard Bay</t>
  </si>
  <si>
    <t>fishbase W N Atlantic</t>
  </si>
  <si>
    <t>fishbase Chesapeake Bay</t>
  </si>
  <si>
    <t>fishbase S MAB</t>
  </si>
  <si>
    <t>Harbor porpoise</t>
  </si>
  <si>
    <t>Striped dolphin</t>
  </si>
  <si>
    <t>Common Bottlenose Dolphin</t>
  </si>
  <si>
    <t>https://www.fisheries.noaa.gov/species/harbor-porpoise</t>
  </si>
  <si>
    <t>https://www.fisheries.noaa.gov/species/striped-dolphin</t>
  </si>
  <si>
    <t>https://www.fisheries.noaa.gov/species/common-bottlenose-dolphin</t>
  </si>
  <si>
    <t>fishbase aggregate</t>
  </si>
  <si>
    <t>TUNA,BLACKFIN</t>
  </si>
  <si>
    <t>TUNA,UNC</t>
  </si>
  <si>
    <t>TUNA,SKIPJACK</t>
  </si>
  <si>
    <t>TUNA,LITTLE (TUNNY)</t>
  </si>
  <si>
    <t>TUNA,BIGEYE</t>
  </si>
  <si>
    <t>TUNA,ALBACORE</t>
  </si>
  <si>
    <t>TUNA,YELLOWFIN</t>
  </si>
  <si>
    <t>MACKEREL AND TUNA UNCL</t>
  </si>
  <si>
    <t>http://www.fishbase.se/Summary/SpeciesSummary.php?ID=144&amp;AT=blackfin+tuna</t>
  </si>
  <si>
    <t>http://www.fishbase.se/Summary/SpeciesSummary.php?ID=107&amp;AT=skipjack+tuna</t>
  </si>
  <si>
    <t>http://www.fishbase.se/Summary/SpeciesSummary.php?ID=97&amp;AT=false+albacore</t>
  </si>
  <si>
    <t>http://www.fishbase.se/Summary/SpeciesSummary.php?ID=142&amp;AT=albacore+tuna</t>
  </si>
  <si>
    <t>http://www.fishbase.se/Summary/SpeciesSummary.php?ID=143&amp;AT=yellowfin+tuna</t>
  </si>
  <si>
    <t>Sperm whale</t>
  </si>
  <si>
    <t>Long-finneed pilot whale</t>
  </si>
  <si>
    <t>short-finned pilot whale</t>
  </si>
  <si>
    <t>pygmy sperm whale</t>
  </si>
  <si>
    <t>https://www.fisheries.noaa.gov/species/sperm-whale</t>
  </si>
  <si>
    <t>fishbase MAB SNE</t>
  </si>
  <si>
    <t>fishbase GBK</t>
  </si>
  <si>
    <t>fishbase Germany max length 150 cm</t>
  </si>
  <si>
    <t xml:space="preserve">fishbase Newfoundland </t>
  </si>
  <si>
    <t>fishbase SNE</t>
  </si>
  <si>
    <t>Age of maturity</t>
  </si>
  <si>
    <t>yrs/cohort</t>
  </si>
  <si>
    <t>num cohorts</t>
  </si>
  <si>
    <t>max age</t>
  </si>
  <si>
    <t>ANC_age_mat</t>
  </si>
  <si>
    <t>BFT_age_mat</t>
  </si>
  <si>
    <t>BIL_age_mat</t>
  </si>
  <si>
    <t>BLF_age_mat</t>
  </si>
  <si>
    <t>BLS_age_mat</t>
  </si>
  <si>
    <t>BPF_age_mat</t>
  </si>
  <si>
    <t>BSB_age_mat</t>
  </si>
  <si>
    <t>BUT_age_mat</t>
  </si>
  <si>
    <t>BWH_age_mat</t>
  </si>
  <si>
    <t>COD_age_mat</t>
  </si>
  <si>
    <t>DOG_age_mat</t>
  </si>
  <si>
    <t>DRM_age_mat</t>
  </si>
  <si>
    <t>DSH_age_mat</t>
  </si>
  <si>
    <t>FDE_age_mat</t>
  </si>
  <si>
    <t>FDF_age_mat</t>
  </si>
  <si>
    <t>FLA_age_mat</t>
  </si>
  <si>
    <t>FOU_age_mat</t>
  </si>
  <si>
    <t>GOO_age_mat</t>
  </si>
  <si>
    <t>HAD_age_mat</t>
  </si>
  <si>
    <t>HAL_age_mat</t>
  </si>
  <si>
    <t>HER_age_mat</t>
  </si>
  <si>
    <t>INV_age_mat</t>
  </si>
  <si>
    <t>LSK_age_mat</t>
  </si>
  <si>
    <t>MAK_age_mat</t>
  </si>
  <si>
    <t>MEN_age_mat</t>
  </si>
  <si>
    <t>MPF_age_mat</t>
  </si>
  <si>
    <t>OHK_age_mat</t>
  </si>
  <si>
    <t>OPT_age_mat</t>
  </si>
  <si>
    <t>PIN_age_mat</t>
  </si>
  <si>
    <t>PLA_age_mat</t>
  </si>
  <si>
    <t>POL_age_mat</t>
  </si>
  <si>
    <t>POR_age_mat</t>
  </si>
  <si>
    <t>PSH_age_mat</t>
  </si>
  <si>
    <t>RED_age_mat</t>
  </si>
  <si>
    <t>REP_age_mat</t>
  </si>
  <si>
    <t>RHK_age_mat</t>
  </si>
  <si>
    <t>RWH_age_mat</t>
  </si>
  <si>
    <t>SAL_age_mat</t>
  </si>
  <si>
    <t>SB_age_mat</t>
  </si>
  <si>
    <t>SCU_age_mat</t>
  </si>
  <si>
    <t>SDF_age_mat</t>
  </si>
  <si>
    <t>SHK_age_mat</t>
  </si>
  <si>
    <t>SK_age_mat</t>
  </si>
  <si>
    <t>SMO_age_mat</t>
  </si>
  <si>
    <t>SSH_age_mat</t>
  </si>
  <si>
    <t>STB_age_mat</t>
  </si>
  <si>
    <t>SUF_age_mat</t>
  </si>
  <si>
    <t>SWH_age_mat</t>
  </si>
  <si>
    <t>TAU_age_mat</t>
  </si>
  <si>
    <t>TUN_age_mat</t>
  </si>
  <si>
    <t>TWH_age_mat</t>
  </si>
  <si>
    <t>TYL_age_mat</t>
  </si>
  <si>
    <t>WHK_age_mat</t>
  </si>
  <si>
    <t>WIF_age_mat</t>
  </si>
  <si>
    <t>WOL_age_mat</t>
  </si>
  <si>
    <t>WPF_age_mat</t>
  </si>
  <si>
    <t>WSK_age_mat</t>
  </si>
  <si>
    <t>WTF_age_mat</t>
  </si>
  <si>
    <t>YTF_age_mat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</si>
  <si>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</si>
  <si>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</si>
  <si>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</si>
  <si>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</si>
  <si>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</si>
  <si>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</si>
  <si>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</si>
  <si>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</si>
  <si>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</si>
  <si>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</si>
  <si>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</si>
  <si>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</si>
  <si>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</si>
  <si>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</si>
  <si>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</si>
  <si>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</si>
  <si>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</si>
  <si>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</si>
  <si>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</si>
  <si>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</si>
  <si>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</si>
  <si>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</si>
  <si>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</si>
  <si>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</si>
  <si>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</si>
  <si>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</si>
  <si>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</si>
  <si>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</si>
  <si>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</si>
  <si>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</si>
  <si>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</si>
  <si>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</si>
  <si>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</si>
  <si>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</si>
  <si>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</si>
  <si>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</si>
  <si>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</si>
  <si>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</si>
  <si>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</si>
  <si>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</si>
  <si>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</si>
  <si>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</si>
  <si>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</si>
  <si>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</si>
  <si>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</si>
  <si>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</si>
  <si>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</si>
  <si>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</si>
  <si>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</si>
  <si>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</si>
  <si>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</si>
  <si>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</si>
  <si>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</si>
  <si>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</si>
  <si>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</si>
  <si>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</si>
  <si>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</si>
  <si>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</si>
  <si>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</si>
  <si>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</si>
  <si>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</si>
  <si>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</si>
  <si>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</si>
  <si>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</si>
  <si>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</si>
  <si>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</si>
  <si>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</si>
  <si>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</si>
  <si>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</si>
  <si>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</si>
  <si>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</si>
  <si>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</si>
  <si>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</si>
  <si>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</si>
  <si>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</si>
  <si>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</si>
  <si>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</si>
  <si>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</si>
  <si>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</si>
  <si>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</si>
  <si>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</si>
  <si>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</si>
  <si>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</si>
  <si>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</si>
  <si>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</si>
  <si>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</si>
  <si>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</si>
  <si>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</si>
  <si>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</si>
  <si>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</si>
  <si>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</si>
  <si>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</si>
  <si>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</si>
  <si>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</si>
  <si>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</si>
  <si>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</si>
  <si>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</si>
  <si>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</si>
  <si>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</si>
  <si>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</si>
  <si>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</si>
  <si>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</si>
  <si>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</si>
  <si>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</si>
  <si>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</si>
  <si>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</si>
  <si>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</si>
  <si>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</si>
  <si>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</si>
  <si>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</si>
  <si>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</si>
  <si>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</si>
  <si>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</si>
  <si>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</si>
  <si>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</si>
  <si>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</si>
  <si>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</si>
  <si>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</si>
  <si>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NEUSorder</t>
  </si>
  <si>
    <t>AlphabeticalOrder</t>
  </si>
  <si>
    <t>orderWithSpaces</t>
  </si>
  <si>
    <t>Original values 20180730</t>
  </si>
  <si>
    <t>MODIFIED VALUES 20180730</t>
  </si>
  <si>
    <t>NAME</t>
  </si>
  <si>
    <t>Alphabetical1</t>
  </si>
  <si>
    <t>Alphabetical2</t>
  </si>
  <si>
    <t>COHORT</t>
  </si>
  <si>
    <t>Beth: P = Bi * a* C * Bj / ( 1+ C/g [ E* Sum( Bj*a  )   ]   ), where g is MUM</t>
  </si>
  <si>
    <t>E</t>
  </si>
  <si>
    <t>Murray and Parslow Report 44 1997:    Consumption rate = C P / ( 1+ CP/Gmax), where  Gmax = MUM/ E</t>
  </si>
  <si>
    <t>Atlantis name</t>
  </si>
  <si>
    <t>C_  =</t>
  </si>
  <si>
    <t>C</t>
  </si>
  <si>
    <t>The larger c/g, the more quickly it reaches its asymptote</t>
  </si>
  <si>
    <t>MUM  =</t>
  </si>
  <si>
    <t>g</t>
  </si>
  <si>
    <t>g/C is half sat point for Parslow; g/C/a/e is half sat point for Beth's functional repsonse.</t>
  </si>
  <si>
    <t>The higher a, the more quickly it reaches asymptote</t>
  </si>
  <si>
    <t xml:space="preserve">g/c/a/e, or half saturation point. </t>
  </si>
  <si>
    <t xml:space="preserve">a*c  is the consumptin rate, per predator, when prey biomass is 1, i.e. before handling time effects have kicked in; Murray and Parslow say "C is grazing efficiency at low food densities", and beth has added a " * a" term. </t>
  </si>
  <si>
    <t>Asymp, i.e. g/e, i.e. mum/e</t>
  </si>
  <si>
    <t>Asymptote, gmax, is g/e</t>
  </si>
  <si>
    <t xml:space="preserve">So we can guess what g should be (MUM), because it is 0.8 *maximum ingestion rate, i.e. E * gmax </t>
  </si>
  <si>
    <t>Guess at C_, it is hard to estimate, just make the curve look nice!</t>
  </si>
  <si>
    <t>Biomass pred</t>
  </si>
  <si>
    <t>Biomass prey</t>
  </si>
  <si>
    <t>Consumption</t>
  </si>
  <si>
    <t>Numerator</t>
  </si>
  <si>
    <t>Denom</t>
  </si>
  <si>
    <t>rn</t>
  </si>
  <si>
    <t>sn</t>
  </si>
  <si>
    <t>realized consumption</t>
  </si>
  <si>
    <t>max consumption</t>
  </si>
  <si>
    <t>mum</t>
  </si>
  <si>
    <t>consumption : b * ((RN+SN)age - (RN+SN)age-1)  [used in Icelandic model]</t>
  </si>
  <si>
    <t>consumption: a * (RN+SN)^0.7 [used in CalCurrent model]</t>
  </si>
  <si>
    <t>sum(RN+SN) at age</t>
  </si>
  <si>
    <t xml:space="preserve">Consumption / biomass* </t>
  </si>
  <si>
    <t>a:</t>
  </si>
  <si>
    <t>b:</t>
  </si>
  <si>
    <t>(mg)</t>
  </si>
  <si>
    <t>LSQ_sn</t>
  </si>
  <si>
    <t>jLSQ_sn</t>
  </si>
  <si>
    <t>ISQ_sn</t>
  </si>
  <si>
    <t>jISQ_sn</t>
  </si>
  <si>
    <t>LOB_sn</t>
  </si>
  <si>
    <t>RCB_sn</t>
  </si>
  <si>
    <t>BMS_sn</t>
  </si>
  <si>
    <t>NSH_sn</t>
  </si>
  <si>
    <t>jNSH_sn</t>
  </si>
  <si>
    <t>OSH_sn</t>
  </si>
  <si>
    <t>jOSH_sn</t>
  </si>
  <si>
    <t>ZG_sn</t>
  </si>
  <si>
    <t>#</t>
  </si>
  <si>
    <t>Following</t>
  </si>
  <si>
    <t>parameters</t>
  </si>
  <si>
    <t>required</t>
  </si>
  <si>
    <t>for</t>
  </si>
  <si>
    <t>read-in,</t>
  </si>
  <si>
    <t>but</t>
  </si>
  <si>
    <t>as</t>
  </si>
  <si>
    <t>these</t>
  </si>
  <si>
    <t>species</t>
  </si>
  <si>
    <t>don't</t>
  </si>
  <si>
    <t>eat</t>
  </si>
  <si>
    <t>age-structured</t>
  </si>
  <si>
    <t>groups,</t>
  </si>
  <si>
    <t>not</t>
  </si>
  <si>
    <t>used</t>
  </si>
  <si>
    <t>yet</t>
  </si>
  <si>
    <t>ZL_sn</t>
  </si>
  <si>
    <t>Ref.</t>
  </si>
  <si>
    <t>AFDW</t>
  </si>
  <si>
    <t>large</t>
  </si>
  <si>
    <t>zooplankton</t>
  </si>
  <si>
    <t>so</t>
  </si>
  <si>
    <t>can</t>
  </si>
  <si>
    <t>determine</t>
  </si>
  <si>
    <t>avail</t>
  </si>
  <si>
    <t>fish</t>
  </si>
  <si>
    <t>groups</t>
  </si>
  <si>
    <t>(=10cm</t>
  </si>
  <si>
    <t>prawn)</t>
  </si>
  <si>
    <t>ZM_sn</t>
  </si>
  <si>
    <t>mesozooplankton</t>
  </si>
  <si>
    <t>ZS_sn</t>
  </si>
  <si>
    <t>small</t>
  </si>
  <si>
    <t>DF_sn</t>
  </si>
  <si>
    <t>dinoflagellates</t>
  </si>
  <si>
    <t>BFF_sn</t>
  </si>
  <si>
    <t>other</t>
  </si>
  <si>
    <t>filter</t>
  </si>
  <si>
    <t>feeders</t>
  </si>
  <si>
    <t>BG_sn</t>
  </si>
  <si>
    <t>benthic</t>
  </si>
  <si>
    <t>grazers</t>
  </si>
  <si>
    <t>BO_sn</t>
  </si>
  <si>
    <t>meiobenthos</t>
  </si>
  <si>
    <t>BD_sn</t>
  </si>
  <si>
    <t>deposit</t>
  </si>
  <si>
    <t>BC_sn</t>
  </si>
  <si>
    <t>canrivores</t>
  </si>
  <si>
    <t>fishbase mean</t>
  </si>
  <si>
    <t>changed To to 0</t>
  </si>
  <si>
    <t>NOTE THESE values updated 20190110, removed negative T0 in  calc_update sheet for many species.</t>
  </si>
  <si>
    <t>SEE BELOW</t>
  </si>
  <si>
    <t>UPDATED,</t>
  </si>
  <si>
    <t>RM 20190110</t>
  </si>
  <si>
    <t>(scroll down)</t>
  </si>
  <si>
    <t>THIS IS OUTDATED</t>
  </si>
  <si>
    <t>THESE ARE FOR AGE 1 FISH (ALL) NOT COHORT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</si>
</sst>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Border="0" applyProtection="0"/>
    <xf numFmtId="0" fontId="2" fillId="0" borderId="0" applyBorder="0" applyProtection="0"/>
    <xf numFmtId="0" fontId="6" fillId="0" borderId="0"/>
  </cellStyleXfs>
  <cellXfs count="2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2" applyBorder="1" applyAlignment="1" applyProtection="1"/>
    <xf numFmtId="0" fontId="0" fillId="0" borderId="0" xfId="0"/>
    <xf numFmtId="0" fontId="0" fillId="2" borderId="0" xfId="0" applyFont="1" applyFill="1"/>
    <xf numFmtId="11" fontId="0" fillId="0" borderId="0" xfId="0" applyNumberFormat="1"/>
    <xf numFmtId="0" fontId="3" fillId="0" borderId="0" xfId="1" applyFont="1" applyBorder="1" applyAlignment="1" applyProtection="1"/>
    <xf numFmtId="2" fontId="0" fillId="0" borderId="0" xfId="0" applyNumberFormat="1"/>
    <xf numFmtId="2" fontId="0" fillId="2" borderId="0" xfId="0" applyNumberFormat="1" applyFill="1"/>
    <xf numFmtId="0" fontId="0" fillId="0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3"/>
    <xf numFmtId="0" fontId="7" fillId="0" borderId="0" xfId="3" applyFont="1"/>
    <xf numFmtId="0" fontId="7" fillId="4" borderId="0" xfId="3" applyFont="1" applyFill="1"/>
    <xf numFmtId="0" fontId="6" fillId="4" borderId="0" xfId="3" applyFill="1"/>
    <xf numFmtId="0" fontId="6" fillId="5" borderId="0" xfId="3" applyFont="1" applyFill="1"/>
    <xf numFmtId="0" fontId="6" fillId="5" borderId="0" xfId="3" applyFill="1"/>
    <xf numFmtId="0" fontId="6" fillId="6" borderId="0" xfId="3" applyFill="1"/>
    <xf numFmtId="0" fontId="7" fillId="0" borderId="0" xfId="3" applyFont="1" applyFill="1"/>
    <xf numFmtId="0" fontId="6" fillId="0" borderId="0" xfId="3" applyFill="1"/>
    <xf numFmtId="0" fontId="0" fillId="7" borderId="0" xfId="0" applyFill="1"/>
  </cellXfs>
  <cellStyles count="4">
    <cellStyle name="Explanatory Text" xfId="2" builtinId="53" customBuiltin="1"/>
    <cellStyle name="Hyperlink" xfId="1" builtinId="8"/>
    <cellStyle name="Normal" xfId="0" builtinId="0"/>
    <cellStyle name="Normal 2" xfId="3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87611378674753"/>
          <c:y val="0.15172447854812893"/>
          <c:w val="0.54962345726201689"/>
          <c:h val="0.68965672067331329"/>
        </c:manualLayout>
      </c:layout>
      <c:scatterChart>
        <c:scatterStyle val="lineMarker"/>
        <c:varyColors val="0"/>
        <c:ser>
          <c:idx val="0"/>
          <c:order val="0"/>
          <c:tx>
            <c:strRef>
              <c:f>FuncResp!$E$10</c:f>
              <c:strCache>
                <c:ptCount val="1"/>
                <c:pt idx="0">
                  <c:v>Consumption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og"/>
            <c:dispRSqr val="0"/>
            <c:dispEq val="0"/>
          </c:trendline>
          <c:xVal>
            <c:numRef>
              <c:f>FuncResp!$D$11:$D$61</c:f>
              <c:numCache>
                <c:formatCode>General</c:formatCode>
                <c:ptCount val="5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FuncResp!$E$11:$E$61</c:f>
              <c:numCache>
                <c:formatCode>General</c:formatCode>
                <c:ptCount val="51"/>
                <c:pt idx="0">
                  <c:v>5.6043956043956049</c:v>
                </c:pt>
                <c:pt idx="1">
                  <c:v>35.172413793103445</c:v>
                </c:pt>
                <c:pt idx="2">
                  <c:v>49.756097560975604</c:v>
                </c:pt>
                <c:pt idx="3">
                  <c:v>57.735849056603762</c:v>
                </c:pt>
                <c:pt idx="4">
                  <c:v>62.769230769230759</c:v>
                </c:pt>
                <c:pt idx="5">
                  <c:v>66.233766233766218</c:v>
                </c:pt>
                <c:pt idx="6">
                  <c:v>68.76404494382021</c:v>
                </c:pt>
                <c:pt idx="7">
                  <c:v>70.693069306930681</c:v>
                </c:pt>
                <c:pt idx="8">
                  <c:v>72.212389380530965</c:v>
                </c:pt>
                <c:pt idx="9">
                  <c:v>73.439999999999984</c:v>
                </c:pt>
                <c:pt idx="10">
                  <c:v>74.452554744525528</c:v>
                </c:pt>
                <c:pt idx="11">
                  <c:v>75.302013422818789</c:v>
                </c:pt>
                <c:pt idx="12">
                  <c:v>76.024844720496873</c:v>
                </c:pt>
                <c:pt idx="13">
                  <c:v>76.647398843930631</c:v>
                </c:pt>
                <c:pt idx="14">
                  <c:v>77.189189189189179</c:v>
                </c:pt>
                <c:pt idx="15">
                  <c:v>77.664974619289325</c:v>
                </c:pt>
                <c:pt idx="16">
                  <c:v>78.086124401913864</c:v>
                </c:pt>
                <c:pt idx="17">
                  <c:v>78.461538461538453</c:v>
                </c:pt>
                <c:pt idx="18">
                  <c:v>78.798283261802553</c:v>
                </c:pt>
                <c:pt idx="19">
                  <c:v>79.102040816326522</c:v>
                </c:pt>
                <c:pt idx="20">
                  <c:v>79.377431906614774</c:v>
                </c:pt>
                <c:pt idx="21">
                  <c:v>79.628252788104078</c:v>
                </c:pt>
                <c:pt idx="22">
                  <c:v>79.857651245551594</c:v>
                </c:pt>
                <c:pt idx="23">
                  <c:v>80.068259385665513</c:v>
                </c:pt>
                <c:pt idx="24">
                  <c:v>80.262295081967196</c:v>
                </c:pt>
                <c:pt idx="25">
                  <c:v>80.441640378548868</c:v>
                </c:pt>
                <c:pt idx="26">
                  <c:v>80.607902735562305</c:v>
                </c:pt>
                <c:pt idx="27">
                  <c:v>80.762463343108493</c:v>
                </c:pt>
                <c:pt idx="28">
                  <c:v>80.906515580736524</c:v>
                </c:pt>
                <c:pt idx="29">
                  <c:v>81.041095890410944</c:v>
                </c:pt>
                <c:pt idx="30">
                  <c:v>81.167108753315645</c:v>
                </c:pt>
                <c:pt idx="31">
                  <c:v>81.28534704370179</c:v>
                </c:pt>
                <c:pt idx="32">
                  <c:v>81.396508728179541</c:v>
                </c:pt>
                <c:pt idx="33">
                  <c:v>81.50121065375302</c:v>
                </c:pt>
                <c:pt idx="34">
                  <c:v>81.599999999999994</c:v>
                </c:pt>
                <c:pt idx="35">
                  <c:v>81.693363844393573</c:v>
                </c:pt>
                <c:pt idx="36">
                  <c:v>81.781737193763902</c:v>
                </c:pt>
                <c:pt idx="37">
                  <c:v>81.865509761388282</c:v>
                </c:pt>
                <c:pt idx="38">
                  <c:v>81.945031712473565</c:v>
                </c:pt>
                <c:pt idx="39">
                  <c:v>82.02061855670101</c:v>
                </c:pt>
                <c:pt idx="40">
                  <c:v>82.092555331991932</c:v>
                </c:pt>
                <c:pt idx="41">
                  <c:v>82.16110019646365</c:v>
                </c:pt>
                <c:pt idx="42">
                  <c:v>82.226487523992304</c:v>
                </c:pt>
                <c:pt idx="43">
                  <c:v>82.288930581613499</c:v>
                </c:pt>
                <c:pt idx="44">
                  <c:v>82.348623853210995</c:v>
                </c:pt>
                <c:pt idx="45">
                  <c:v>82.40574506283663</c:v>
                </c:pt>
                <c:pt idx="46">
                  <c:v>82.460456942003503</c:v>
                </c:pt>
                <c:pt idx="47">
                  <c:v>82.512908777969017</c:v>
                </c:pt>
                <c:pt idx="48">
                  <c:v>82.563237774030341</c:v>
                </c:pt>
                <c:pt idx="49">
                  <c:v>82.611570247933869</c:v>
                </c:pt>
                <c:pt idx="50">
                  <c:v>82.658022690437576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F-48A5-A99D-9B4D044D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71936"/>
        <c:axId val="259457024"/>
      </c:scatterChart>
      <c:valAx>
        <c:axId val="24687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/>
                  <a:t>Biomass prey</a:t>
                </a:r>
              </a:p>
            </c:rich>
          </c:tx>
          <c:layout>
            <c:manualLayout>
              <c:xMode val="edge"/>
              <c:yMode val="edge"/>
              <c:x val="0.39482268599920151"/>
              <c:y val="0.91264560895405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457024"/>
        <c:crosses val="autoZero"/>
        <c:crossBetween val="midCat"/>
      </c:valAx>
      <c:valAx>
        <c:axId val="25945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/>
                  <a:t>Consumption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0.39770211482185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871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85725</xdr:rowOff>
    </xdr:from>
    <xdr:to>
      <xdr:col>18</xdr:col>
      <xdr:colOff>361950</xdr:colOff>
      <xdr:row>37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91"/>
  <sheetViews>
    <sheetView zoomScaleNormal="100" workbookViewId="0">
      <pane xSplit="2" ySplit="1" topLeftCell="C153" activePane="bottomRight" state="frozen"/>
      <selection pane="topRight" activeCell="E1" sqref="E1"/>
      <selection pane="bottomLeft" activeCell="A368" sqref="A368"/>
      <selection pane="bottomRight" activeCell="A120" sqref="A120:XFD178"/>
    </sheetView>
  </sheetViews>
  <sheetFormatPr defaultRowHeight="15" x14ac:dyDescent="0.25"/>
  <cols>
    <col min="1" max="23" width="9.140625" style="4"/>
    <col min="24" max="24" width="27.85546875" style="4" customWidth="1"/>
    <col min="25" max="16384" width="9.140625" style="4"/>
  </cols>
  <sheetData>
    <row r="1" spans="1:4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400</v>
      </c>
      <c r="P1" s="1" t="s">
        <v>401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40" x14ac:dyDescent="0.25">
      <c r="A2" s="4" t="s">
        <v>21</v>
      </c>
      <c r="B2" s="4" t="s">
        <v>22</v>
      </c>
      <c r="C2" s="4">
        <v>1</v>
      </c>
      <c r="D2" s="4">
        <v>1</v>
      </c>
      <c r="E2" s="4">
        <v>1</v>
      </c>
      <c r="F2" s="4">
        <v>49.194905069999997</v>
      </c>
      <c r="G2" s="4">
        <v>130.36649840000001</v>
      </c>
      <c r="H2" s="4">
        <v>20.47</v>
      </c>
      <c r="I2" s="4">
        <v>2.0469999999999999E-2</v>
      </c>
      <c r="J2" s="4">
        <v>2.05E-5</v>
      </c>
      <c r="K2" s="4">
        <v>4.5128570999999999E-2</v>
      </c>
      <c r="L2" s="4">
        <v>1.6E-2</v>
      </c>
      <c r="M2" s="4">
        <v>3</v>
      </c>
      <c r="N2" s="4">
        <v>10.85590298</v>
      </c>
      <c r="O2" s="4">
        <v>4.312265116177349E-3</v>
      </c>
      <c r="P2" s="4">
        <v>1.953965355498311</v>
      </c>
      <c r="Q2" s="4">
        <v>4.9630720029657098</v>
      </c>
      <c r="R2" s="4">
        <v>1.9560128803047006</v>
      </c>
      <c r="S2" s="4">
        <v>4.7008240334167279</v>
      </c>
      <c r="T2" s="4">
        <v>12.457183688554329</v>
      </c>
      <c r="U2" s="4">
        <v>11</v>
      </c>
      <c r="V2" s="4">
        <v>0.6</v>
      </c>
      <c r="W2" s="4">
        <v>0</v>
      </c>
    </row>
    <row r="3" spans="1:40" x14ac:dyDescent="0.25">
      <c r="A3" s="4" t="s">
        <v>23</v>
      </c>
      <c r="B3" s="4" t="s">
        <v>24</v>
      </c>
      <c r="C3" s="4">
        <v>1</v>
      </c>
      <c r="D3" s="4">
        <v>3</v>
      </c>
      <c r="E3" s="4">
        <v>3</v>
      </c>
      <c r="F3" s="4">
        <v>829.48845900000003</v>
      </c>
      <c r="G3" s="4">
        <v>2197.74442</v>
      </c>
      <c r="H3" s="4">
        <v>345.15014780000001</v>
      </c>
      <c r="I3" s="4">
        <v>0.34515014799999999</v>
      </c>
      <c r="J3" s="4">
        <v>3.4515000000000001E-4</v>
      </c>
      <c r="K3" s="4">
        <v>0.76092491900000003</v>
      </c>
      <c r="L3" s="4">
        <v>0.03</v>
      </c>
      <c r="M3" s="4">
        <v>3</v>
      </c>
      <c r="N3" s="4">
        <v>30.046246140000001</v>
      </c>
      <c r="O3" s="4">
        <v>41.381880133243143</v>
      </c>
      <c r="P3" s="4">
        <v>33.673223297257124</v>
      </c>
      <c r="Q3" s="4">
        <v>85.529987175033099</v>
      </c>
      <c r="R3" s="4">
        <v>18770.527407554655</v>
      </c>
      <c r="S3" s="4">
        <v>45110.616216185175</v>
      </c>
      <c r="T3" s="4">
        <v>119543.13297289071</v>
      </c>
      <c r="U3" s="4">
        <v>330</v>
      </c>
      <c r="V3" s="4">
        <v>0.1</v>
      </c>
      <c r="W3" s="4">
        <v>0</v>
      </c>
    </row>
    <row r="4" spans="1:40" x14ac:dyDescent="0.25">
      <c r="A4" s="4" t="s">
        <v>25</v>
      </c>
      <c r="B4" s="4" t="s">
        <v>26</v>
      </c>
      <c r="C4" s="4">
        <v>1</v>
      </c>
      <c r="D4" s="4">
        <v>3</v>
      </c>
      <c r="E4" s="4">
        <v>3</v>
      </c>
      <c r="F4" s="4">
        <v>829.48845900000003</v>
      </c>
      <c r="G4" s="4">
        <v>2197.74442</v>
      </c>
      <c r="H4" s="4">
        <v>345.15014780000001</v>
      </c>
      <c r="I4" s="4">
        <v>0.34515014799999999</v>
      </c>
      <c r="J4" s="4">
        <v>3.4515000000000001E-4</v>
      </c>
      <c r="K4" s="4">
        <v>0.76092491900000003</v>
      </c>
      <c r="L4" s="4">
        <v>2.1399999999999999E-2</v>
      </c>
      <c r="M4" s="4">
        <v>2.96</v>
      </c>
      <c r="N4" s="4">
        <v>26.392744749999999</v>
      </c>
      <c r="O4" s="4">
        <v>25.557613093704639</v>
      </c>
      <c r="P4" s="4">
        <v>34.060551864544379</v>
      </c>
      <c r="Q4" s="4">
        <v>86.513801735942721</v>
      </c>
      <c r="R4" s="4">
        <v>11592.752081403887</v>
      </c>
      <c r="S4" s="4">
        <v>27860.495268935083</v>
      </c>
      <c r="T4" s="4">
        <v>73830.312462677961</v>
      </c>
      <c r="U4" s="4">
        <v>358.7</v>
      </c>
      <c r="V4" s="4">
        <v>9.1999999999999998E-2</v>
      </c>
      <c r="W4" s="4">
        <v>0</v>
      </c>
    </row>
    <row r="5" spans="1:40" x14ac:dyDescent="0.25">
      <c r="A5" s="4" t="s">
        <v>27</v>
      </c>
      <c r="B5" s="4" t="s">
        <v>28</v>
      </c>
      <c r="C5" s="4">
        <v>1</v>
      </c>
      <c r="D5" s="4">
        <v>1</v>
      </c>
      <c r="E5" s="4">
        <v>1</v>
      </c>
      <c r="F5" s="4">
        <v>269.40639270000003</v>
      </c>
      <c r="G5" s="4">
        <v>713.92694070000005</v>
      </c>
      <c r="H5" s="4">
        <v>112.1</v>
      </c>
      <c r="I5" s="4">
        <v>0.11210000000000001</v>
      </c>
      <c r="J5" s="4">
        <v>1.121E-4</v>
      </c>
      <c r="K5" s="4">
        <v>0.24713790199999999</v>
      </c>
      <c r="L5" s="4">
        <v>1.0999999999999999E-2</v>
      </c>
      <c r="M5" s="4">
        <v>2.9</v>
      </c>
      <c r="N5" s="4">
        <v>24.106956749999998</v>
      </c>
      <c r="O5" s="4">
        <v>9.2034509503643405E-2</v>
      </c>
      <c r="P5" s="4">
        <v>6.7512089601665028</v>
      </c>
      <c r="Q5" s="4">
        <v>17.148070758822918</v>
      </c>
      <c r="R5" s="4">
        <v>41.746200934239646</v>
      </c>
      <c r="S5" s="4">
        <v>100.32732740744927</v>
      </c>
      <c r="T5" s="4">
        <v>265.86741762974054</v>
      </c>
      <c r="U5" s="4">
        <v>94.6</v>
      </c>
      <c r="V5" s="4">
        <v>0.2</v>
      </c>
      <c r="W5" s="4">
        <v>0</v>
      </c>
    </row>
    <row r="6" spans="1:40" x14ac:dyDescent="0.25">
      <c r="A6" s="4" t="s">
        <v>29</v>
      </c>
      <c r="B6" s="4" t="s">
        <v>30</v>
      </c>
      <c r="C6" s="4">
        <v>1</v>
      </c>
      <c r="D6" s="4">
        <v>7</v>
      </c>
      <c r="E6" s="2">
        <v>7</v>
      </c>
      <c r="F6" s="4">
        <v>1355.00938</v>
      </c>
      <c r="G6" s="4">
        <v>3590.52486</v>
      </c>
      <c r="H6" s="4">
        <v>563.81940299999997</v>
      </c>
      <c r="I6" s="4">
        <v>0.563819403</v>
      </c>
      <c r="J6" s="4">
        <v>5.6381900000000002E-4</v>
      </c>
      <c r="K6" s="4">
        <v>1.243007532</v>
      </c>
      <c r="L6" s="4">
        <v>3.2499999999999999E-3</v>
      </c>
      <c r="M6" s="4">
        <v>3</v>
      </c>
      <c r="N6" s="4">
        <v>55.772342469999998</v>
      </c>
      <c r="O6" s="4">
        <v>27.496406542055972</v>
      </c>
      <c r="P6" s="4">
        <v>61.63857107120932</v>
      </c>
      <c r="Q6" s="4">
        <v>156.56197052087168</v>
      </c>
      <c r="R6" s="4">
        <v>12472.175042436325</v>
      </c>
      <c r="S6" s="4">
        <v>29973.984721067831</v>
      </c>
      <c r="T6" s="4">
        <v>79431.059510829742</v>
      </c>
      <c r="U6" s="4">
        <v>311</v>
      </c>
      <c r="V6" s="4">
        <v>0.1</v>
      </c>
      <c r="W6" s="4">
        <v>0</v>
      </c>
    </row>
    <row r="7" spans="1:40" x14ac:dyDescent="0.25">
      <c r="A7" s="2" t="s">
        <v>31</v>
      </c>
      <c r="B7" s="4" t="s">
        <v>32</v>
      </c>
      <c r="C7" s="4">
        <v>1</v>
      </c>
      <c r="D7" s="4">
        <v>1</v>
      </c>
      <c r="E7" s="4">
        <v>1</v>
      </c>
      <c r="F7" s="4">
        <v>49.194905069999997</v>
      </c>
      <c r="G7" s="4">
        <v>130.36649840000001</v>
      </c>
      <c r="H7" s="4">
        <v>20.469999999626999</v>
      </c>
      <c r="I7" s="4">
        <v>2.0469999999626998E-2</v>
      </c>
      <c r="J7" s="4">
        <v>2.0469999999626999E-5</v>
      </c>
      <c r="K7" s="4">
        <v>4.5128571399177669E-2</v>
      </c>
      <c r="L7" s="3">
        <v>1.1599999999999999E-2</v>
      </c>
      <c r="M7" s="3">
        <v>3</v>
      </c>
      <c r="N7" s="4">
        <v>12.084256948656494</v>
      </c>
      <c r="O7" s="4">
        <v>0.13993882197345583</v>
      </c>
      <c r="P7" s="4">
        <v>6.9376935203618979</v>
      </c>
      <c r="Q7" s="4">
        <v>17.621741541719221</v>
      </c>
      <c r="R7" s="2">
        <v>63.475257401935856</v>
      </c>
      <c r="S7" s="2">
        <v>152.54808315774056</v>
      </c>
      <c r="T7" s="2">
        <v>404.25242036801251</v>
      </c>
      <c r="U7" s="2">
        <v>29.172666666666665</v>
      </c>
      <c r="V7" s="2">
        <v>0.92646666666666677</v>
      </c>
      <c r="W7" s="2">
        <v>0</v>
      </c>
      <c r="AN7" s="2"/>
    </row>
    <row r="8" spans="1:40" x14ac:dyDescent="0.25">
      <c r="A8" s="4" t="s">
        <v>33</v>
      </c>
      <c r="B8" s="4" t="s">
        <v>34</v>
      </c>
      <c r="C8" s="4">
        <v>1</v>
      </c>
      <c r="D8" s="4">
        <v>2</v>
      </c>
      <c r="E8" s="4">
        <v>2</v>
      </c>
      <c r="F8" s="4">
        <v>127.5414564</v>
      </c>
      <c r="G8" s="4">
        <v>337.98485950000003</v>
      </c>
      <c r="H8" s="4">
        <v>53.070000010000001</v>
      </c>
      <c r="I8" s="4">
        <v>5.3069999999999999E-2</v>
      </c>
      <c r="J8" s="4">
        <v>5.3100000000000003E-5</v>
      </c>
      <c r="K8" s="4">
        <v>0.11699918300000001</v>
      </c>
      <c r="L8" s="4">
        <v>1.4999999999999999E-2</v>
      </c>
      <c r="M8" s="4">
        <v>3</v>
      </c>
      <c r="N8" s="4">
        <v>15.23769499</v>
      </c>
      <c r="O8" s="4">
        <v>0.23401738730824392</v>
      </c>
      <c r="P8" s="4">
        <v>7.5585877301431781</v>
      </c>
      <c r="Q8" s="4">
        <v>19.198812834563672</v>
      </c>
      <c r="R8" s="4">
        <v>106.1486275676733</v>
      </c>
      <c r="S8" s="4">
        <v>255.10364712250257</v>
      </c>
      <c r="T8" s="4">
        <v>676.02466487463175</v>
      </c>
      <c r="U8" s="4">
        <v>58.9</v>
      </c>
      <c r="V8" s="4">
        <v>0.22</v>
      </c>
      <c r="W8" s="4">
        <v>0.20699999999999999</v>
      </c>
    </row>
    <row r="9" spans="1:40" x14ac:dyDescent="0.25">
      <c r="A9" s="4" t="s">
        <v>35</v>
      </c>
      <c r="B9" s="4" t="s">
        <v>36</v>
      </c>
      <c r="C9" s="4">
        <v>1</v>
      </c>
      <c r="D9" s="4">
        <v>1</v>
      </c>
      <c r="E9" s="4">
        <v>1</v>
      </c>
      <c r="F9" s="4">
        <v>49.194905069999997</v>
      </c>
      <c r="G9" s="4">
        <v>130.36649840000001</v>
      </c>
      <c r="H9" s="4">
        <v>20.47</v>
      </c>
      <c r="I9" s="4">
        <v>2.0469999999999999E-2</v>
      </c>
      <c r="J9" s="4">
        <v>2.05E-5</v>
      </c>
      <c r="K9" s="4">
        <v>4.5128570999999999E-2</v>
      </c>
      <c r="L9" s="4">
        <v>2.1000000000000001E-2</v>
      </c>
      <c r="M9" s="4">
        <v>3</v>
      </c>
      <c r="N9" s="4">
        <v>9.9151551869999999</v>
      </c>
      <c r="O9" s="4">
        <v>9.3601330346887154E-2</v>
      </c>
      <c r="P9" s="4">
        <v>4.9782413133617949</v>
      </c>
      <c r="Q9" s="4">
        <v>12.64473293593896</v>
      </c>
      <c r="R9" s="4">
        <v>42.45689975909098</v>
      </c>
      <c r="S9" s="4">
        <v>102.03532746717372</v>
      </c>
      <c r="T9" s="4">
        <v>270.39361778801032</v>
      </c>
      <c r="U9" s="4">
        <v>21.02</v>
      </c>
      <c r="V9" s="4">
        <v>0.86</v>
      </c>
      <c r="W9" s="4">
        <v>-6.9989999999999997E-2</v>
      </c>
    </row>
    <row r="10" spans="1:40" x14ac:dyDescent="0.25">
      <c r="A10" s="4" t="s">
        <v>37</v>
      </c>
      <c r="B10" s="4" t="s">
        <v>38</v>
      </c>
      <c r="C10" s="4">
        <v>1</v>
      </c>
      <c r="D10" s="4">
        <v>9</v>
      </c>
      <c r="E10" s="4">
        <v>9</v>
      </c>
      <c r="F10" s="4">
        <v>1513105530</v>
      </c>
      <c r="G10" s="4">
        <v>4009729654</v>
      </c>
      <c r="H10" s="4">
        <v>629603211</v>
      </c>
      <c r="I10" s="4">
        <v>629603.21100000001</v>
      </c>
      <c r="J10" s="4">
        <v>629.60321099999999</v>
      </c>
      <c r="K10" s="4">
        <v>1388035.831</v>
      </c>
      <c r="L10" s="2">
        <v>6.0000000000000001E-3</v>
      </c>
      <c r="M10" s="4">
        <v>3</v>
      </c>
      <c r="N10" s="4">
        <v>1465.5893920000001</v>
      </c>
      <c r="O10" s="4">
        <v>118018.26184449303</v>
      </c>
      <c r="P10" s="4">
        <v>816.55922638604397</v>
      </c>
      <c r="Q10" s="4">
        <v>2074.0604350205517</v>
      </c>
      <c r="R10" s="2">
        <v>53532246.75658074</v>
      </c>
      <c r="S10" s="2">
        <v>128652359.42461124</v>
      </c>
      <c r="T10" s="2">
        <v>340928752.47521979</v>
      </c>
      <c r="U10" s="2">
        <v>2097.3599999999997</v>
      </c>
      <c r="V10" s="2">
        <v>0.5</v>
      </c>
      <c r="W10" s="2">
        <v>0</v>
      </c>
    </row>
    <row r="11" spans="1:40" x14ac:dyDescent="0.25">
      <c r="A11" s="4" t="s">
        <v>39</v>
      </c>
      <c r="B11" s="4" t="s">
        <v>40</v>
      </c>
      <c r="C11" s="4">
        <v>1</v>
      </c>
      <c r="D11" s="4">
        <v>2</v>
      </c>
      <c r="E11" s="4">
        <v>2</v>
      </c>
      <c r="F11" s="4">
        <v>309.3006489</v>
      </c>
      <c r="G11" s="4">
        <v>819.64671959999998</v>
      </c>
      <c r="H11" s="4">
        <v>128.69999999999999</v>
      </c>
      <c r="I11" s="4">
        <v>0.12870000000000001</v>
      </c>
      <c r="J11" s="4">
        <v>1.2870000000000001E-4</v>
      </c>
      <c r="K11" s="4">
        <v>0.28373459400000001</v>
      </c>
      <c r="L11" s="4">
        <v>1.2E-2</v>
      </c>
      <c r="M11" s="4">
        <v>3</v>
      </c>
      <c r="N11" s="4">
        <v>22.05290299</v>
      </c>
      <c r="O11" s="4">
        <v>0.584573627345923</v>
      </c>
      <c r="P11" s="4">
        <v>11.0477632758948</v>
      </c>
      <c r="Q11" s="4">
        <v>28.061318720772793</v>
      </c>
      <c r="R11" s="4">
        <v>265.15845240718266</v>
      </c>
      <c r="S11" s="4">
        <v>637.24694161783873</v>
      </c>
      <c r="T11" s="4">
        <v>1688.7043952872725</v>
      </c>
      <c r="U11" s="4">
        <v>150.93</v>
      </c>
      <c r="V11" s="4">
        <v>0.11</v>
      </c>
      <c r="W11" s="4">
        <v>0.13</v>
      </c>
    </row>
    <row r="12" spans="1:40" x14ac:dyDescent="0.25">
      <c r="A12" s="4" t="s">
        <v>41</v>
      </c>
      <c r="B12" s="4" t="s">
        <v>42</v>
      </c>
      <c r="C12" s="4">
        <v>1</v>
      </c>
      <c r="D12" s="4">
        <v>4</v>
      </c>
      <c r="E12" s="4">
        <v>4</v>
      </c>
      <c r="F12" s="4">
        <v>343.77932070000003</v>
      </c>
      <c r="G12" s="4">
        <v>911.0151998</v>
      </c>
      <c r="H12" s="4">
        <v>143.0465753</v>
      </c>
      <c r="I12" s="4">
        <v>0.14304657500000001</v>
      </c>
      <c r="J12" s="4">
        <v>1.4304699999999999E-4</v>
      </c>
      <c r="K12" s="4">
        <v>0.31536334100000002</v>
      </c>
      <c r="L12" s="4">
        <v>1.34E-2</v>
      </c>
      <c r="M12" s="4">
        <v>3.1</v>
      </c>
      <c r="N12" s="4">
        <v>19.928520320000001</v>
      </c>
      <c r="O12" s="4">
        <v>2.0449819515939427</v>
      </c>
      <c r="P12" s="4">
        <v>14.339617063112403</v>
      </c>
      <c r="Q12" s="4">
        <v>36.422627340305503</v>
      </c>
      <c r="R12" s="4">
        <v>927.58931316686903</v>
      </c>
      <c r="S12" s="4">
        <v>2229.246126332298</v>
      </c>
      <c r="T12" s="4">
        <v>5907.5022347805898</v>
      </c>
      <c r="U12" s="4">
        <v>91.5</v>
      </c>
      <c r="V12" s="4">
        <v>0.12690000000000001</v>
      </c>
      <c r="W12" s="4">
        <v>0</v>
      </c>
    </row>
    <row r="13" spans="1:40" x14ac:dyDescent="0.25">
      <c r="A13" s="4" t="s">
        <v>43</v>
      </c>
      <c r="B13" s="4" t="s">
        <v>44</v>
      </c>
      <c r="C13" s="4">
        <v>1</v>
      </c>
      <c r="D13" s="4">
        <v>2</v>
      </c>
      <c r="E13" s="4">
        <v>2</v>
      </c>
      <c r="F13" s="4">
        <v>127.5414564</v>
      </c>
      <c r="G13" s="4">
        <v>337.98485950000003</v>
      </c>
      <c r="H13" s="4">
        <v>53.070000010000001</v>
      </c>
      <c r="I13" s="4">
        <v>5.3069999999999999E-2</v>
      </c>
      <c r="J13" s="4">
        <v>5.3100000000000003E-5</v>
      </c>
      <c r="K13" s="4">
        <v>0.11699918300000001</v>
      </c>
      <c r="L13" s="4">
        <v>1.44E-2</v>
      </c>
      <c r="M13" s="4">
        <v>3</v>
      </c>
      <c r="N13" s="4">
        <v>15.44645648</v>
      </c>
      <c r="O13" s="4">
        <v>0.71114115274024581</v>
      </c>
      <c r="P13" s="4">
        <v>11.098206692228981</v>
      </c>
      <c r="Q13" s="4">
        <v>28.189444998261614</v>
      </c>
      <c r="R13" s="2">
        <v>322.56858449086275</v>
      </c>
      <c r="S13" s="2">
        <v>775.21890048272712</v>
      </c>
      <c r="T13" s="2">
        <v>2054.3300862792266</v>
      </c>
      <c r="U13" s="2">
        <v>47.633333333333333</v>
      </c>
      <c r="V13" s="2">
        <v>0.44799999999999995</v>
      </c>
      <c r="W13" s="2">
        <v>0</v>
      </c>
    </row>
    <row r="14" spans="1:40" x14ac:dyDescent="0.25">
      <c r="A14" s="4" t="s">
        <v>45</v>
      </c>
      <c r="B14" s="4" t="s">
        <v>46</v>
      </c>
      <c r="C14" s="4">
        <v>1</v>
      </c>
      <c r="D14" s="4">
        <v>5</v>
      </c>
      <c r="E14" s="4">
        <v>5</v>
      </c>
      <c r="F14" s="4">
        <v>819.66597860000002</v>
      </c>
      <c r="G14" s="4">
        <v>2172.1148429999998</v>
      </c>
      <c r="H14" s="4">
        <v>341.0630137</v>
      </c>
      <c r="I14" s="4">
        <v>0.341063014</v>
      </c>
      <c r="J14" s="4">
        <v>3.4106300000000001E-4</v>
      </c>
      <c r="K14" s="4">
        <v>0.75191434099999999</v>
      </c>
      <c r="L14" s="4">
        <v>3.96E-3</v>
      </c>
      <c r="M14" s="4">
        <v>3.2</v>
      </c>
      <c r="N14" s="4">
        <v>34.852270400000002</v>
      </c>
      <c r="O14" s="4">
        <v>236.49415018863132</v>
      </c>
      <c r="P14" s="4">
        <v>82.777750262180959</v>
      </c>
      <c r="Q14" s="4">
        <v>210.25548566593963</v>
      </c>
      <c r="R14" s="2">
        <v>107272.06964857042</v>
      </c>
      <c r="S14" s="2">
        <v>257803.58002540361</v>
      </c>
      <c r="T14" s="2">
        <v>683179.48706731957</v>
      </c>
      <c r="U14" s="2">
        <v>300.78571428571428</v>
      </c>
      <c r="V14" s="2">
        <v>0.24014285714285719</v>
      </c>
      <c r="W14" s="2">
        <v>0</v>
      </c>
    </row>
    <row r="15" spans="1:40" x14ac:dyDescent="0.25">
      <c r="A15" s="2" t="s">
        <v>47</v>
      </c>
      <c r="B15" s="4" t="s">
        <v>48</v>
      </c>
      <c r="C15" s="4">
        <v>1</v>
      </c>
      <c r="D15" s="4">
        <v>1</v>
      </c>
      <c r="E15" s="4">
        <v>1</v>
      </c>
      <c r="F15" s="4">
        <v>48.065368900000003</v>
      </c>
      <c r="G15" s="4">
        <v>127.37322760000001</v>
      </c>
      <c r="H15" s="4">
        <v>19.999999999290001</v>
      </c>
      <c r="I15" s="4">
        <v>1.9999999999290002E-2</v>
      </c>
      <c r="J15" s="4">
        <v>1.9999999999290002E-5</v>
      </c>
      <c r="K15" s="4">
        <v>4.4092399998434721E-2</v>
      </c>
      <c r="L15" s="3">
        <v>1.23E-2</v>
      </c>
      <c r="M15" s="3">
        <v>3.2</v>
      </c>
      <c r="N15" s="4">
        <v>10.080371233277278</v>
      </c>
      <c r="O15" s="4">
        <v>0.25186145377015484</v>
      </c>
      <c r="P15" s="4">
        <v>6.8413557525043736</v>
      </c>
      <c r="Q15" s="4">
        <v>17.37704361136111</v>
      </c>
      <c r="R15" s="2">
        <v>114.24256959029441</v>
      </c>
      <c r="S15" s="2">
        <v>274.55556258181787</v>
      </c>
      <c r="T15" s="2">
        <v>727.57224084181735</v>
      </c>
      <c r="U15" s="2">
        <v>39.200000000000003</v>
      </c>
      <c r="V15" s="2">
        <v>0.58571428571428563</v>
      </c>
      <c r="W15" s="2">
        <v>0</v>
      </c>
    </row>
    <row r="16" spans="1:40" x14ac:dyDescent="0.25">
      <c r="A16" s="2" t="s">
        <v>49</v>
      </c>
      <c r="B16" s="4" t="s">
        <v>50</v>
      </c>
      <c r="C16" s="4">
        <v>1</v>
      </c>
      <c r="D16" s="4">
        <v>1</v>
      </c>
      <c r="E16" s="4">
        <v>1</v>
      </c>
      <c r="F16" s="4">
        <v>127.5414564</v>
      </c>
      <c r="G16" s="4">
        <v>337.98485950000003</v>
      </c>
      <c r="H16" s="4">
        <v>53.070000008040005</v>
      </c>
      <c r="I16" s="4">
        <v>5.3070000008040005E-2</v>
      </c>
      <c r="J16" s="4">
        <v>5.3070000008040008E-5</v>
      </c>
      <c r="K16" s="4">
        <v>0.11699918341772515</v>
      </c>
      <c r="L16" s="3">
        <v>1.2E-2</v>
      </c>
      <c r="M16" s="3">
        <v>3.1</v>
      </c>
      <c r="N16" s="4">
        <v>14.997604075732943</v>
      </c>
      <c r="O16" s="4">
        <v>4.4008721087089593E-2</v>
      </c>
      <c r="P16" s="4">
        <v>4.307310756443238</v>
      </c>
      <c r="Q16" s="4">
        <v>10.940569321365825</v>
      </c>
      <c r="R16" s="2">
        <v>19.962043838434557</v>
      </c>
      <c r="S16" s="2">
        <v>47.974150056319537</v>
      </c>
      <c r="T16" s="2">
        <v>127.13149764924677</v>
      </c>
      <c r="U16" s="2">
        <v>54.3</v>
      </c>
      <c r="V16" s="2">
        <v>0.22500000000000001</v>
      </c>
      <c r="W16" s="2">
        <v>0</v>
      </c>
    </row>
    <row r="17" spans="1:23" x14ac:dyDescent="0.25">
      <c r="A17" s="2" t="s">
        <v>51</v>
      </c>
      <c r="B17" s="4" t="s">
        <v>52</v>
      </c>
      <c r="C17" s="4">
        <v>1</v>
      </c>
      <c r="D17" s="4">
        <v>1</v>
      </c>
      <c r="E17" s="4">
        <v>1</v>
      </c>
      <c r="F17" s="4">
        <v>476.02739730000002</v>
      </c>
      <c r="G17" s="4">
        <v>1261.4726029999999</v>
      </c>
      <c r="H17" s="4">
        <v>198.07500001653005</v>
      </c>
      <c r="I17" s="4">
        <v>0.19807500001653006</v>
      </c>
      <c r="J17" s="4">
        <v>1.9807500001653005E-4</v>
      </c>
      <c r="K17" s="4">
        <v>0.43668010653644246</v>
      </c>
      <c r="L17" s="3">
        <v>1.24E-2</v>
      </c>
      <c r="M17" s="3">
        <v>3.2</v>
      </c>
      <c r="N17" s="4">
        <v>20.585669387454402</v>
      </c>
      <c r="O17" s="4">
        <v>4.2411938413157834E-3</v>
      </c>
      <c r="P17" s="4">
        <v>1.9044529608533411</v>
      </c>
      <c r="Q17" s="4">
        <v>4.8373105205674864</v>
      </c>
      <c r="R17" s="2">
        <v>1.923775453962943</v>
      </c>
      <c r="S17" s="2">
        <v>4.6233488439388202</v>
      </c>
      <c r="T17" s="2">
        <v>12.251874436437873</v>
      </c>
      <c r="U17" s="4">
        <v>20.9</v>
      </c>
      <c r="V17" s="4">
        <v>0.19500000000000001</v>
      </c>
      <c r="W17" s="4">
        <v>-0.35</v>
      </c>
    </row>
    <row r="18" spans="1:23" x14ac:dyDescent="0.25">
      <c r="A18" s="4" t="s">
        <v>53</v>
      </c>
      <c r="B18" s="4" t="s">
        <v>54</v>
      </c>
      <c r="C18" s="4">
        <v>1</v>
      </c>
      <c r="D18" s="4">
        <v>2</v>
      </c>
      <c r="E18" s="4">
        <v>2</v>
      </c>
      <c r="F18" s="4">
        <v>476.02739730000002</v>
      </c>
      <c r="G18" s="4">
        <v>1261.4726029999999</v>
      </c>
      <c r="H18" s="4">
        <v>198.07499999999999</v>
      </c>
      <c r="I18" s="4">
        <v>0.198075</v>
      </c>
      <c r="J18" s="4">
        <v>1.98075E-4</v>
      </c>
      <c r="K18" s="4">
        <v>0.43668010699999998</v>
      </c>
      <c r="L18" s="4">
        <v>1.2E-2</v>
      </c>
      <c r="M18" s="4">
        <v>2.95</v>
      </c>
      <c r="N18" s="4">
        <v>26.897463590000001</v>
      </c>
      <c r="O18" s="4">
        <v>3.8588377440321391E-2</v>
      </c>
      <c r="P18" s="4">
        <v>4.6525262861153562</v>
      </c>
      <c r="Q18" s="4">
        <v>11.817416766733004</v>
      </c>
      <c r="R18" s="4">
        <v>17.503414393555982</v>
      </c>
      <c r="S18" s="4">
        <v>42.065403493285224</v>
      </c>
      <c r="T18" s="4">
        <v>111.47331925720584</v>
      </c>
      <c r="U18" s="4">
        <v>41</v>
      </c>
      <c r="V18" s="4">
        <v>0.17</v>
      </c>
      <c r="W18" s="4">
        <v>0</v>
      </c>
    </row>
    <row r="19" spans="1:23" x14ac:dyDescent="0.25">
      <c r="A19" s="4" t="s">
        <v>55</v>
      </c>
      <c r="B19" s="4" t="s">
        <v>56</v>
      </c>
      <c r="C19" s="4">
        <v>1</v>
      </c>
      <c r="D19" s="4">
        <v>1</v>
      </c>
      <c r="E19" s="4">
        <v>1</v>
      </c>
      <c r="F19" s="4">
        <v>32.684450849999998</v>
      </c>
      <c r="G19" s="4">
        <v>86.613794760000005</v>
      </c>
      <c r="H19" s="4">
        <v>13.6</v>
      </c>
      <c r="I19" s="4">
        <v>1.3599999999999999E-2</v>
      </c>
      <c r="J19" s="4">
        <v>1.36E-5</v>
      </c>
      <c r="K19" s="4">
        <v>2.9982832000000001E-2</v>
      </c>
      <c r="L19" s="4">
        <v>1.2999999999999999E-2</v>
      </c>
      <c r="M19" s="4">
        <v>3</v>
      </c>
      <c r="N19" s="4">
        <v>10.15153817</v>
      </c>
      <c r="O19" s="4">
        <v>5.8918280589254329E-2</v>
      </c>
      <c r="P19" s="4">
        <v>5.00599724669864</v>
      </c>
      <c r="Q19" s="4">
        <v>12.715233006614545</v>
      </c>
      <c r="R19" s="4">
        <v>26.724914311425248</v>
      </c>
      <c r="S19" s="4">
        <v>64.227143262257258</v>
      </c>
      <c r="T19" s="4">
        <v>170.20192964498173</v>
      </c>
      <c r="U19" s="4">
        <v>152</v>
      </c>
      <c r="V19" s="4">
        <v>9.6000000000000002E-2</v>
      </c>
      <c r="W19" s="4">
        <v>0.09</v>
      </c>
    </row>
    <row r="20" spans="1:23" x14ac:dyDescent="0.25">
      <c r="A20" s="4" t="s">
        <v>57</v>
      </c>
      <c r="B20" s="4" t="s">
        <v>58</v>
      </c>
      <c r="C20" s="4">
        <v>1</v>
      </c>
      <c r="D20" s="4">
        <v>2</v>
      </c>
      <c r="E20" s="4">
        <v>2</v>
      </c>
      <c r="F20" s="4">
        <v>290.55515500000001</v>
      </c>
      <c r="G20" s="4">
        <v>769.97116089999997</v>
      </c>
      <c r="H20" s="4">
        <v>120.9</v>
      </c>
      <c r="I20" s="4">
        <v>0.12089999999999999</v>
      </c>
      <c r="J20" s="4">
        <v>1.209E-4</v>
      </c>
      <c r="K20" s="4">
        <v>0.26653855799999998</v>
      </c>
      <c r="L20" s="4">
        <v>4.0000000000000001E-3</v>
      </c>
      <c r="M20" s="4">
        <v>3.1</v>
      </c>
      <c r="N20" s="4">
        <v>21.719413710000001</v>
      </c>
      <c r="O20" s="4">
        <v>0.82530599124171045</v>
      </c>
      <c r="P20" s="4">
        <v>15.804692329076595</v>
      </c>
      <c r="Q20" s="4">
        <v>40.143918515854551</v>
      </c>
      <c r="R20" s="4">
        <v>374.35294574199202</v>
      </c>
      <c r="S20" s="4">
        <v>899.67062182646498</v>
      </c>
      <c r="T20" s="4">
        <v>2384.1271478401322</v>
      </c>
      <c r="U20" s="4">
        <v>72.900000000000006</v>
      </c>
      <c r="V20" s="4">
        <v>0.4</v>
      </c>
      <c r="W20" s="4">
        <v>0</v>
      </c>
    </row>
    <row r="21" spans="1:23" x14ac:dyDescent="0.25">
      <c r="A21" s="4" t="s">
        <v>59</v>
      </c>
      <c r="B21" s="4" t="s">
        <v>60</v>
      </c>
      <c r="C21" s="4">
        <v>1</v>
      </c>
      <c r="D21" s="4">
        <v>2</v>
      </c>
      <c r="E21" s="4">
        <v>2</v>
      </c>
      <c r="F21" s="4">
        <v>476.02739730000002</v>
      </c>
      <c r="G21" s="4">
        <v>1261.4726029999999</v>
      </c>
      <c r="H21" s="4">
        <v>198.07499999999999</v>
      </c>
      <c r="I21" s="4">
        <v>0.198075</v>
      </c>
      <c r="J21" s="4">
        <v>1.98075E-4</v>
      </c>
      <c r="K21" s="4">
        <v>0.43668010699999998</v>
      </c>
      <c r="L21" s="4">
        <v>1.6799999999999999E-2</v>
      </c>
      <c r="M21" s="4">
        <v>3.1</v>
      </c>
      <c r="N21" s="4">
        <v>20.577550299999999</v>
      </c>
      <c r="O21" s="4">
        <v>1.4079247080738808</v>
      </c>
      <c r="P21" s="4">
        <v>11.818575229523548</v>
      </c>
      <c r="Q21" s="4">
        <v>30.01918108298981</v>
      </c>
      <c r="R21" s="4">
        <v>638.62466460155531</v>
      </c>
      <c r="S21" s="4">
        <v>1534.7865046901115</v>
      </c>
      <c r="T21" s="4">
        <v>4067.1842374287953</v>
      </c>
      <c r="U21" s="4">
        <v>263.2</v>
      </c>
      <c r="V21" s="4">
        <v>7.0000000000000007E-2</v>
      </c>
      <c r="W21" s="4">
        <v>0.27</v>
      </c>
    </row>
    <row r="22" spans="1:23" x14ac:dyDescent="0.25">
      <c r="A22" s="4" t="s">
        <v>61</v>
      </c>
      <c r="B22" s="4" t="s">
        <v>62</v>
      </c>
      <c r="C22" s="4">
        <v>1</v>
      </c>
      <c r="D22" s="4">
        <v>1</v>
      </c>
      <c r="E22" s="4">
        <v>1</v>
      </c>
      <c r="F22" s="4">
        <v>16.822879109999999</v>
      </c>
      <c r="G22" s="4">
        <v>44.580629649999999</v>
      </c>
      <c r="H22" s="4">
        <v>6.9999999979999998</v>
      </c>
      <c r="I22" s="4">
        <v>7.0000000000000001E-3</v>
      </c>
      <c r="J22" s="4">
        <v>6.9999999999999999E-6</v>
      </c>
      <c r="K22" s="4">
        <v>1.5432339999999999E-2</v>
      </c>
      <c r="L22" s="4">
        <v>1.2500000000000001E-2</v>
      </c>
      <c r="M22" s="4">
        <v>3</v>
      </c>
      <c r="N22" s="4">
        <v>8.2425705990000004</v>
      </c>
      <c r="O22" s="4">
        <v>2.5441272143766646E-3</v>
      </c>
      <c r="P22" s="4">
        <v>1.7793633426790521</v>
      </c>
      <c r="Q22" s="4">
        <v>4.5195828904047923</v>
      </c>
      <c r="R22" s="4">
        <v>1.1539980651435007</v>
      </c>
      <c r="S22" s="4">
        <v>2.773367135648884</v>
      </c>
      <c r="T22" s="4">
        <v>7.349422909469542</v>
      </c>
      <c r="U22" s="4">
        <v>33.700000000000003</v>
      </c>
      <c r="V22" s="4">
        <v>0.32</v>
      </c>
      <c r="W22" s="4">
        <v>0.55000000000000004</v>
      </c>
    </row>
    <row r="23" spans="1:23" x14ac:dyDescent="0.25">
      <c r="A23" s="4" t="s">
        <v>63</v>
      </c>
      <c r="B23" s="4" t="s">
        <v>64</v>
      </c>
      <c r="C23" s="4">
        <v>1</v>
      </c>
      <c r="D23" s="4">
        <v>2</v>
      </c>
      <c r="E23" s="4">
        <v>2</v>
      </c>
      <c r="F23" s="4">
        <v>127.5414564</v>
      </c>
      <c r="G23" s="4">
        <v>337.98485950000003</v>
      </c>
      <c r="H23" s="4">
        <v>53.070000010000001</v>
      </c>
      <c r="I23" s="4">
        <v>5.3069999999999999E-2</v>
      </c>
      <c r="J23" s="4">
        <v>5.3100000000000003E-5</v>
      </c>
      <c r="K23" s="4">
        <v>0.11699918300000001</v>
      </c>
      <c r="L23" s="4">
        <v>1.2E-2</v>
      </c>
      <c r="M23" s="4">
        <v>3.1</v>
      </c>
      <c r="N23" s="4">
        <v>14.99760408</v>
      </c>
      <c r="O23" s="4">
        <v>0.60670467650071125</v>
      </c>
      <c r="P23" s="4">
        <v>10.0407705456392</v>
      </c>
      <c r="Q23" s="4">
        <v>25.503557185923569</v>
      </c>
      <c r="R23" s="4">
        <v>275.19693938216619</v>
      </c>
      <c r="S23" s="4">
        <v>661.37212060121658</v>
      </c>
      <c r="T23" s="4">
        <v>1752.6361195932238</v>
      </c>
      <c r="U23" s="4">
        <v>42.5</v>
      </c>
      <c r="V23" s="4">
        <v>0.47</v>
      </c>
      <c r="W23" s="4">
        <v>0.05</v>
      </c>
    </row>
    <row r="24" spans="1:23" x14ac:dyDescent="0.25">
      <c r="A24" s="4" t="s">
        <v>65</v>
      </c>
      <c r="B24" s="4" t="s">
        <v>66</v>
      </c>
      <c r="C24" s="4">
        <v>1</v>
      </c>
      <c r="D24" s="4">
        <v>3</v>
      </c>
      <c r="E24" s="4">
        <v>3</v>
      </c>
      <c r="F24" s="4">
        <v>350</v>
      </c>
      <c r="G24" s="4">
        <v>927.5</v>
      </c>
      <c r="H24" s="4">
        <v>145.63499999999999</v>
      </c>
      <c r="I24" s="4">
        <v>0.14563499999999999</v>
      </c>
      <c r="J24" s="4">
        <v>1.45635E-4</v>
      </c>
      <c r="K24" s="4">
        <v>0.321069834</v>
      </c>
      <c r="L24" s="4">
        <v>1.2699999999999999E-2</v>
      </c>
      <c r="M24" s="4">
        <v>3.1</v>
      </c>
      <c r="N24" s="4">
        <v>20.394068969999999</v>
      </c>
      <c r="O24" s="4">
        <v>0.71421687962519242</v>
      </c>
      <c r="P24" s="4">
        <v>10.391543026968289</v>
      </c>
      <c r="Q24" s="4">
        <v>26.394519288499456</v>
      </c>
      <c r="R24" s="4">
        <v>323.9637123972351</v>
      </c>
      <c r="S24" s="4">
        <v>778.57176735696964</v>
      </c>
      <c r="T24" s="4">
        <v>2063.2151834959695</v>
      </c>
      <c r="U24" s="4">
        <v>58.5</v>
      </c>
      <c r="V24" s="4">
        <v>0.2</v>
      </c>
      <c r="W24" s="4">
        <v>0</v>
      </c>
    </row>
    <row r="25" spans="1:23" x14ac:dyDescent="0.25">
      <c r="A25" s="4" t="s">
        <v>67</v>
      </c>
      <c r="B25" s="4" t="s">
        <v>68</v>
      </c>
      <c r="C25" s="4">
        <v>1</v>
      </c>
      <c r="D25" s="4">
        <v>1</v>
      </c>
      <c r="E25" s="4">
        <v>1</v>
      </c>
      <c r="F25" s="4">
        <v>24.46</v>
      </c>
      <c r="G25" s="4">
        <v>64.84</v>
      </c>
      <c r="H25" s="4">
        <v>10.177806</v>
      </c>
      <c r="I25" s="4">
        <v>1.0177805999999999E-2</v>
      </c>
      <c r="J25" s="4">
        <v>1.0200000000000001E-5</v>
      </c>
      <c r="K25" s="4">
        <v>2.2438195000000001E-2</v>
      </c>
      <c r="L25" s="4">
        <v>1.29E-2</v>
      </c>
      <c r="M25" s="4">
        <v>3.05</v>
      </c>
      <c r="N25" s="4">
        <v>8.9095793360000002</v>
      </c>
      <c r="O25" s="4">
        <v>1.3890644189659731E-2</v>
      </c>
      <c r="P25" s="4">
        <v>2.9973655002853401</v>
      </c>
      <c r="Q25" s="4">
        <v>7.6133083707247637</v>
      </c>
      <c r="R25" s="4">
        <v>6.3006977119230214</v>
      </c>
      <c r="S25" s="4">
        <v>15.142267993085847</v>
      </c>
      <c r="T25" s="4">
        <v>40.127010181677491</v>
      </c>
      <c r="U25" s="4">
        <v>42</v>
      </c>
      <c r="V25" s="4">
        <v>0.2</v>
      </c>
      <c r="W25" s="4">
        <v>0</v>
      </c>
    </row>
    <row r="26" spans="1:23" x14ac:dyDescent="0.25">
      <c r="A26" s="4" t="s">
        <v>69</v>
      </c>
      <c r="B26" s="4" t="s">
        <v>70</v>
      </c>
      <c r="C26" s="4">
        <v>1</v>
      </c>
      <c r="D26" s="4">
        <v>1</v>
      </c>
      <c r="E26" s="4">
        <v>1</v>
      </c>
      <c r="F26" s="4">
        <v>48.065368900000003</v>
      </c>
      <c r="G26" s="4">
        <v>127.37322760000001</v>
      </c>
      <c r="H26" s="4">
        <v>20</v>
      </c>
      <c r="I26" s="4">
        <v>0.02</v>
      </c>
      <c r="J26" s="4">
        <v>2.0000000000000002E-5</v>
      </c>
      <c r="K26" s="4">
        <v>4.4092399999999997E-2</v>
      </c>
      <c r="L26" s="4">
        <v>0.01</v>
      </c>
      <c r="M26" s="4">
        <v>2.9</v>
      </c>
      <c r="N26" s="4">
        <v>13.749477840000001</v>
      </c>
      <c r="O26" s="4">
        <v>9.5162548772999445E-3</v>
      </c>
      <c r="P26" s="4">
        <v>3.1903079158645773</v>
      </c>
      <c r="Q26" s="4">
        <v>8.1033821062960261</v>
      </c>
      <c r="R26" s="4">
        <v>4.3165057367255786</v>
      </c>
      <c r="S26" s="4">
        <v>10.373722030102327</v>
      </c>
      <c r="T26" s="4">
        <v>27.490363379771164</v>
      </c>
      <c r="U26" s="4">
        <v>37.700000000000003</v>
      </c>
      <c r="V26" s="4">
        <v>0.24199999999999999</v>
      </c>
      <c r="W26" s="4">
        <v>0</v>
      </c>
    </row>
    <row r="27" spans="1:23" x14ac:dyDescent="0.25">
      <c r="A27" s="2" t="s">
        <v>71</v>
      </c>
      <c r="B27" s="4" t="s">
        <v>72</v>
      </c>
      <c r="C27" s="4">
        <v>1</v>
      </c>
      <c r="D27" s="4">
        <v>1</v>
      </c>
      <c r="E27" s="4">
        <v>1</v>
      </c>
      <c r="F27" s="4">
        <v>2.6676279740000002</v>
      </c>
      <c r="G27" s="4">
        <v>7.0692141299999998</v>
      </c>
      <c r="H27" s="4">
        <v>1.1099999999814001</v>
      </c>
      <c r="I27" s="4">
        <v>1.1099999999814002E-3</v>
      </c>
      <c r="J27" s="4">
        <v>1.1099999999814002E-6</v>
      </c>
      <c r="K27" s="4">
        <v>2.447128199958994E-3</v>
      </c>
      <c r="L27" s="3">
        <v>1.0999999999999999E-2</v>
      </c>
      <c r="M27" s="3">
        <v>3.01</v>
      </c>
      <c r="N27" s="4">
        <v>4.6318829138707471</v>
      </c>
      <c r="O27" s="4">
        <v>3.663653069333461E-4</v>
      </c>
      <c r="P27" s="4">
        <v>0.97033805761290604</v>
      </c>
      <c r="Q27" s="4">
        <v>2.4646586663367813</v>
      </c>
      <c r="R27" s="2">
        <v>0.16618070548817759</v>
      </c>
      <c r="S27" s="2">
        <v>0.39937684568175341</v>
      </c>
      <c r="T27" s="2">
        <v>1.0583486410566465</v>
      </c>
      <c r="U27" s="4">
        <v>9</v>
      </c>
      <c r="V27" s="4">
        <v>0.32</v>
      </c>
      <c r="W27" s="4">
        <v>0</v>
      </c>
    </row>
    <row r="28" spans="1:23" x14ac:dyDescent="0.25">
      <c r="A28" s="4" t="s">
        <v>73</v>
      </c>
      <c r="B28" s="4" t="s">
        <v>74</v>
      </c>
      <c r="C28" s="4">
        <v>1</v>
      </c>
      <c r="D28" s="4">
        <v>2</v>
      </c>
      <c r="E28" s="4">
        <v>2</v>
      </c>
      <c r="F28" s="4">
        <v>127.5414564</v>
      </c>
      <c r="G28" s="4">
        <v>337.98485950000003</v>
      </c>
      <c r="H28" s="4">
        <v>53.070000010000001</v>
      </c>
      <c r="I28" s="4">
        <v>5.3069999999999999E-2</v>
      </c>
      <c r="J28" s="4">
        <v>5.3100000000000003E-5</v>
      </c>
      <c r="K28" s="4">
        <v>0.11699918300000001</v>
      </c>
      <c r="L28" s="4">
        <v>1.4E-2</v>
      </c>
      <c r="M28" s="4">
        <v>2.8</v>
      </c>
      <c r="N28" s="4">
        <v>18.972067509999999</v>
      </c>
      <c r="O28" s="4">
        <v>0.29935257803298476</v>
      </c>
      <c r="P28" s="4">
        <v>10.447088938216606</v>
      </c>
      <c r="Q28" s="4">
        <v>26.535605903070181</v>
      </c>
      <c r="R28" s="4">
        <v>135.78420681704091</v>
      </c>
      <c r="S28" s="4">
        <v>326.32589958433289</v>
      </c>
      <c r="T28" s="4">
        <v>864.76363389848211</v>
      </c>
      <c r="U28" s="4">
        <v>43</v>
      </c>
      <c r="V28" s="4">
        <v>0.48</v>
      </c>
      <c r="W28" s="4">
        <v>0</v>
      </c>
    </row>
    <row r="29" spans="1:23" x14ac:dyDescent="0.25">
      <c r="A29" s="4" t="s">
        <v>75</v>
      </c>
      <c r="B29" s="4" t="s">
        <v>76</v>
      </c>
      <c r="C29" s="4">
        <v>1</v>
      </c>
      <c r="D29" s="4">
        <v>2</v>
      </c>
      <c r="E29" s="4">
        <v>2</v>
      </c>
      <c r="F29" s="4">
        <v>127.5414564</v>
      </c>
      <c r="G29" s="4">
        <v>337.98485950000003</v>
      </c>
      <c r="H29" s="4">
        <v>53.070000010000001</v>
      </c>
      <c r="I29" s="4">
        <v>5.3069999999999999E-2</v>
      </c>
      <c r="J29" s="4">
        <v>5.3100000000000003E-5</v>
      </c>
      <c r="K29" s="4">
        <v>0.11699918300000001</v>
      </c>
      <c r="L29" s="4">
        <v>2.5000000000000001E-3</v>
      </c>
      <c r="M29" s="4">
        <v>3.1</v>
      </c>
      <c r="N29" s="4">
        <v>24.875803770000001</v>
      </c>
      <c r="O29" s="4">
        <v>9.8126080995731169E-2</v>
      </c>
      <c r="P29" s="4">
        <v>9.2533452863121504</v>
      </c>
      <c r="Q29" s="4">
        <v>23.503497027232861</v>
      </c>
      <c r="R29" s="4">
        <v>44.509294570370933</v>
      </c>
      <c r="S29" s="4">
        <v>106.96778315397964</v>
      </c>
      <c r="T29" s="4">
        <v>283.46462535804602</v>
      </c>
      <c r="U29" s="4">
        <v>122</v>
      </c>
      <c r="V29" s="4">
        <v>0.107</v>
      </c>
      <c r="W29" s="4">
        <v>0</v>
      </c>
    </row>
    <row r="30" spans="1:23" x14ac:dyDescent="0.25">
      <c r="A30" s="4" t="s">
        <v>77</v>
      </c>
      <c r="B30" s="4" t="s">
        <v>78</v>
      </c>
      <c r="C30" s="4">
        <v>1</v>
      </c>
      <c r="D30" s="4">
        <v>3</v>
      </c>
      <c r="E30" s="4">
        <v>3</v>
      </c>
      <c r="F30" s="4">
        <v>9202.4770129999997</v>
      </c>
      <c r="G30" s="4">
        <v>24386.56408</v>
      </c>
      <c r="H30" s="4">
        <v>3829.1506850000001</v>
      </c>
      <c r="I30" s="4">
        <v>3.8291506850000001</v>
      </c>
      <c r="J30" s="4">
        <v>3.8291509999999998E-3</v>
      </c>
      <c r="K30" s="4">
        <v>8.4418221829999993</v>
      </c>
      <c r="L30" s="4">
        <v>3.5000000000000003E-2</v>
      </c>
      <c r="M30" s="4">
        <v>2.9</v>
      </c>
      <c r="N30" s="4">
        <v>54.650995010000003</v>
      </c>
      <c r="O30" s="4">
        <v>196.90530677965444</v>
      </c>
      <c r="P30" s="4">
        <v>63.742170359821344</v>
      </c>
      <c r="Q30" s="4">
        <v>161.90511271394621</v>
      </c>
      <c r="R30" s="2">
        <v>89314.850985500641</v>
      </c>
      <c r="S30" s="2">
        <v>214647.56305095079</v>
      </c>
      <c r="T30" s="2">
        <v>568816.04208501952</v>
      </c>
      <c r="U30" s="4">
        <v>208.40700000000004</v>
      </c>
      <c r="V30" s="4">
        <v>0.5</v>
      </c>
      <c r="W30" s="4">
        <v>0</v>
      </c>
    </row>
    <row r="31" spans="1:23" x14ac:dyDescent="0.25">
      <c r="A31" s="4" t="s">
        <v>79</v>
      </c>
      <c r="B31" s="4" t="s">
        <v>80</v>
      </c>
      <c r="C31" s="4">
        <v>1</v>
      </c>
      <c r="D31" s="4">
        <v>2</v>
      </c>
      <c r="E31" s="4">
        <v>2</v>
      </c>
      <c r="F31" s="4">
        <v>476.02739730000002</v>
      </c>
      <c r="G31" s="4">
        <v>1261.4726029999999</v>
      </c>
      <c r="H31" s="4">
        <v>198.07499999999999</v>
      </c>
      <c r="I31" s="4">
        <v>0.198075</v>
      </c>
      <c r="J31" s="4">
        <v>1.98075E-4</v>
      </c>
      <c r="K31" s="4">
        <v>0.43668010699999998</v>
      </c>
      <c r="L31" s="4">
        <v>3.3999999999999998E-3</v>
      </c>
      <c r="M31" s="4">
        <v>3.2850000000000001</v>
      </c>
      <c r="N31" s="4">
        <v>20.58566939</v>
      </c>
      <c r="O31" s="4">
        <v>8.6876313928669013E-2</v>
      </c>
      <c r="P31" s="4">
        <v>6.7972274277636542</v>
      </c>
      <c r="Q31" s="4">
        <v>17.264957666519681</v>
      </c>
      <c r="R31" s="4">
        <v>39.40647999594897</v>
      </c>
      <c r="S31" s="4">
        <v>94.704349906149901</v>
      </c>
      <c r="T31" s="4">
        <v>250.96652725129724</v>
      </c>
      <c r="U31" s="4">
        <v>59.9</v>
      </c>
      <c r="V31" s="4">
        <v>0.17</v>
      </c>
      <c r="W31" s="4">
        <v>0</v>
      </c>
    </row>
    <row r="32" spans="1:23" x14ac:dyDescent="0.25">
      <c r="A32" s="4" t="s">
        <v>81</v>
      </c>
      <c r="B32" s="4" t="s">
        <v>82</v>
      </c>
      <c r="C32" s="4">
        <v>1</v>
      </c>
      <c r="D32" s="4">
        <v>2</v>
      </c>
      <c r="E32" s="4">
        <v>2</v>
      </c>
      <c r="F32" s="4">
        <v>127.5414564</v>
      </c>
      <c r="G32" s="4">
        <v>337.98485950000003</v>
      </c>
      <c r="H32" s="4">
        <v>53.070000010000001</v>
      </c>
      <c r="I32" s="4">
        <v>5.3069999999999999E-2</v>
      </c>
      <c r="J32" s="4">
        <v>5.3100000000000003E-5</v>
      </c>
      <c r="K32" s="4">
        <v>0.11699918300000001</v>
      </c>
      <c r="L32" s="4">
        <v>1.4999999999999999E-2</v>
      </c>
      <c r="M32" s="4">
        <v>3</v>
      </c>
      <c r="N32" s="4">
        <v>15.23769499</v>
      </c>
      <c r="O32" s="4">
        <v>0.9431020395102423</v>
      </c>
      <c r="P32" s="4">
        <v>12.028482593371407</v>
      </c>
      <c r="Q32" s="4">
        <v>30.552345787163375</v>
      </c>
      <c r="R32" s="4">
        <v>427.78439799613642</v>
      </c>
      <c r="S32" s="4">
        <v>1028.0807450039329</v>
      </c>
      <c r="T32" s="4">
        <v>2724.413974260422</v>
      </c>
      <c r="U32" s="4">
        <v>106</v>
      </c>
      <c r="V32" s="4">
        <v>0.17</v>
      </c>
      <c r="W32" s="4">
        <v>0</v>
      </c>
    </row>
    <row r="33" spans="1:23" x14ac:dyDescent="0.25">
      <c r="A33" s="4" t="s">
        <v>83</v>
      </c>
      <c r="B33" s="4" t="s">
        <v>84</v>
      </c>
      <c r="C33" s="4">
        <v>1</v>
      </c>
      <c r="D33" s="4">
        <v>7</v>
      </c>
      <c r="E33" s="4">
        <v>7</v>
      </c>
      <c r="F33" s="4">
        <v>1355.00938</v>
      </c>
      <c r="G33" s="4">
        <v>3590.52486</v>
      </c>
      <c r="H33" s="4">
        <v>563.81940299999997</v>
      </c>
      <c r="I33" s="4">
        <v>0.563819403</v>
      </c>
      <c r="J33" s="4">
        <v>5.6381900000000002E-4</v>
      </c>
      <c r="K33" s="4">
        <v>1.243007532</v>
      </c>
      <c r="L33" s="4">
        <v>5.4000000000000003E-3</v>
      </c>
      <c r="M33" s="4">
        <v>3</v>
      </c>
      <c r="N33" s="4">
        <v>47.088561040000002</v>
      </c>
      <c r="O33" s="4">
        <v>44.926030931406785</v>
      </c>
      <c r="P33" s="4">
        <v>61.294729535488813</v>
      </c>
      <c r="Q33" s="4">
        <v>155.68861302014159</v>
      </c>
      <c r="R33" s="4">
        <v>20378.129079572347</v>
      </c>
      <c r="S33" s="4">
        <v>48974.114586811695</v>
      </c>
      <c r="T33" s="4">
        <v>129781.40365505099</v>
      </c>
      <c r="U33" s="4">
        <v>280</v>
      </c>
      <c r="V33" s="4">
        <v>0.11600000000000001</v>
      </c>
      <c r="W33" s="4">
        <v>0</v>
      </c>
    </row>
    <row r="34" spans="1:23" x14ac:dyDescent="0.25">
      <c r="A34" s="4" t="s">
        <v>85</v>
      </c>
      <c r="B34" s="4" t="s">
        <v>86</v>
      </c>
      <c r="C34" s="4">
        <v>1</v>
      </c>
      <c r="D34" s="4">
        <v>7</v>
      </c>
      <c r="E34" s="4">
        <v>7</v>
      </c>
      <c r="F34" s="4">
        <v>1355.00938</v>
      </c>
      <c r="G34" s="4">
        <v>3590.52486</v>
      </c>
      <c r="H34" s="4">
        <v>563.81940299999997</v>
      </c>
      <c r="I34" s="4">
        <v>0.563819403</v>
      </c>
      <c r="J34" s="4">
        <v>5.6381900000000002E-4</v>
      </c>
      <c r="K34" s="4">
        <v>1.243007532</v>
      </c>
      <c r="L34" s="4">
        <v>5.2399999999999999E-3</v>
      </c>
      <c r="M34" s="4">
        <v>3.141</v>
      </c>
      <c r="N34" s="4">
        <v>39.992326849999998</v>
      </c>
      <c r="O34" s="4">
        <v>167.00697029103529</v>
      </c>
      <c r="P34" s="4">
        <v>74.940613492284385</v>
      </c>
      <c r="Q34" s="4">
        <v>190.34915827040234</v>
      </c>
      <c r="R34" s="2">
        <v>75753.177550342138</v>
      </c>
      <c r="S34" s="2">
        <v>182055.22122168262</v>
      </c>
      <c r="T34" s="2">
        <v>482446.33623745892</v>
      </c>
      <c r="U34" s="4">
        <v>309.24444444444441</v>
      </c>
      <c r="V34" s="4">
        <v>0.13655555555555554</v>
      </c>
      <c r="W34" s="4">
        <v>0</v>
      </c>
    </row>
    <row r="35" spans="1:23" x14ac:dyDescent="0.25">
      <c r="A35" s="4" t="s">
        <v>87</v>
      </c>
      <c r="B35" s="4" t="s">
        <v>88</v>
      </c>
      <c r="C35" s="4">
        <v>1</v>
      </c>
      <c r="D35" s="4">
        <v>2</v>
      </c>
      <c r="E35" s="4">
        <v>2</v>
      </c>
      <c r="F35" s="4">
        <v>127.5414564</v>
      </c>
      <c r="G35" s="4">
        <v>337.98485950000003</v>
      </c>
      <c r="H35" s="4">
        <v>53.070000010000001</v>
      </c>
      <c r="I35" s="4">
        <v>5.3069999999999999E-2</v>
      </c>
      <c r="J35" s="4">
        <v>5.3100000000000003E-5</v>
      </c>
      <c r="K35" s="4">
        <v>0.11699918300000001</v>
      </c>
      <c r="L35" s="4">
        <v>6.0000000000000001E-3</v>
      </c>
      <c r="M35" s="4">
        <v>3.1</v>
      </c>
      <c r="N35" s="4">
        <v>18.755486529999999</v>
      </c>
      <c r="O35" s="4">
        <v>6.2912282343791127E-3</v>
      </c>
      <c r="P35" s="4">
        <v>2.8760435633690284</v>
      </c>
      <c r="Q35" s="4">
        <v>7.3051506509573318</v>
      </c>
      <c r="R35" s="4">
        <v>2.8536565187556642</v>
      </c>
      <c r="S35" s="4">
        <v>6.8581026646375003</v>
      </c>
      <c r="T35" s="4">
        <v>18.173972061289376</v>
      </c>
      <c r="U35" s="4">
        <v>40.299999999999997</v>
      </c>
      <c r="V35" s="4">
        <v>0.1</v>
      </c>
      <c r="W35" s="4">
        <v>0</v>
      </c>
    </row>
    <row r="36" spans="1:23" x14ac:dyDescent="0.25">
      <c r="A36" s="4" t="s">
        <v>89</v>
      </c>
      <c r="B36" s="4" t="s">
        <v>90</v>
      </c>
      <c r="C36" s="4">
        <v>1</v>
      </c>
      <c r="D36" s="4">
        <v>8</v>
      </c>
      <c r="E36" s="4">
        <v>8</v>
      </c>
      <c r="F36" s="4">
        <v>1466</v>
      </c>
      <c r="G36" s="4">
        <v>5263</v>
      </c>
      <c r="H36" s="4">
        <v>610.00260000000003</v>
      </c>
      <c r="I36" s="4">
        <v>0.61000259999999995</v>
      </c>
      <c r="J36" s="4">
        <v>6.1000300000000002E-4</v>
      </c>
      <c r="K36" s="4">
        <v>1.3448239319999999</v>
      </c>
      <c r="L36" s="2">
        <v>0.05</v>
      </c>
      <c r="M36" s="2">
        <v>3.2</v>
      </c>
      <c r="N36" s="4">
        <v>53.322391670000002</v>
      </c>
      <c r="O36" s="4">
        <v>192.77360905797298</v>
      </c>
      <c r="P36" s="4">
        <v>35.157965087150338</v>
      </c>
      <c r="Q36" s="4">
        <v>89.301231321361854</v>
      </c>
      <c r="R36" s="4">
        <v>87440.742195014551</v>
      </c>
      <c r="S36" s="4">
        <v>210143.57653211863</v>
      </c>
      <c r="T36" s="4">
        <v>556880.47781011439</v>
      </c>
      <c r="U36" s="4">
        <v>114.3</v>
      </c>
      <c r="V36" s="4">
        <v>0.19</v>
      </c>
      <c r="W36" s="4">
        <v>0</v>
      </c>
    </row>
    <row r="37" spans="1:23" x14ac:dyDescent="0.25">
      <c r="A37" s="4" t="s">
        <v>91</v>
      </c>
      <c r="B37" s="4" t="s">
        <v>92</v>
      </c>
      <c r="C37" s="4">
        <v>1</v>
      </c>
      <c r="D37" s="4">
        <v>2</v>
      </c>
      <c r="E37" s="4">
        <v>2</v>
      </c>
      <c r="F37" s="4">
        <v>127.5414564</v>
      </c>
      <c r="G37" s="4">
        <v>337.98485950000003</v>
      </c>
      <c r="H37" s="4">
        <v>53.070000010000001</v>
      </c>
      <c r="I37" s="4">
        <v>5.3069999999999999E-2</v>
      </c>
      <c r="J37" s="4">
        <v>5.3100000000000003E-5</v>
      </c>
      <c r="K37" s="4">
        <v>0.11699918300000001</v>
      </c>
      <c r="L37" s="4">
        <v>1.2999999999999999E-2</v>
      </c>
      <c r="M37" s="4">
        <v>3</v>
      </c>
      <c r="N37" s="4">
        <v>15.982151569999999</v>
      </c>
      <c r="O37" s="4">
        <v>0.19756004126940679</v>
      </c>
      <c r="P37" s="4">
        <v>7.4927335296914102</v>
      </c>
      <c r="Q37" s="4">
        <v>19.031543165416181</v>
      </c>
      <c r="R37" s="4">
        <v>89.611833907615278</v>
      </c>
      <c r="S37" s="4">
        <v>215.36129273639818</v>
      </c>
      <c r="T37" s="4">
        <v>570.70742575145516</v>
      </c>
      <c r="U37" s="4">
        <v>60.2</v>
      </c>
      <c r="V37" s="4">
        <v>0.19</v>
      </c>
      <c r="W37" s="4">
        <v>0</v>
      </c>
    </row>
    <row r="38" spans="1:23" x14ac:dyDescent="0.25">
      <c r="A38" s="4" t="s">
        <v>93</v>
      </c>
      <c r="B38" s="4" t="s">
        <v>94</v>
      </c>
      <c r="C38" s="4">
        <v>1</v>
      </c>
      <c r="D38" s="4">
        <v>9</v>
      </c>
      <c r="E38" s="4">
        <v>9</v>
      </c>
      <c r="F38" s="4">
        <v>1513105530</v>
      </c>
      <c r="G38" s="4">
        <v>4009729654</v>
      </c>
      <c r="H38" s="4">
        <v>629603211</v>
      </c>
      <c r="I38" s="4">
        <v>629603.21100000001</v>
      </c>
      <c r="J38" s="4">
        <v>629.60321099999999</v>
      </c>
      <c r="K38" s="4">
        <v>1388035.831</v>
      </c>
      <c r="L38" s="2">
        <v>1.7000000000000001E-2</v>
      </c>
      <c r="M38" s="4">
        <v>3</v>
      </c>
      <c r="N38" s="4">
        <v>1465.5893920000001</v>
      </c>
      <c r="O38" s="4">
        <v>106837.91257608611</v>
      </c>
      <c r="P38" s="4">
        <v>558.23088387339669</v>
      </c>
      <c r="Q38" s="4">
        <v>1417.9064450384276</v>
      </c>
      <c r="R38" s="2">
        <v>48460919.603417419</v>
      </c>
      <c r="S38" s="2">
        <v>116464598.9027095</v>
      </c>
      <c r="T38" s="2">
        <v>308631187.09218013</v>
      </c>
      <c r="U38" s="4">
        <v>1584.96</v>
      </c>
      <c r="V38" s="2">
        <v>0.25</v>
      </c>
      <c r="W38" s="4">
        <v>0</v>
      </c>
    </row>
    <row r="39" spans="1:23" x14ac:dyDescent="0.25">
      <c r="A39" s="4" t="s">
        <v>95</v>
      </c>
      <c r="B39" s="2" t="s">
        <v>96</v>
      </c>
      <c r="C39" s="4">
        <v>1</v>
      </c>
      <c r="D39" s="4">
        <v>2</v>
      </c>
      <c r="E39" s="4">
        <v>2</v>
      </c>
      <c r="F39" s="4">
        <v>127.5414564</v>
      </c>
      <c r="G39" s="4">
        <v>337.98485950000003</v>
      </c>
      <c r="H39" s="4">
        <v>53.070000010000001</v>
      </c>
      <c r="I39" s="4">
        <v>5.3069999999999999E-2</v>
      </c>
      <c r="J39" s="4">
        <v>5.3100000000000003E-5</v>
      </c>
      <c r="K39" s="4">
        <v>0.11699918300000001</v>
      </c>
      <c r="L39" s="4">
        <v>0.01</v>
      </c>
      <c r="M39" s="4">
        <v>3</v>
      </c>
      <c r="N39" s="4">
        <v>15.782353730000001</v>
      </c>
      <c r="O39" s="4">
        <v>1.987138284806963</v>
      </c>
      <c r="P39" s="4">
        <v>17.652155015414586</v>
      </c>
      <c r="Q39" s="4">
        <v>44.83647373915305</v>
      </c>
      <c r="R39" s="4">
        <v>901.35183605653719</v>
      </c>
      <c r="S39" s="4">
        <v>2166.1904255143891</v>
      </c>
      <c r="T39" s="4">
        <v>5740.4046276131312</v>
      </c>
      <c r="U39" s="4">
        <v>136</v>
      </c>
      <c r="V39" s="4">
        <v>0.2</v>
      </c>
      <c r="W39" s="4">
        <v>0</v>
      </c>
    </row>
    <row r="40" spans="1:23" x14ac:dyDescent="0.25">
      <c r="A40" s="4" t="s">
        <v>97</v>
      </c>
      <c r="B40" s="4" t="s">
        <v>98</v>
      </c>
      <c r="C40" s="4">
        <v>1</v>
      </c>
      <c r="D40" s="4">
        <v>2</v>
      </c>
      <c r="E40" s="4">
        <v>2</v>
      </c>
      <c r="F40" s="4">
        <v>11007.69375</v>
      </c>
      <c r="G40" s="4">
        <v>29170.388439999999</v>
      </c>
      <c r="H40" s="4">
        <v>4580.3013689999998</v>
      </c>
      <c r="I40" s="4">
        <v>4.5803013689999998</v>
      </c>
      <c r="J40" s="4">
        <v>4.5803010000000002E-3</v>
      </c>
      <c r="K40" s="4">
        <v>10.097823999999999</v>
      </c>
      <c r="L40" s="2">
        <v>6.5000000000000002E-2</v>
      </c>
      <c r="M40" s="4">
        <v>3</v>
      </c>
      <c r="N40" s="4">
        <v>61.181673609999997</v>
      </c>
      <c r="O40" s="4">
        <v>0.88313661779726171</v>
      </c>
      <c r="P40" s="4">
        <v>7.2181607167311244</v>
      </c>
      <c r="Q40" s="4">
        <v>18.334128220497057</v>
      </c>
      <c r="R40" s="4">
        <v>400.58450789581048</v>
      </c>
      <c r="S40" s="4">
        <v>962.7121074160309</v>
      </c>
      <c r="T40" s="4">
        <v>2551.1870846524816</v>
      </c>
      <c r="U40" s="4">
        <v>23.6</v>
      </c>
      <c r="V40" s="4">
        <v>0.75</v>
      </c>
      <c r="W40" s="4">
        <v>0</v>
      </c>
    </row>
    <row r="41" spans="1:23" x14ac:dyDescent="0.25">
      <c r="A41" s="4" t="s">
        <v>99</v>
      </c>
      <c r="B41" s="4" t="s">
        <v>100</v>
      </c>
      <c r="C41" s="4">
        <v>1</v>
      </c>
      <c r="D41" s="4">
        <v>2</v>
      </c>
      <c r="E41" s="4">
        <v>2</v>
      </c>
      <c r="F41" s="4">
        <v>127.5414564</v>
      </c>
      <c r="G41" s="4">
        <v>337.98485950000003</v>
      </c>
      <c r="H41" s="4">
        <v>53.070000010000001</v>
      </c>
      <c r="I41" s="4">
        <v>5.3069999999999999E-2</v>
      </c>
      <c r="J41" s="4">
        <v>5.3100000000000003E-5</v>
      </c>
      <c r="K41" s="4">
        <v>0.11699918300000001</v>
      </c>
      <c r="L41" s="4">
        <v>1.4999999999999999E-2</v>
      </c>
      <c r="M41" s="4">
        <v>3.1</v>
      </c>
      <c r="N41" s="4">
        <v>13.955988079999999</v>
      </c>
      <c r="O41" s="4">
        <v>7.7526309958411796E-2</v>
      </c>
      <c r="P41" s="4">
        <v>4.8113930373485632</v>
      </c>
      <c r="Q41" s="4">
        <v>12.22093831486535</v>
      </c>
      <c r="R41" s="4">
        <v>35.165384491845217</v>
      </c>
      <c r="S41" s="4">
        <v>84.511858908544141</v>
      </c>
      <c r="T41" s="4">
        <v>223.95642610764196</v>
      </c>
      <c r="U41" s="4">
        <v>42.4</v>
      </c>
      <c r="V41" s="4">
        <v>0.17</v>
      </c>
      <c r="W41" s="4">
        <v>0</v>
      </c>
    </row>
    <row r="42" spans="1:23" x14ac:dyDescent="0.25">
      <c r="A42" s="4" t="s">
        <v>101</v>
      </c>
      <c r="B42" s="4" t="s">
        <v>102</v>
      </c>
      <c r="C42" s="4">
        <v>1</v>
      </c>
      <c r="D42" s="4">
        <v>2</v>
      </c>
      <c r="E42" s="4">
        <v>2</v>
      </c>
      <c r="F42" s="4">
        <v>127.5414564</v>
      </c>
      <c r="G42" s="4">
        <v>337.98485950000003</v>
      </c>
      <c r="H42" s="4">
        <v>53.070000010000001</v>
      </c>
      <c r="I42" s="4">
        <v>5.3069999999999999E-2</v>
      </c>
      <c r="J42" s="4">
        <v>5.3100000000000003E-5</v>
      </c>
      <c r="K42" s="4">
        <v>0.11699918300000001</v>
      </c>
      <c r="L42" s="4">
        <v>1.2E-2</v>
      </c>
      <c r="M42" s="4">
        <v>3.1</v>
      </c>
      <c r="N42" s="4">
        <v>14.99760408</v>
      </c>
      <c r="O42" s="4">
        <v>1.048811704075304</v>
      </c>
      <c r="P42" s="4">
        <v>11.979838750679438</v>
      </c>
      <c r="Q42" s="4">
        <v>30.428790426725772</v>
      </c>
      <c r="R42" s="2">
        <v>475.73355230166828</v>
      </c>
      <c r="S42" s="2">
        <v>1143.3154345149444</v>
      </c>
      <c r="T42" s="2">
        <v>3029.7859014646024</v>
      </c>
      <c r="U42" s="4">
        <v>150.03333333333333</v>
      </c>
      <c r="V42" s="4">
        <v>0.11333333333333334</v>
      </c>
      <c r="W42" s="4">
        <v>0</v>
      </c>
    </row>
    <row r="43" spans="1:23" x14ac:dyDescent="0.25">
      <c r="A43" s="4" t="s">
        <v>103</v>
      </c>
      <c r="B43" s="4" t="s">
        <v>104</v>
      </c>
      <c r="C43" s="4">
        <v>1</v>
      </c>
      <c r="D43" s="4">
        <v>1</v>
      </c>
      <c r="E43" s="4">
        <v>1</v>
      </c>
      <c r="F43" s="4">
        <v>10.71857726</v>
      </c>
      <c r="G43" s="4">
        <v>28.404229749999999</v>
      </c>
      <c r="H43" s="4">
        <v>4.4599999979999998</v>
      </c>
      <c r="I43" s="4">
        <v>4.4600000000000004E-3</v>
      </c>
      <c r="J43" s="4">
        <v>4.4599999999999996E-6</v>
      </c>
      <c r="K43" s="4">
        <v>9.8326049999999995E-3</v>
      </c>
      <c r="L43" s="4">
        <v>1.2999999999999999E-2</v>
      </c>
      <c r="M43" s="4">
        <v>2.8</v>
      </c>
      <c r="N43" s="4">
        <v>8.0444612959999997</v>
      </c>
      <c r="O43" s="4">
        <v>2.2277004139224565E-2</v>
      </c>
      <c r="P43" s="4">
        <v>4.2414677849223663</v>
      </c>
      <c r="Q43" s="4">
        <v>10.773328173702811</v>
      </c>
      <c r="R43" s="4">
        <v>10.104691121020659</v>
      </c>
      <c r="S43" s="4">
        <v>24.28428531848272</v>
      </c>
      <c r="T43" s="4">
        <v>64.353356093979201</v>
      </c>
      <c r="U43" s="4">
        <v>65.400000000000006</v>
      </c>
      <c r="V43" s="4">
        <v>0.18</v>
      </c>
      <c r="W43" s="4">
        <v>0</v>
      </c>
    </row>
    <row r="44" spans="1:23" x14ac:dyDescent="0.25">
      <c r="A44" s="2" t="s">
        <v>105</v>
      </c>
      <c r="B44" s="4" t="s">
        <v>700</v>
      </c>
      <c r="C44" s="4">
        <v>1</v>
      </c>
      <c r="D44" s="4">
        <v>3</v>
      </c>
      <c r="E44" s="4">
        <v>3</v>
      </c>
      <c r="F44" s="4">
        <v>350</v>
      </c>
      <c r="G44" s="4">
        <v>927.5</v>
      </c>
      <c r="H44" s="4">
        <v>145.63499999999999</v>
      </c>
      <c r="I44" s="4">
        <v>0.14563499999999999</v>
      </c>
      <c r="J44" s="4">
        <v>1.45635E-4</v>
      </c>
      <c r="K44" s="4">
        <v>0.32097954000000001</v>
      </c>
      <c r="L44" s="3">
        <v>1.2699999999999999E-2</v>
      </c>
      <c r="M44" s="3">
        <v>3.1</v>
      </c>
      <c r="N44" s="4">
        <v>20.39406896596369</v>
      </c>
      <c r="O44" s="4">
        <v>2.4579573927866227</v>
      </c>
      <c r="P44" s="4">
        <v>15.481867402374458</v>
      </c>
      <c r="Q44" s="4">
        <v>39.323943202031124</v>
      </c>
      <c r="R44" s="2">
        <v>1114.9120450629237</v>
      </c>
      <c r="S44" s="2">
        <v>2679.4329369452626</v>
      </c>
      <c r="T44" s="2">
        <v>7100.4972829049457</v>
      </c>
      <c r="U44" s="4">
        <v>109.97499999999999</v>
      </c>
      <c r="V44" s="4">
        <v>0.14750000000000002</v>
      </c>
      <c r="W44" s="4">
        <v>0</v>
      </c>
    </row>
    <row r="45" spans="1:23" x14ac:dyDescent="0.25">
      <c r="A45" s="4" t="s">
        <v>107</v>
      </c>
      <c r="B45" s="4" t="s">
        <v>108</v>
      </c>
      <c r="C45" s="4">
        <v>1</v>
      </c>
      <c r="D45" s="4">
        <v>5</v>
      </c>
      <c r="E45" s="4">
        <v>5</v>
      </c>
      <c r="F45" s="4">
        <v>819.66597860000002</v>
      </c>
      <c r="G45" s="4">
        <v>2172.1148429999998</v>
      </c>
      <c r="H45" s="4">
        <v>341.0630137</v>
      </c>
      <c r="I45" s="4">
        <v>0.341063014</v>
      </c>
      <c r="J45" s="4">
        <v>3.4106300000000001E-4</v>
      </c>
      <c r="K45" s="4">
        <v>0.75191434099999999</v>
      </c>
      <c r="L45" s="4">
        <v>3.5999999999999999E-3</v>
      </c>
      <c r="M45" s="4">
        <v>3</v>
      </c>
      <c r="N45" s="4">
        <v>45.587317900000002</v>
      </c>
      <c r="O45" s="4">
        <v>7.0948968066073412</v>
      </c>
      <c r="P45" s="4">
        <v>37.925929189604211</v>
      </c>
      <c r="Q45" s="4">
        <v>96.331860141594703</v>
      </c>
      <c r="R45" s="4">
        <v>3218.1948846546529</v>
      </c>
      <c r="S45" s="4">
        <v>7734.1862164255053</v>
      </c>
      <c r="T45" s="4">
        <v>20495.593473527588</v>
      </c>
      <c r="U45" s="4">
        <v>124</v>
      </c>
      <c r="V45" s="4">
        <v>0.3</v>
      </c>
      <c r="W45" s="4">
        <v>0</v>
      </c>
    </row>
    <row r="46" spans="1:23" x14ac:dyDescent="0.25">
      <c r="A46" s="4" t="s">
        <v>109</v>
      </c>
      <c r="B46" s="4" t="s">
        <v>110</v>
      </c>
      <c r="C46" s="4">
        <v>1</v>
      </c>
      <c r="D46" s="4">
        <v>5</v>
      </c>
      <c r="E46" s="4">
        <v>5</v>
      </c>
      <c r="F46" s="4">
        <v>819.66597860000002</v>
      </c>
      <c r="G46" s="4">
        <v>2172.1148429999998</v>
      </c>
      <c r="H46" s="4">
        <v>341.0630137</v>
      </c>
      <c r="I46" s="4">
        <v>0.341063014</v>
      </c>
      <c r="J46" s="4">
        <v>3.4106300000000001E-4</v>
      </c>
      <c r="K46" s="4">
        <v>0.75191434099999999</v>
      </c>
      <c r="L46" s="4">
        <v>4.3E-3</v>
      </c>
      <c r="M46" s="4">
        <v>3.1</v>
      </c>
      <c r="N46" s="4">
        <v>38.057538889999996</v>
      </c>
      <c r="O46" s="4">
        <v>4.1851394650831351</v>
      </c>
      <c r="P46" s="4">
        <v>26.067792951466473</v>
      </c>
      <c r="Q46" s="4">
        <v>66.212194096724843</v>
      </c>
      <c r="R46" s="4">
        <v>1898.3495863609762</v>
      </c>
      <c r="S46" s="4">
        <v>4562.2436586420963</v>
      </c>
      <c r="T46" s="4">
        <v>12089.945695401555</v>
      </c>
      <c r="U46" s="4">
        <v>267</v>
      </c>
      <c r="V46" s="4">
        <v>5.7000000000000002E-2</v>
      </c>
      <c r="W46" s="4">
        <v>0</v>
      </c>
    </row>
    <row r="47" spans="1:23" x14ac:dyDescent="0.25">
      <c r="A47" s="4" t="s">
        <v>111</v>
      </c>
      <c r="B47" s="4" t="s">
        <v>112</v>
      </c>
      <c r="C47" s="4">
        <v>1</v>
      </c>
      <c r="D47" s="4">
        <v>2</v>
      </c>
      <c r="E47" s="4">
        <v>2</v>
      </c>
      <c r="F47" s="4">
        <v>127.5414564</v>
      </c>
      <c r="G47" s="4">
        <v>337.98485950000003</v>
      </c>
      <c r="H47" s="4">
        <v>53.070000010000001</v>
      </c>
      <c r="I47" s="4">
        <v>5.3069999999999999E-2</v>
      </c>
      <c r="J47" s="4">
        <v>5.3100000000000003E-5</v>
      </c>
      <c r="K47" s="4">
        <v>0.11699918300000001</v>
      </c>
      <c r="L47" s="4">
        <v>1.2200000000000001E-2</v>
      </c>
      <c r="M47" s="4">
        <v>2.9</v>
      </c>
      <c r="N47" s="4">
        <v>17.974278559999998</v>
      </c>
      <c r="O47" s="4">
        <v>0.56547375041106485</v>
      </c>
      <c r="P47" s="4">
        <v>12.183133390028711</v>
      </c>
      <c r="Q47" s="4">
        <v>30.945158810672925</v>
      </c>
      <c r="R47" s="4">
        <v>256.49488365843769</v>
      </c>
      <c r="S47" s="4">
        <v>616.4260602221525</v>
      </c>
      <c r="T47" s="4">
        <v>1633.5290595887041</v>
      </c>
      <c r="U47" s="4">
        <v>113</v>
      </c>
      <c r="V47" s="4">
        <v>0.16</v>
      </c>
      <c r="W47" s="4">
        <v>0</v>
      </c>
    </row>
    <row r="48" spans="1:23" x14ac:dyDescent="0.25">
      <c r="A48" s="4" t="s">
        <v>113</v>
      </c>
      <c r="B48" s="4" t="s">
        <v>114</v>
      </c>
      <c r="C48" s="4">
        <v>1</v>
      </c>
      <c r="D48" s="4">
        <v>2</v>
      </c>
      <c r="E48" s="4">
        <v>2</v>
      </c>
      <c r="F48" s="4">
        <v>476.02739730000002</v>
      </c>
      <c r="G48" s="4">
        <v>1261.4726029999999</v>
      </c>
      <c r="H48" s="4">
        <v>198.07499999999999</v>
      </c>
      <c r="I48" s="4">
        <v>0.198075</v>
      </c>
      <c r="J48" s="4">
        <v>1.98075E-4</v>
      </c>
      <c r="K48" s="4">
        <v>0.43668010699999998</v>
      </c>
      <c r="L48" s="4">
        <v>1.2E-2</v>
      </c>
      <c r="M48" s="4">
        <v>3.05</v>
      </c>
      <c r="N48" s="4">
        <v>24.145463530000001</v>
      </c>
      <c r="O48" s="4">
        <v>0.84854244029559045</v>
      </c>
      <c r="P48" s="4">
        <v>11.819397150892565</v>
      </c>
      <c r="Q48" s="4">
        <v>30.021268763267113</v>
      </c>
      <c r="R48" s="4">
        <v>384.89283427329445</v>
      </c>
      <c r="S48" s="4">
        <v>925.00080334846052</v>
      </c>
      <c r="T48" s="4">
        <v>2451.2521288734201</v>
      </c>
      <c r="U48" s="4">
        <v>85.9</v>
      </c>
      <c r="V48" s="4">
        <v>0.215</v>
      </c>
      <c r="W48" s="4">
        <v>0</v>
      </c>
    </row>
    <row r="49" spans="1:23" x14ac:dyDescent="0.25">
      <c r="A49" s="4" t="s">
        <v>115</v>
      </c>
      <c r="B49" s="4" t="s">
        <v>116</v>
      </c>
      <c r="C49" s="4">
        <v>1</v>
      </c>
      <c r="D49" s="4">
        <v>7</v>
      </c>
      <c r="E49" s="4">
        <v>7</v>
      </c>
      <c r="F49" s="4">
        <v>8511146.557</v>
      </c>
      <c r="G49" s="4">
        <v>22554538.370000001</v>
      </c>
      <c r="H49" s="4">
        <v>3541488.0819999999</v>
      </c>
      <c r="I49" s="4">
        <v>3541.4880819999998</v>
      </c>
      <c r="J49" s="4">
        <v>3.5414880819999999</v>
      </c>
      <c r="K49" s="4">
        <v>7807.635456</v>
      </c>
      <c r="L49" s="2">
        <v>1.4999999999999999E-2</v>
      </c>
      <c r="M49" s="4">
        <v>3</v>
      </c>
      <c r="N49" s="4">
        <v>707.50350370000001</v>
      </c>
      <c r="O49" s="4">
        <v>374.43302480089977</v>
      </c>
      <c r="P49" s="4">
        <v>88.406188050802356</v>
      </c>
      <c r="Q49" s="4">
        <v>224.55171764903798</v>
      </c>
      <c r="R49" s="2">
        <v>169840.16510822717</v>
      </c>
      <c r="S49" s="2">
        <v>408171.50951268239</v>
      </c>
      <c r="T49" s="2">
        <v>1081654.5002086083</v>
      </c>
      <c r="U49" s="4">
        <v>271.77999999999997</v>
      </c>
      <c r="V49" s="4">
        <v>0.25</v>
      </c>
      <c r="W49" s="4">
        <v>0</v>
      </c>
    </row>
    <row r="50" spans="1:23" x14ac:dyDescent="0.25">
      <c r="A50" s="4" t="s">
        <v>117</v>
      </c>
      <c r="B50" s="4" t="s">
        <v>118</v>
      </c>
      <c r="C50" s="4">
        <v>1</v>
      </c>
      <c r="D50" s="4">
        <v>2</v>
      </c>
      <c r="E50" s="4">
        <v>2</v>
      </c>
      <c r="F50" s="4">
        <v>127.5414564</v>
      </c>
      <c r="G50" s="4">
        <v>337.98485950000003</v>
      </c>
      <c r="H50" s="4">
        <v>53.070000010000001</v>
      </c>
      <c r="I50" s="4">
        <v>5.3069999999999999E-2</v>
      </c>
      <c r="J50" s="4">
        <v>5.3100000000000003E-5</v>
      </c>
      <c r="K50" s="4">
        <v>0.11699918300000001</v>
      </c>
      <c r="L50" s="4">
        <v>1.4999999999999999E-2</v>
      </c>
      <c r="M50" s="4">
        <v>3</v>
      </c>
      <c r="N50" s="4">
        <v>15.23769499</v>
      </c>
      <c r="O50" s="4">
        <v>7.7255718625825365E-2</v>
      </c>
      <c r="P50" s="4">
        <v>5.223979871925879</v>
      </c>
      <c r="Q50" s="4">
        <v>13.268908874691732</v>
      </c>
      <c r="R50" s="4">
        <v>35.042646182029266</v>
      </c>
      <c r="S50" s="4">
        <v>84.216885801560352</v>
      </c>
      <c r="T50" s="4">
        <v>223.17474737413494</v>
      </c>
      <c r="U50" s="4">
        <v>73.2</v>
      </c>
      <c r="V50" s="4">
        <v>0.1</v>
      </c>
      <c r="W50" s="4">
        <v>0</v>
      </c>
    </row>
    <row r="51" spans="1:23" x14ac:dyDescent="0.25">
      <c r="A51" s="4" t="s">
        <v>119</v>
      </c>
      <c r="B51" s="4" t="s">
        <v>120</v>
      </c>
      <c r="C51" s="4">
        <v>1</v>
      </c>
      <c r="D51" s="4">
        <v>3</v>
      </c>
      <c r="E51" s="4">
        <v>3</v>
      </c>
      <c r="F51" s="4">
        <v>829.48845900000003</v>
      </c>
      <c r="G51" s="4">
        <v>2197.74442</v>
      </c>
      <c r="H51" s="4">
        <v>345.15014780000001</v>
      </c>
      <c r="I51" s="4">
        <v>0.34515014799999999</v>
      </c>
      <c r="J51" s="4">
        <v>3.4515000000000001E-4</v>
      </c>
      <c r="K51" s="4">
        <v>0.76092491900000003</v>
      </c>
      <c r="L51" s="4">
        <v>2.1399999999999999E-2</v>
      </c>
      <c r="M51" s="4">
        <v>2.96</v>
      </c>
      <c r="N51" s="4">
        <v>26.392744749999999</v>
      </c>
      <c r="O51" s="4">
        <v>19.811244841264621</v>
      </c>
      <c r="P51" s="4">
        <v>31.252440360380255</v>
      </c>
      <c r="Q51" s="4">
        <v>79.381198515365853</v>
      </c>
      <c r="R51" s="2">
        <v>8986.2401870910271</v>
      </c>
      <c r="S51" s="2">
        <v>21596.347481593435</v>
      </c>
      <c r="T51" s="2">
        <v>57230.320826222604</v>
      </c>
      <c r="U51" s="4">
        <v>133.76666666666668</v>
      </c>
      <c r="V51" s="4">
        <v>0.3</v>
      </c>
      <c r="W51" s="4">
        <v>0</v>
      </c>
    </row>
    <row r="52" spans="1:23" x14ac:dyDescent="0.25">
      <c r="A52" s="4" t="s">
        <v>121</v>
      </c>
      <c r="B52" s="4" t="s">
        <v>122</v>
      </c>
      <c r="C52" s="4">
        <v>1</v>
      </c>
      <c r="D52" s="4">
        <v>7</v>
      </c>
      <c r="E52" s="4">
        <v>7</v>
      </c>
      <c r="F52" s="4">
        <v>8511146.557</v>
      </c>
      <c r="G52" s="4">
        <v>22554538.370000001</v>
      </c>
      <c r="H52" s="4">
        <v>3541488.0819999999</v>
      </c>
      <c r="I52" s="4">
        <v>3541.4880819999998</v>
      </c>
      <c r="J52" s="4">
        <v>3.5414880819999999</v>
      </c>
      <c r="K52" s="4">
        <v>7807.635456</v>
      </c>
      <c r="L52" s="2">
        <v>1E-3</v>
      </c>
      <c r="M52" s="4">
        <v>3</v>
      </c>
      <c r="N52" s="4">
        <v>707.50350370000001</v>
      </c>
      <c r="O52" s="4">
        <v>22254.820062354665</v>
      </c>
      <c r="P52" s="4">
        <v>850.86971247246606</v>
      </c>
      <c r="Q52" s="4">
        <v>2161.2090696800637</v>
      </c>
      <c r="R52" s="2">
        <v>10094628.581050098</v>
      </c>
      <c r="S52" s="2">
        <v>24260102.333694059</v>
      </c>
      <c r="T52" s="2">
        <v>64289271.184289254</v>
      </c>
      <c r="U52" s="4">
        <v>2615.7600000000002</v>
      </c>
      <c r="V52" s="4">
        <v>0.25</v>
      </c>
      <c r="W52" s="4">
        <v>0</v>
      </c>
    </row>
    <row r="53" spans="1:23" x14ac:dyDescent="0.25">
      <c r="A53" s="4" t="s">
        <v>123</v>
      </c>
      <c r="B53" s="4" t="s">
        <v>124</v>
      </c>
      <c r="C53" s="4">
        <v>1</v>
      </c>
      <c r="D53" s="4">
        <v>2</v>
      </c>
      <c r="E53" s="4">
        <v>2</v>
      </c>
      <c r="F53" s="4">
        <v>127.5414564</v>
      </c>
      <c r="G53" s="4">
        <v>337.98485950000003</v>
      </c>
      <c r="H53" s="4">
        <v>53.070000010000001</v>
      </c>
      <c r="I53" s="4">
        <v>5.3069999999999999E-2</v>
      </c>
      <c r="J53" s="4">
        <v>5.3100000000000003E-5</v>
      </c>
      <c r="K53" s="4">
        <v>0.11699918300000001</v>
      </c>
      <c r="L53" s="4">
        <v>9.4999999999999998E-3</v>
      </c>
      <c r="M53" s="4">
        <v>3.1</v>
      </c>
      <c r="N53" s="4">
        <v>16.171494429999999</v>
      </c>
      <c r="O53" s="4">
        <v>0.34539732900927694</v>
      </c>
      <c r="P53" s="4">
        <v>9.0276197853989171</v>
      </c>
      <c r="Q53" s="4">
        <v>22.930154254913251</v>
      </c>
      <c r="R53" s="4">
        <v>156.66977937661682</v>
      </c>
      <c r="S53" s="4">
        <v>376.51953707430141</v>
      </c>
      <c r="T53" s="4">
        <v>997.77677324689876</v>
      </c>
      <c r="U53" s="4">
        <v>111</v>
      </c>
      <c r="V53" s="4">
        <v>0.13</v>
      </c>
      <c r="W53" s="4">
        <v>0.22</v>
      </c>
    </row>
    <row r="54" spans="1:23" x14ac:dyDescent="0.25">
      <c r="A54" s="4" t="s">
        <v>125</v>
      </c>
      <c r="B54" s="4" t="s">
        <v>126</v>
      </c>
      <c r="C54" s="4">
        <v>1</v>
      </c>
      <c r="D54" s="4">
        <v>1</v>
      </c>
      <c r="E54" s="4">
        <v>1</v>
      </c>
      <c r="F54" s="4">
        <v>43.979812539999998</v>
      </c>
      <c r="G54" s="4">
        <v>116.5465032</v>
      </c>
      <c r="H54" s="4">
        <v>18.3</v>
      </c>
      <c r="I54" s="4">
        <v>1.83E-2</v>
      </c>
      <c r="J54" s="4">
        <v>1.8300000000000001E-5</v>
      </c>
      <c r="K54" s="4">
        <v>4.0344546000000002E-2</v>
      </c>
      <c r="L54" s="4">
        <v>1.4999999999999999E-2</v>
      </c>
      <c r="M54" s="4">
        <v>2.9</v>
      </c>
      <c r="N54" s="4">
        <v>11.594766590000001</v>
      </c>
      <c r="O54" s="4">
        <v>5.5493212288959877E-2</v>
      </c>
      <c r="P54" s="4">
        <v>5.0953193492557105</v>
      </c>
      <c r="Q54" s="4">
        <v>12.942111147109506</v>
      </c>
      <c r="R54" s="4">
        <v>25.171327616078905</v>
      </c>
      <c r="S54" s="4">
        <v>60.493457380627028</v>
      </c>
      <c r="T54" s="4">
        <v>160.30766205866161</v>
      </c>
      <c r="U54" s="4">
        <v>136</v>
      </c>
      <c r="V54" s="4">
        <v>0.1</v>
      </c>
      <c r="W54" s="4">
        <v>0</v>
      </c>
    </row>
    <row r="55" spans="1:23" x14ac:dyDescent="0.25">
      <c r="A55" s="4" t="s">
        <v>127</v>
      </c>
      <c r="B55" s="4" t="s">
        <v>128</v>
      </c>
      <c r="C55" s="4">
        <v>1</v>
      </c>
      <c r="D55" s="4">
        <v>2</v>
      </c>
      <c r="E55" s="4">
        <v>2</v>
      </c>
      <c r="F55" s="4">
        <v>476.02739730000002</v>
      </c>
      <c r="G55" s="4">
        <v>1261.4726029999999</v>
      </c>
      <c r="H55" s="4">
        <v>198.07499999999999</v>
      </c>
      <c r="I55" s="4">
        <v>0.198075</v>
      </c>
      <c r="J55" s="4">
        <v>1.98075E-4</v>
      </c>
      <c r="K55" s="4">
        <v>0.43668010699999998</v>
      </c>
      <c r="L55" s="4">
        <v>1.4E-2</v>
      </c>
      <c r="M55" s="4">
        <v>3</v>
      </c>
      <c r="N55" s="4">
        <v>24.186176039999999</v>
      </c>
      <c r="O55" s="4">
        <v>2.7949704022846897</v>
      </c>
      <c r="P55" s="4">
        <v>17.679559020398159</v>
      </c>
      <c r="Q55" s="4">
        <v>44.906079911811325</v>
      </c>
      <c r="R55" s="4">
        <v>1267.7787565588128</v>
      </c>
      <c r="S55" s="4">
        <v>3046.8126809872933</v>
      </c>
      <c r="T55" s="4">
        <v>8074.053604616327</v>
      </c>
      <c r="U55" s="4">
        <v>62.2</v>
      </c>
      <c r="V55" s="4">
        <v>0.64</v>
      </c>
      <c r="W55" s="4">
        <v>0</v>
      </c>
    </row>
    <row r="56" spans="1:23" x14ac:dyDescent="0.25">
      <c r="A56" s="4" t="s">
        <v>129</v>
      </c>
      <c r="B56" s="4" t="s">
        <v>130</v>
      </c>
      <c r="C56" s="4">
        <v>1</v>
      </c>
      <c r="D56" s="4">
        <v>2</v>
      </c>
      <c r="E56" s="4">
        <v>2</v>
      </c>
      <c r="F56" s="4">
        <v>127.5414564</v>
      </c>
      <c r="G56" s="4">
        <v>337.98485950000003</v>
      </c>
      <c r="H56" s="4">
        <v>53.070000010000001</v>
      </c>
      <c r="I56" s="4">
        <v>5.3069999999999999E-2</v>
      </c>
      <c r="J56" s="4">
        <v>5.3100000000000003E-5</v>
      </c>
      <c r="K56" s="4">
        <v>0.11699918300000001</v>
      </c>
      <c r="L56" s="4">
        <v>1.2500000000000001E-2</v>
      </c>
      <c r="M56" s="4">
        <v>2.88</v>
      </c>
      <c r="N56" s="4">
        <v>18.184487579999999</v>
      </c>
      <c r="O56" s="4">
        <v>4.4702735380298265E-2</v>
      </c>
      <c r="P56" s="4">
        <v>5.1260281366992722</v>
      </c>
      <c r="Q56" s="4">
        <v>13.020111467216152</v>
      </c>
      <c r="R56" s="4">
        <v>20.276843800880997</v>
      </c>
      <c r="S56" s="4">
        <v>48.730698872581094</v>
      </c>
      <c r="T56" s="4">
        <v>129.1363520123399</v>
      </c>
      <c r="U56" s="4">
        <v>158</v>
      </c>
      <c r="V56" s="4">
        <v>4.2999999999999997E-2</v>
      </c>
      <c r="W56" s="4">
        <v>0</v>
      </c>
    </row>
    <row r="57" spans="1:23" x14ac:dyDescent="0.25">
      <c r="A57" s="4" t="s">
        <v>131</v>
      </c>
      <c r="B57" s="4" t="s">
        <v>132</v>
      </c>
      <c r="C57" s="4">
        <v>1</v>
      </c>
      <c r="D57" s="4">
        <v>2</v>
      </c>
      <c r="E57" s="4">
        <v>2</v>
      </c>
      <c r="F57" s="4">
        <v>476.02739730000002</v>
      </c>
      <c r="G57" s="4">
        <v>1261.4726029999999</v>
      </c>
      <c r="H57" s="4">
        <v>198.07499999999999</v>
      </c>
      <c r="I57" s="4">
        <v>0.198075</v>
      </c>
      <c r="J57" s="4">
        <v>1.98075E-4</v>
      </c>
      <c r="K57" s="4">
        <v>0.43668010699999998</v>
      </c>
      <c r="L57" s="4">
        <v>1.4E-2</v>
      </c>
      <c r="M57" s="4">
        <v>2.9</v>
      </c>
      <c r="N57" s="4">
        <v>26.99457061</v>
      </c>
      <c r="O57" s="4">
        <v>8.0479844273819684E-2</v>
      </c>
      <c r="P57" s="4">
        <v>5.9316432662091669</v>
      </c>
      <c r="Q57" s="4">
        <v>15.066373896171283</v>
      </c>
      <c r="R57" s="4">
        <v>36.505086715089078</v>
      </c>
      <c r="S57" s="4">
        <v>87.731522987476765</v>
      </c>
      <c r="T57" s="4">
        <v>232.48853591681342</v>
      </c>
      <c r="U57" s="4">
        <v>45.7</v>
      </c>
      <c r="V57" s="4">
        <v>0.2</v>
      </c>
      <c r="W57" s="4">
        <v>0</v>
      </c>
    </row>
    <row r="58" spans="1:23" x14ac:dyDescent="0.25">
      <c r="A58" s="4" t="s">
        <v>133</v>
      </c>
      <c r="B58" s="4" t="s">
        <v>134</v>
      </c>
      <c r="C58" s="4">
        <v>1</v>
      </c>
      <c r="D58" s="4">
        <v>3</v>
      </c>
      <c r="E58" s="4">
        <v>3</v>
      </c>
      <c r="F58" s="4">
        <v>350</v>
      </c>
      <c r="G58" s="4">
        <v>927.5</v>
      </c>
      <c r="H58" s="4">
        <v>145.63499999999999</v>
      </c>
      <c r="I58" s="4">
        <v>0.14563499999999999</v>
      </c>
      <c r="J58" s="4">
        <v>1.45635E-4</v>
      </c>
      <c r="K58" s="4">
        <v>0.321069834</v>
      </c>
      <c r="L58" s="4">
        <v>1.2699999999999999E-2</v>
      </c>
      <c r="M58" s="4">
        <v>3.1</v>
      </c>
      <c r="N58" s="4">
        <v>20.394068969999999</v>
      </c>
      <c r="O58" s="4">
        <v>1.0132493897372563</v>
      </c>
      <c r="P58" s="4">
        <v>11.632568048143371</v>
      </c>
      <c r="Q58" s="4">
        <v>29.546722842284161</v>
      </c>
      <c r="R58" s="4">
        <v>459.60273867480845</v>
      </c>
      <c r="S58" s="4">
        <v>1104.5487591319595</v>
      </c>
      <c r="T58" s="4">
        <v>2927.0542116996926</v>
      </c>
      <c r="U58" s="4">
        <v>114</v>
      </c>
      <c r="V58" s="4">
        <v>0.1</v>
      </c>
      <c r="W58" s="4">
        <v>0</v>
      </c>
    </row>
    <row r="59" spans="1:23" x14ac:dyDescent="0.25">
      <c r="A59" s="4" t="s">
        <v>135</v>
      </c>
      <c r="B59" s="4" t="s">
        <v>136</v>
      </c>
      <c r="C59" s="4">
        <v>1</v>
      </c>
      <c r="D59" s="4">
        <v>2</v>
      </c>
      <c r="E59" s="4">
        <v>2</v>
      </c>
      <c r="F59" s="4">
        <v>476.02739730000002</v>
      </c>
      <c r="G59" s="4">
        <v>1261.4726029999999</v>
      </c>
      <c r="H59" s="4">
        <v>198.07499999999999</v>
      </c>
      <c r="I59" s="4">
        <v>0.198075</v>
      </c>
      <c r="J59" s="4">
        <v>1.98075E-4</v>
      </c>
      <c r="K59" s="4">
        <v>0.43668010699999998</v>
      </c>
      <c r="L59" s="4">
        <v>1.2E-2</v>
      </c>
      <c r="M59" s="4">
        <v>3</v>
      </c>
      <c r="N59" s="4">
        <v>25.46143086</v>
      </c>
      <c r="O59" s="4">
        <v>3.3956176932488723E-2</v>
      </c>
      <c r="P59" s="4">
        <v>4.2785920807721345</v>
      </c>
      <c r="Q59" s="4">
        <v>10.867623885161221</v>
      </c>
      <c r="R59" s="4">
        <v>15.402281088118915</v>
      </c>
      <c r="S59" s="4">
        <v>37.015816121410516</v>
      </c>
      <c r="T59" s="4">
        <v>98.09191272173787</v>
      </c>
      <c r="U59" s="4">
        <v>60.5</v>
      </c>
      <c r="V59" s="4">
        <v>9.9000000000000005E-2</v>
      </c>
      <c r="W59" s="4">
        <v>0</v>
      </c>
    </row>
    <row r="60" spans="1:23" x14ac:dyDescent="0.25">
      <c r="A60" s="4" t="s">
        <v>137</v>
      </c>
      <c r="B60" s="4" t="s">
        <v>138</v>
      </c>
      <c r="C60" s="4">
        <v>1</v>
      </c>
      <c r="D60" s="4">
        <v>1</v>
      </c>
      <c r="E60" s="4">
        <v>1</v>
      </c>
      <c r="F60" s="4">
        <v>37.010334049999997</v>
      </c>
      <c r="G60" s="4">
        <v>98.077385239999998</v>
      </c>
      <c r="H60" s="4">
        <v>15.4</v>
      </c>
      <c r="I60" s="4">
        <v>1.54E-2</v>
      </c>
      <c r="J60" s="4">
        <v>1.5400000000000002E-5</v>
      </c>
      <c r="K60" s="4">
        <v>3.3951148E-2</v>
      </c>
      <c r="L60" s="4">
        <v>1.2500000000000001E-2</v>
      </c>
      <c r="M60" s="4">
        <v>2.82</v>
      </c>
      <c r="N60" s="4">
        <v>12.472722040000001</v>
      </c>
      <c r="O60" s="4">
        <v>4.9266076436141004E-2</v>
      </c>
      <c r="P60" s="4">
        <v>5.6035809773118128</v>
      </c>
      <c r="Q60" s="4">
        <v>14.233095682372005</v>
      </c>
      <c r="R60" s="4">
        <v>22.34674294714781</v>
      </c>
      <c r="S60" s="4">
        <v>53.705222175313168</v>
      </c>
      <c r="T60" s="4">
        <v>142.31883876457988</v>
      </c>
      <c r="U60" s="4">
        <v>50</v>
      </c>
      <c r="V60" s="4">
        <v>0.33500000000000002</v>
      </c>
      <c r="W60" s="4">
        <v>0</v>
      </c>
    </row>
    <row r="61" spans="1:23" x14ac:dyDescent="0.25">
      <c r="A61" s="4" t="s">
        <v>21</v>
      </c>
      <c r="B61" s="4" t="s">
        <v>22</v>
      </c>
      <c r="C61" s="4">
        <v>2</v>
      </c>
      <c r="D61" s="4">
        <v>1</v>
      </c>
      <c r="E61" s="4">
        <v>2</v>
      </c>
      <c r="F61" s="4">
        <v>86.10910835</v>
      </c>
      <c r="G61" s="4">
        <v>228.18913710000001</v>
      </c>
      <c r="H61" s="4">
        <v>35.829999979999997</v>
      </c>
      <c r="I61" s="4">
        <v>3.5830000000000001E-2</v>
      </c>
      <c r="J61" s="4">
        <v>3.5800000000000003E-5</v>
      </c>
      <c r="K61" s="4">
        <v>7.8991535000000002E-2</v>
      </c>
      <c r="L61" s="4">
        <v>1.6E-2</v>
      </c>
      <c r="M61" s="4">
        <v>3</v>
      </c>
      <c r="N61" s="4">
        <v>13.083048209999999</v>
      </c>
      <c r="O61" s="4">
        <v>1.6021429446310197E-2</v>
      </c>
      <c r="P61" s="4">
        <v>3.0263242791203844</v>
      </c>
      <c r="Q61" s="4">
        <v>7.6868636689657759</v>
      </c>
      <c r="R61" s="4">
        <v>7.2672067958696731</v>
      </c>
      <c r="S61" s="4">
        <v>17.465048776423149</v>
      </c>
      <c r="T61" s="4">
        <v>46.282379257521342</v>
      </c>
      <c r="U61" s="4">
        <v>11</v>
      </c>
      <c r="V61" s="4">
        <v>0.6</v>
      </c>
      <c r="W61" s="4">
        <v>0</v>
      </c>
    </row>
    <row r="62" spans="1:23" x14ac:dyDescent="0.25">
      <c r="A62" s="4" t="s">
        <v>23</v>
      </c>
      <c r="B62" s="4" t="s">
        <v>24</v>
      </c>
      <c r="C62" s="4">
        <v>2</v>
      </c>
      <c r="D62" s="4">
        <v>3</v>
      </c>
      <c r="E62" s="4">
        <v>6</v>
      </c>
      <c r="F62" s="4">
        <v>67705.010320000001</v>
      </c>
      <c r="G62" s="4">
        <v>179418.27739999999</v>
      </c>
      <c r="H62" s="4">
        <v>28172.054789999998</v>
      </c>
      <c r="I62" s="4">
        <v>28.172054790000001</v>
      </c>
      <c r="J62" s="4">
        <v>2.8172055000000001E-2</v>
      </c>
      <c r="K62" s="4">
        <v>62.108675439999999</v>
      </c>
      <c r="L62" s="4">
        <v>2.5999999999999999E-2</v>
      </c>
      <c r="M62" s="4">
        <v>3</v>
      </c>
      <c r="N62" s="4">
        <v>145.55493849999999</v>
      </c>
      <c r="O62" s="4">
        <v>189.20063197228112</v>
      </c>
      <c r="P62" s="4">
        <v>58.61896066494932</v>
      </c>
      <c r="Q62" s="4">
        <v>148.89216008897128</v>
      </c>
      <c r="R62" s="4">
        <v>85820.065123368709</v>
      </c>
      <c r="S62" s="4">
        <v>206248.65446615889</v>
      </c>
      <c r="T62" s="4">
        <v>546558.93433532107</v>
      </c>
      <c r="U62" s="4">
        <v>330</v>
      </c>
      <c r="V62" s="4">
        <v>0.1</v>
      </c>
      <c r="W62" s="4">
        <v>0</v>
      </c>
    </row>
    <row r="63" spans="1:23" x14ac:dyDescent="0.25">
      <c r="A63" s="4" t="s">
        <v>25</v>
      </c>
      <c r="B63" s="4" t="s">
        <v>26</v>
      </c>
      <c r="C63" s="4">
        <v>2</v>
      </c>
      <c r="D63" s="4">
        <v>3</v>
      </c>
      <c r="E63" s="4">
        <v>6</v>
      </c>
      <c r="F63" s="4">
        <v>67705.010320000001</v>
      </c>
      <c r="G63" s="4">
        <v>179418.27739999999</v>
      </c>
      <c r="H63" s="4">
        <v>28172.054789999998</v>
      </c>
      <c r="I63" s="4">
        <v>28.172054790000001</v>
      </c>
      <c r="J63" s="4">
        <v>2.8172055000000001E-2</v>
      </c>
      <c r="K63" s="4">
        <v>62.108675439999999</v>
      </c>
      <c r="L63" s="4">
        <v>2.1399999999999999E-2</v>
      </c>
      <c r="M63" s="4">
        <v>2.96</v>
      </c>
      <c r="N63" s="4">
        <v>116.779462</v>
      </c>
      <c r="O63" s="4">
        <v>135.94725876141783</v>
      </c>
      <c r="P63" s="4">
        <v>59.90613904822456</v>
      </c>
      <c r="Q63" s="4">
        <v>152.16159318249038</v>
      </c>
      <c r="R63" s="4">
        <v>61664.712631391267</v>
      </c>
      <c r="S63" s="4">
        <v>148196.85804227652</v>
      </c>
      <c r="T63" s="4">
        <v>392721.67381203279</v>
      </c>
      <c r="U63" s="4">
        <v>358.7</v>
      </c>
      <c r="V63" s="4">
        <v>9.1999999999999998E-2</v>
      </c>
      <c r="W63" s="4">
        <v>0</v>
      </c>
    </row>
    <row r="64" spans="1:23" x14ac:dyDescent="0.25">
      <c r="A64" s="4" t="s">
        <v>27</v>
      </c>
      <c r="B64" s="4" t="s">
        <v>28</v>
      </c>
      <c r="C64" s="4">
        <v>2</v>
      </c>
      <c r="D64" s="4">
        <v>1</v>
      </c>
      <c r="E64" s="4">
        <v>2</v>
      </c>
      <c r="F64" s="4">
        <v>1159.3366980000001</v>
      </c>
      <c r="G64" s="4">
        <v>3072.2422499999998</v>
      </c>
      <c r="H64" s="4">
        <v>482.4</v>
      </c>
      <c r="I64" s="4">
        <v>0.4824</v>
      </c>
      <c r="J64" s="4">
        <v>4.8240000000000002E-4</v>
      </c>
      <c r="K64" s="4">
        <v>1.063508688</v>
      </c>
      <c r="L64" s="4">
        <v>1.0999999999999999E-2</v>
      </c>
      <c r="M64" s="4">
        <v>2.9</v>
      </c>
      <c r="N64" s="4">
        <v>39.874448970000003</v>
      </c>
      <c r="O64" s="4">
        <v>0.52152975596050932</v>
      </c>
      <c r="P64" s="4">
        <v>12.27863135631044</v>
      </c>
      <c r="Q64" s="4">
        <v>31.187723645028516</v>
      </c>
      <c r="R64" s="4">
        <v>236.56219936338658</v>
      </c>
      <c r="S64" s="4">
        <v>568.52246903000855</v>
      </c>
      <c r="T64" s="4">
        <v>1506.5845429295225</v>
      </c>
      <c r="U64" s="4">
        <v>94.6</v>
      </c>
      <c r="V64" s="4">
        <v>0.2</v>
      </c>
      <c r="W64" s="4">
        <v>0</v>
      </c>
    </row>
    <row r="65" spans="1:23" x14ac:dyDescent="0.25">
      <c r="A65" s="4" t="s">
        <v>29</v>
      </c>
      <c r="B65" s="4" t="s">
        <v>30</v>
      </c>
      <c r="C65" s="4">
        <v>2</v>
      </c>
      <c r="D65" s="4">
        <v>7</v>
      </c>
      <c r="E65" s="2">
        <v>14</v>
      </c>
      <c r="F65" s="4">
        <v>9019.2820400000001</v>
      </c>
      <c r="G65" s="4">
        <v>23901.197400000001</v>
      </c>
      <c r="H65" s="4">
        <v>3752.9232569999999</v>
      </c>
      <c r="I65" s="4">
        <v>3.752923257</v>
      </c>
      <c r="J65" s="4">
        <v>3.752923E-3</v>
      </c>
      <c r="K65" s="4">
        <v>8.2737696710000002</v>
      </c>
      <c r="L65" s="4">
        <v>3.2499999999999999E-3</v>
      </c>
      <c r="M65" s="4">
        <v>3</v>
      </c>
      <c r="N65" s="4">
        <v>104.9128716</v>
      </c>
      <c r="O65" s="4">
        <v>92.168043582290295</v>
      </c>
      <c r="P65" s="4">
        <v>92.247379611874166</v>
      </c>
      <c r="Q65" s="4">
        <v>234.3083442141604</v>
      </c>
      <c r="R65" s="4">
        <v>41806.771045481895</v>
      </c>
      <c r="S65" s="4">
        <v>100472.89364451308</v>
      </c>
      <c r="T65" s="4">
        <v>266253.16815795965</v>
      </c>
      <c r="U65" s="4">
        <v>311</v>
      </c>
      <c r="V65" s="4">
        <v>0.1</v>
      </c>
      <c r="W65" s="4">
        <v>0</v>
      </c>
    </row>
    <row r="66" spans="1:23" x14ac:dyDescent="0.25">
      <c r="A66" s="2" t="s">
        <v>31</v>
      </c>
      <c r="B66" s="4" t="s">
        <v>32</v>
      </c>
      <c r="C66" s="4">
        <v>2</v>
      </c>
      <c r="D66" s="4">
        <v>1</v>
      </c>
      <c r="E66" s="4">
        <v>2</v>
      </c>
      <c r="F66" s="4">
        <v>86.10910835</v>
      </c>
      <c r="G66" s="4">
        <v>228.18913710000001</v>
      </c>
      <c r="H66" s="4">
        <v>35.829999984435005</v>
      </c>
      <c r="I66" s="4">
        <v>3.5829999984435007E-2</v>
      </c>
      <c r="J66" s="4">
        <v>3.5829999984435005E-5</v>
      </c>
      <c r="K66" s="4">
        <v>7.8991534565685098E-2</v>
      </c>
      <c r="L66" s="3">
        <v>1.1599999999999999E-2</v>
      </c>
      <c r="M66" s="3">
        <v>3</v>
      </c>
      <c r="N66" s="4">
        <v>14.563405416509527</v>
      </c>
      <c r="O66" s="4">
        <v>0.3806694731127529</v>
      </c>
      <c r="P66" s="4">
        <v>9.6846751147836159</v>
      </c>
      <c r="Q66" s="4">
        <v>24.599074791550386</v>
      </c>
      <c r="R66" s="2">
        <v>172.6689738425456</v>
      </c>
      <c r="S66" s="2">
        <v>414.9698962810516</v>
      </c>
      <c r="T66" s="2">
        <v>1099.6702251447866</v>
      </c>
      <c r="U66" s="2">
        <v>29.172666666666665</v>
      </c>
      <c r="V66" s="2">
        <v>0.92646666666666677</v>
      </c>
      <c r="W66" s="2">
        <v>0</v>
      </c>
    </row>
    <row r="67" spans="1:23" x14ac:dyDescent="0.25">
      <c r="A67" s="4" t="s">
        <v>33</v>
      </c>
      <c r="B67" s="4" t="s">
        <v>34</v>
      </c>
      <c r="C67" s="4">
        <v>2</v>
      </c>
      <c r="D67" s="4">
        <v>2</v>
      </c>
      <c r="E67" s="4">
        <v>4</v>
      </c>
      <c r="F67" s="4">
        <v>347.4885845</v>
      </c>
      <c r="G67" s="4">
        <v>920.84474890000001</v>
      </c>
      <c r="H67" s="4">
        <v>144.59</v>
      </c>
      <c r="I67" s="4">
        <v>0.14459</v>
      </c>
      <c r="J67" s="4">
        <v>1.4459E-4</v>
      </c>
      <c r="K67" s="4">
        <v>0.31876600599999999</v>
      </c>
      <c r="L67" s="4">
        <v>1.4999999999999999E-2</v>
      </c>
      <c r="M67" s="4">
        <v>3</v>
      </c>
      <c r="N67" s="4">
        <v>21.282158150000001</v>
      </c>
      <c r="O67" s="4">
        <v>1.2245305445384709</v>
      </c>
      <c r="P67" s="4">
        <v>13.122436813078915</v>
      </c>
      <c r="Q67" s="4">
        <v>33.330989505220444</v>
      </c>
      <c r="R67" s="4">
        <v>555.43837239001323</v>
      </c>
      <c r="S67" s="4">
        <v>1334.8675135544656</v>
      </c>
      <c r="T67" s="4">
        <v>3537.398910919334</v>
      </c>
      <c r="U67" s="4">
        <v>58.9</v>
      </c>
      <c r="V67" s="4">
        <v>0.22</v>
      </c>
      <c r="W67" s="4">
        <v>0.20699999999999999</v>
      </c>
    </row>
    <row r="68" spans="1:23" x14ac:dyDescent="0.25">
      <c r="A68" s="4" t="s">
        <v>35</v>
      </c>
      <c r="B68" s="4" t="s">
        <v>36</v>
      </c>
      <c r="C68" s="4">
        <v>2</v>
      </c>
      <c r="D68" s="4">
        <v>1</v>
      </c>
      <c r="E68" s="4">
        <v>2</v>
      </c>
      <c r="F68" s="4">
        <v>86.10910835</v>
      </c>
      <c r="G68" s="4">
        <v>228.18913710000001</v>
      </c>
      <c r="H68" s="4">
        <v>35.829999979999997</v>
      </c>
      <c r="I68" s="4">
        <v>3.5830000000000001E-2</v>
      </c>
      <c r="J68" s="4">
        <v>3.5800000000000003E-5</v>
      </c>
      <c r="K68" s="4">
        <v>7.8991535000000002E-2</v>
      </c>
      <c r="L68" s="4">
        <v>2.1000000000000001E-2</v>
      </c>
      <c r="M68" s="4">
        <v>3</v>
      </c>
      <c r="N68" s="4">
        <v>11.949301090000001</v>
      </c>
      <c r="O68" s="4">
        <v>0.24709959276742252</v>
      </c>
      <c r="P68" s="4">
        <v>6.8802773815766418</v>
      </c>
      <c r="Q68" s="4">
        <v>17.475904549204671</v>
      </c>
      <c r="R68" s="4">
        <v>112.08262320373693</v>
      </c>
      <c r="S68" s="4">
        <v>269.36463158792822</v>
      </c>
      <c r="T68" s="4">
        <v>713.8162737080097</v>
      </c>
      <c r="U68" s="4">
        <v>21.02</v>
      </c>
      <c r="V68" s="4">
        <v>0.86</v>
      </c>
      <c r="W68" s="4">
        <v>-6.9989999999999997E-2</v>
      </c>
    </row>
    <row r="69" spans="1:23" x14ac:dyDescent="0.25">
      <c r="A69" s="4" t="s">
        <v>37</v>
      </c>
      <c r="B69" s="4" t="s">
        <v>38</v>
      </c>
      <c r="C69" s="4">
        <v>2</v>
      </c>
      <c r="D69" s="4">
        <v>9</v>
      </c>
      <c r="E69" s="4">
        <v>18</v>
      </c>
      <c r="F69" s="4">
        <v>1762470683</v>
      </c>
      <c r="G69" s="4">
        <v>4670547309</v>
      </c>
      <c r="H69" s="4">
        <v>733364051.20000005</v>
      </c>
      <c r="I69" s="4">
        <v>733364.05119999999</v>
      </c>
      <c r="J69" s="4">
        <v>733.36405119999995</v>
      </c>
      <c r="K69" s="4">
        <v>1616789.0549999999</v>
      </c>
      <c r="L69" s="2">
        <v>6.0000000000000001E-3</v>
      </c>
      <c r="M69" s="4">
        <v>3</v>
      </c>
      <c r="N69" s="4">
        <v>1542.0432000000001</v>
      </c>
      <c r="O69" s="4">
        <v>121995.31086125968</v>
      </c>
      <c r="P69" s="4">
        <v>825.63038000523647</v>
      </c>
      <c r="Q69" s="4">
        <v>2097.1011652133006</v>
      </c>
      <c r="R69" s="2">
        <v>55336207.991064079</v>
      </c>
      <c r="S69" s="2">
        <v>132987762.5356022</v>
      </c>
      <c r="T69" s="2">
        <v>352417570.71934581</v>
      </c>
      <c r="U69" s="2">
        <v>2097.3599999999997</v>
      </c>
      <c r="V69" s="2">
        <v>0.5</v>
      </c>
      <c r="W69" s="2">
        <v>0</v>
      </c>
    </row>
    <row r="70" spans="1:23" x14ac:dyDescent="0.25">
      <c r="A70" s="4" t="s">
        <v>39</v>
      </c>
      <c r="B70" s="4" t="s">
        <v>40</v>
      </c>
      <c r="C70" s="4">
        <v>2</v>
      </c>
      <c r="D70" s="4">
        <v>2</v>
      </c>
      <c r="E70" s="4">
        <v>4</v>
      </c>
      <c r="F70" s="4">
        <v>3222.0620039999999</v>
      </c>
      <c r="G70" s="4">
        <v>8538.4643109999997</v>
      </c>
      <c r="H70" s="4">
        <v>1340.7</v>
      </c>
      <c r="I70" s="4">
        <v>1.3407</v>
      </c>
      <c r="J70" s="4">
        <v>1.3407E-3</v>
      </c>
      <c r="K70" s="4">
        <v>2.9557340339999998</v>
      </c>
      <c r="L70" s="4">
        <v>1.2E-2</v>
      </c>
      <c r="M70" s="4">
        <v>3</v>
      </c>
      <c r="N70" s="4">
        <v>48.163361209999998</v>
      </c>
      <c r="O70" s="4">
        <v>3.7901550988063568</v>
      </c>
      <c r="P70" s="4">
        <v>20.600619524629806</v>
      </c>
      <c r="Q70" s="4">
        <v>52.325573592559707</v>
      </c>
      <c r="R70" s="4">
        <v>1719.1874784798999</v>
      </c>
      <c r="S70" s="4">
        <v>4131.6690182165348</v>
      </c>
      <c r="T70" s="4">
        <v>10948.922898273817</v>
      </c>
      <c r="U70" s="4">
        <v>150.93</v>
      </c>
      <c r="V70" s="4">
        <v>0.11</v>
      </c>
      <c r="W70" s="4">
        <v>0.13</v>
      </c>
    </row>
    <row r="71" spans="1:23" x14ac:dyDescent="0.25">
      <c r="A71" s="4" t="s">
        <v>41</v>
      </c>
      <c r="B71" s="4" t="s">
        <v>42</v>
      </c>
      <c r="C71" s="4">
        <v>2</v>
      </c>
      <c r="D71" s="4">
        <v>4</v>
      </c>
      <c r="E71" s="4">
        <v>8</v>
      </c>
      <c r="F71" s="4">
        <v>1944.8301750000001</v>
      </c>
      <c r="G71" s="4">
        <v>5153.7999630000004</v>
      </c>
      <c r="H71" s="4">
        <v>809.24383580000006</v>
      </c>
      <c r="I71" s="4">
        <v>0.80924383600000005</v>
      </c>
      <c r="J71" s="4">
        <v>8.0924399999999998E-4</v>
      </c>
      <c r="K71" s="4">
        <v>1.7840751450000001</v>
      </c>
      <c r="L71" s="4">
        <v>1.34E-2</v>
      </c>
      <c r="M71" s="4">
        <v>3.1</v>
      </c>
      <c r="N71" s="4">
        <v>34.853778869999999</v>
      </c>
      <c r="O71" s="4">
        <v>8.8123467943379108</v>
      </c>
      <c r="P71" s="4">
        <v>22.971184634504269</v>
      </c>
      <c r="Q71" s="4">
        <v>58.34680897164084</v>
      </c>
      <c r="R71" s="4">
        <v>3997.2180213995657</v>
      </c>
      <c r="S71" s="4">
        <v>9606.3879389559388</v>
      </c>
      <c r="T71" s="4">
        <v>25456.928038233236</v>
      </c>
      <c r="U71" s="4">
        <v>91.5</v>
      </c>
      <c r="V71" s="4">
        <v>0.12690000000000001</v>
      </c>
      <c r="W71" s="4">
        <v>0</v>
      </c>
    </row>
    <row r="72" spans="1:23" x14ac:dyDescent="0.25">
      <c r="A72" s="4" t="s">
        <v>43</v>
      </c>
      <c r="B72" s="4" t="s">
        <v>44</v>
      </c>
      <c r="C72" s="4">
        <v>2</v>
      </c>
      <c r="D72" s="4">
        <v>2</v>
      </c>
      <c r="E72" s="4">
        <v>4</v>
      </c>
      <c r="F72" s="4">
        <v>347.4885845</v>
      </c>
      <c r="G72" s="4">
        <v>920.84474890000001</v>
      </c>
      <c r="H72" s="4">
        <v>144.59</v>
      </c>
      <c r="I72" s="4">
        <v>0.14459</v>
      </c>
      <c r="J72" s="4">
        <v>1.4459E-4</v>
      </c>
      <c r="K72" s="4">
        <v>0.31876600599999999</v>
      </c>
      <c r="L72" s="4">
        <v>1.44E-2</v>
      </c>
      <c r="M72" s="4">
        <v>3</v>
      </c>
      <c r="N72" s="4">
        <v>21.5737308</v>
      </c>
      <c r="O72" s="4">
        <v>1.985857524505982</v>
      </c>
      <c r="P72" s="4">
        <v>15.628485733024908</v>
      </c>
      <c r="Q72" s="4">
        <v>39.696353761883266</v>
      </c>
      <c r="R72" s="2">
        <v>900.77089226532553</v>
      </c>
      <c r="S72" s="2">
        <v>2164.7942616326013</v>
      </c>
      <c r="T72" s="2">
        <v>5736.704793326393</v>
      </c>
      <c r="U72" s="2">
        <v>47.633333333333333</v>
      </c>
      <c r="V72" s="2">
        <v>0.44799999999999995</v>
      </c>
      <c r="W72" s="2">
        <v>0</v>
      </c>
    </row>
    <row r="73" spans="1:23" x14ac:dyDescent="0.25">
      <c r="A73" s="4" t="s">
        <v>45</v>
      </c>
      <c r="B73" s="4" t="s">
        <v>46</v>
      </c>
      <c r="C73" s="4">
        <v>2</v>
      </c>
      <c r="D73" s="4">
        <v>5</v>
      </c>
      <c r="E73" s="4">
        <v>10</v>
      </c>
      <c r="F73" s="4">
        <v>3110.5273029999998</v>
      </c>
      <c r="G73" s="4">
        <v>8242.8973540000006</v>
      </c>
      <c r="H73" s="4">
        <v>1294.2904109999999</v>
      </c>
      <c r="I73" s="4">
        <v>1.294290411</v>
      </c>
      <c r="J73" s="4">
        <v>1.29429E-3</v>
      </c>
      <c r="K73" s="4">
        <v>2.8534185249999999</v>
      </c>
      <c r="L73" s="4">
        <v>3.96E-3</v>
      </c>
      <c r="M73" s="4">
        <v>3.2</v>
      </c>
      <c r="N73" s="4">
        <v>52.872539600000003</v>
      </c>
      <c r="O73" s="4">
        <v>548.89020310746287</v>
      </c>
      <c r="P73" s="4">
        <v>107.69212717553216</v>
      </c>
      <c r="Q73" s="4">
        <v>273.53800302585171</v>
      </c>
      <c r="R73" s="2">
        <v>248972.70418823327</v>
      </c>
      <c r="S73" s="2">
        <v>598348.24366314162</v>
      </c>
      <c r="T73" s="2">
        <v>1585622.8457073253</v>
      </c>
      <c r="U73" s="2">
        <v>300.78571428571428</v>
      </c>
      <c r="V73" s="2">
        <v>0.24014285714285719</v>
      </c>
      <c r="W73" s="2">
        <v>0</v>
      </c>
    </row>
    <row r="74" spans="1:23" x14ac:dyDescent="0.25">
      <c r="A74" s="2" t="s">
        <v>47</v>
      </c>
      <c r="B74" s="4" t="s">
        <v>48</v>
      </c>
      <c r="C74" s="4">
        <v>2</v>
      </c>
      <c r="D74" s="4">
        <v>1</v>
      </c>
      <c r="E74" s="4">
        <v>2</v>
      </c>
      <c r="F74" s="4">
        <v>120.16342229999999</v>
      </c>
      <c r="G74" s="4">
        <v>318.43306899999999</v>
      </c>
      <c r="H74" s="4">
        <v>50.000000019030004</v>
      </c>
      <c r="I74" s="4">
        <v>5.0000000019030003E-2</v>
      </c>
      <c r="J74" s="4">
        <v>5.000000001903E-5</v>
      </c>
      <c r="K74" s="4">
        <v>0.11023100004195391</v>
      </c>
      <c r="L74" s="3">
        <v>1.23E-2</v>
      </c>
      <c r="M74" s="3">
        <v>3.2</v>
      </c>
      <c r="N74" s="4">
        <v>13.422480419127959</v>
      </c>
      <c r="O74" s="4">
        <v>1.0380652970264856</v>
      </c>
      <c r="P74" s="4">
        <v>10.649993717455057</v>
      </c>
      <c r="Q74" s="4">
        <v>27.050984042335848</v>
      </c>
      <c r="R74" s="2">
        <v>470.85905826241515</v>
      </c>
      <c r="S74" s="2">
        <v>1131.6007168046506</v>
      </c>
      <c r="T74" s="2">
        <v>2998.7418995323237</v>
      </c>
      <c r="U74" s="2">
        <v>39.200000000000003</v>
      </c>
      <c r="V74" s="2">
        <v>0.58571428571428563</v>
      </c>
      <c r="W74" s="2">
        <v>0</v>
      </c>
    </row>
    <row r="75" spans="1:23" x14ac:dyDescent="0.25">
      <c r="A75" s="2" t="s">
        <v>49</v>
      </c>
      <c r="B75" s="4" t="s">
        <v>50</v>
      </c>
      <c r="C75" s="4">
        <v>2</v>
      </c>
      <c r="D75" s="4">
        <v>1</v>
      </c>
      <c r="E75" s="4">
        <v>2</v>
      </c>
      <c r="F75" s="4">
        <v>347.4885845</v>
      </c>
      <c r="G75" s="4">
        <v>920.84474890000001</v>
      </c>
      <c r="H75" s="4">
        <v>144.59000001044998</v>
      </c>
      <c r="I75" s="4">
        <v>0.14459000001044997</v>
      </c>
      <c r="J75" s="4">
        <v>1.4459000001044997E-4</v>
      </c>
      <c r="K75" s="4">
        <v>0.31876600582303821</v>
      </c>
      <c r="L75" s="3">
        <v>1.2E-2</v>
      </c>
      <c r="M75" s="3">
        <v>3.1</v>
      </c>
      <c r="N75" s="4">
        <v>20.722289929778977</v>
      </c>
      <c r="O75" s="4">
        <v>0.27150214154147551</v>
      </c>
      <c r="P75" s="4">
        <v>7.7467682546998846</v>
      </c>
      <c r="Q75" s="4">
        <v>19.676791366937707</v>
      </c>
      <c r="R75" s="2">
        <v>123.15144629980473</v>
      </c>
      <c r="S75" s="2">
        <v>295.96598485893952</v>
      </c>
      <c r="T75" s="2">
        <v>784.30985987618965</v>
      </c>
      <c r="U75" s="2">
        <v>54.3</v>
      </c>
      <c r="V75" s="2">
        <v>0.22500000000000001</v>
      </c>
      <c r="W75" s="2">
        <v>0</v>
      </c>
    </row>
    <row r="76" spans="1:23" x14ac:dyDescent="0.25">
      <c r="A76" s="2" t="s">
        <v>51</v>
      </c>
      <c r="B76" s="4" t="s">
        <v>52</v>
      </c>
      <c r="C76" s="4">
        <v>2</v>
      </c>
      <c r="D76" s="4">
        <v>1</v>
      </c>
      <c r="E76" s="4">
        <v>2</v>
      </c>
      <c r="F76" s="4">
        <v>1129.488104</v>
      </c>
      <c r="G76" s="4">
        <v>2993.143474</v>
      </c>
      <c r="H76" s="4">
        <v>469.98000007439998</v>
      </c>
      <c r="I76" s="4">
        <v>0.4699800000744</v>
      </c>
      <c r="J76" s="4">
        <v>4.6998000007440001E-4</v>
      </c>
      <c r="K76" s="4">
        <v>1.0361273077640236</v>
      </c>
      <c r="L76" s="3">
        <v>1.24E-2</v>
      </c>
      <c r="M76" s="3">
        <v>3.2</v>
      </c>
      <c r="N76" s="4">
        <v>26.966869202838879</v>
      </c>
      <c r="O76" s="4">
        <v>1.8640835784128396E-2</v>
      </c>
      <c r="P76" s="4">
        <v>3.0248277144610802</v>
      </c>
      <c r="Q76" s="4">
        <v>7.6830623947311434</v>
      </c>
      <c r="R76" s="2">
        <v>8.4553509376347833</v>
      </c>
      <c r="S76" s="2">
        <v>20.320478100540214</v>
      </c>
      <c r="T76" s="2">
        <v>53.849266966431564</v>
      </c>
      <c r="U76" s="4">
        <v>20.9</v>
      </c>
      <c r="V76" s="4">
        <v>0.19500000000000001</v>
      </c>
      <c r="W76" s="4">
        <v>-0.35</v>
      </c>
    </row>
    <row r="77" spans="1:23" x14ac:dyDescent="0.25">
      <c r="A77" s="4" t="s">
        <v>53</v>
      </c>
      <c r="B77" s="4" t="s">
        <v>54</v>
      </c>
      <c r="C77" s="4">
        <v>2</v>
      </c>
      <c r="D77" s="4">
        <v>2</v>
      </c>
      <c r="E77" s="4">
        <v>4</v>
      </c>
      <c r="F77" s="4">
        <v>1129.488104</v>
      </c>
      <c r="G77" s="4">
        <v>2993.143474</v>
      </c>
      <c r="H77" s="4">
        <v>469.98000009999998</v>
      </c>
      <c r="I77" s="4">
        <v>0.46998000000000001</v>
      </c>
      <c r="J77" s="4">
        <v>4.6998E-4</v>
      </c>
      <c r="K77" s="4">
        <v>1.036127308</v>
      </c>
      <c r="L77" s="4">
        <v>1.2E-2</v>
      </c>
      <c r="M77" s="4">
        <v>2.95</v>
      </c>
      <c r="N77" s="4">
        <v>36.05077627</v>
      </c>
      <c r="O77" s="4">
        <v>0.18841727616725545</v>
      </c>
      <c r="P77" s="4">
        <v>7.964056422445208</v>
      </c>
      <c r="Q77" s="4">
        <v>20.228703313010829</v>
      </c>
      <c r="R77" s="4">
        <v>85.464740484643812</v>
      </c>
      <c r="S77" s="4">
        <v>205.39471397414999</v>
      </c>
      <c r="T77" s="4">
        <v>544.29599203149746</v>
      </c>
      <c r="U77" s="4">
        <v>41</v>
      </c>
      <c r="V77" s="4">
        <v>0.17</v>
      </c>
      <c r="W77" s="4">
        <v>0</v>
      </c>
    </row>
    <row r="78" spans="1:23" x14ac:dyDescent="0.25">
      <c r="A78" s="4" t="s">
        <v>55</v>
      </c>
      <c r="B78" s="4" t="s">
        <v>56</v>
      </c>
      <c r="C78" s="4">
        <v>2</v>
      </c>
      <c r="D78" s="4">
        <v>1</v>
      </c>
      <c r="E78" s="4">
        <v>2</v>
      </c>
      <c r="F78" s="4">
        <v>155.0108147</v>
      </c>
      <c r="G78" s="4">
        <v>410.778659</v>
      </c>
      <c r="H78" s="4">
        <v>64.5</v>
      </c>
      <c r="I78" s="4">
        <v>6.4500000000000002E-2</v>
      </c>
      <c r="J78" s="4">
        <v>6.4499999999999996E-5</v>
      </c>
      <c r="K78" s="4">
        <v>0.14219799</v>
      </c>
      <c r="L78" s="4">
        <v>1.2999999999999999E-2</v>
      </c>
      <c r="M78" s="4">
        <v>3</v>
      </c>
      <c r="N78" s="4">
        <v>17.055801020000001</v>
      </c>
      <c r="O78" s="4">
        <v>0.47325800148199632</v>
      </c>
      <c r="P78" s="4">
        <v>10.02551228346263</v>
      </c>
      <c r="Q78" s="4">
        <v>25.464801199995083</v>
      </c>
      <c r="R78" s="4">
        <v>214.66647380591499</v>
      </c>
      <c r="S78" s="4">
        <v>515.90116271548902</v>
      </c>
      <c r="T78" s="4">
        <v>1367.138081196046</v>
      </c>
      <c r="U78" s="4">
        <v>152</v>
      </c>
      <c r="V78" s="4">
        <v>9.6000000000000002E-2</v>
      </c>
      <c r="W78" s="4">
        <v>0.09</v>
      </c>
    </row>
    <row r="79" spans="1:23" x14ac:dyDescent="0.25">
      <c r="A79" s="4" t="s">
        <v>57</v>
      </c>
      <c r="B79" s="4" t="s">
        <v>58</v>
      </c>
      <c r="C79" s="4">
        <v>2</v>
      </c>
      <c r="D79" s="4">
        <v>2</v>
      </c>
      <c r="E79" s="4">
        <v>4</v>
      </c>
      <c r="F79" s="4">
        <v>1987.02235</v>
      </c>
      <c r="G79" s="4">
        <v>5265.6092280000003</v>
      </c>
      <c r="H79" s="4">
        <v>826.79999980000002</v>
      </c>
      <c r="I79" s="4">
        <v>0.82679999999999998</v>
      </c>
      <c r="J79" s="4">
        <v>8.2680000000000004E-4</v>
      </c>
      <c r="K79" s="4">
        <v>1.8227798159999999</v>
      </c>
      <c r="L79" s="4">
        <v>4.0000000000000001E-3</v>
      </c>
      <c r="M79" s="4">
        <v>3.1</v>
      </c>
      <c r="N79" s="4">
        <v>41.2261539</v>
      </c>
      <c r="O79" s="4">
        <v>2.6075497870551114</v>
      </c>
      <c r="P79" s="4">
        <v>22.906198361491981</v>
      </c>
      <c r="Q79" s="4">
        <v>58.181743838189632</v>
      </c>
      <c r="R79" s="4">
        <v>1182.7660944086108</v>
      </c>
      <c r="S79" s="4">
        <v>2842.5044326090137</v>
      </c>
      <c r="T79" s="4">
        <v>7532.6367464138866</v>
      </c>
      <c r="U79" s="4">
        <v>72.900000000000006</v>
      </c>
      <c r="V79" s="4">
        <v>0.4</v>
      </c>
      <c r="W79" s="4">
        <v>0</v>
      </c>
    </row>
    <row r="80" spans="1:23" x14ac:dyDescent="0.25">
      <c r="A80" s="4" t="s">
        <v>59</v>
      </c>
      <c r="B80" s="4" t="s">
        <v>60</v>
      </c>
      <c r="C80" s="4">
        <v>2</v>
      </c>
      <c r="D80" s="4">
        <v>2</v>
      </c>
      <c r="E80" s="4">
        <v>4</v>
      </c>
      <c r="F80" s="4">
        <v>1129.488104</v>
      </c>
      <c r="G80" s="4">
        <v>2993.143474</v>
      </c>
      <c r="H80" s="4">
        <v>469.98000009999998</v>
      </c>
      <c r="I80" s="4">
        <v>0.46998000000000001</v>
      </c>
      <c r="J80" s="4">
        <v>4.6998E-4</v>
      </c>
      <c r="K80" s="4">
        <v>1.036127308</v>
      </c>
      <c r="L80" s="4">
        <v>1.6799999999999999E-2</v>
      </c>
      <c r="M80" s="4">
        <v>3.1</v>
      </c>
      <c r="N80" s="4">
        <v>27.19205101</v>
      </c>
      <c r="O80" s="4">
        <v>12.350698548657491</v>
      </c>
      <c r="P80" s="4">
        <v>23.811942810023442</v>
      </c>
      <c r="Q80" s="4">
        <v>60.482334737459546</v>
      </c>
      <c r="R80" s="4">
        <v>5602.1892882480834</v>
      </c>
      <c r="S80" s="4">
        <v>13463.564739841586</v>
      </c>
      <c r="T80" s="4">
        <v>35678.446560580203</v>
      </c>
      <c r="U80" s="4">
        <v>263.2</v>
      </c>
      <c r="V80" s="4">
        <v>7.0000000000000007E-2</v>
      </c>
      <c r="W80" s="4">
        <v>0.27</v>
      </c>
    </row>
    <row r="81" spans="1:23" x14ac:dyDescent="0.25">
      <c r="A81" s="4" t="s">
        <v>61</v>
      </c>
      <c r="B81" s="4" t="s">
        <v>62</v>
      </c>
      <c r="C81" s="4">
        <v>2</v>
      </c>
      <c r="D81" s="4">
        <v>1</v>
      </c>
      <c r="E81" s="4">
        <v>2</v>
      </c>
      <c r="F81" s="4">
        <v>32.972843070000003</v>
      </c>
      <c r="G81" s="4">
        <v>87.378034139999997</v>
      </c>
      <c r="H81" s="4">
        <v>13.72</v>
      </c>
      <c r="I81" s="4">
        <v>1.372E-2</v>
      </c>
      <c r="J81" s="4">
        <v>1.3699999999999999E-5</v>
      </c>
      <c r="K81" s="4">
        <v>3.0247386000000001E-2</v>
      </c>
      <c r="L81" s="4">
        <v>1.2500000000000001E-2</v>
      </c>
      <c r="M81" s="4">
        <v>3</v>
      </c>
      <c r="N81" s="4">
        <v>10.315288199999999</v>
      </c>
      <c r="O81" s="4">
        <v>5.3961656859975192E-2</v>
      </c>
      <c r="P81" s="4">
        <v>4.9254599269522767</v>
      </c>
      <c r="Q81" s="4">
        <v>12.510668214458784</v>
      </c>
      <c r="R81" s="4">
        <v>24.476624933083794</v>
      </c>
      <c r="S81" s="4">
        <v>58.823900343868765</v>
      </c>
      <c r="T81" s="4">
        <v>155.88333591125223</v>
      </c>
      <c r="U81" s="4">
        <v>33.700000000000003</v>
      </c>
      <c r="V81" s="4">
        <v>0.32</v>
      </c>
      <c r="W81" s="4">
        <v>0.55000000000000004</v>
      </c>
    </row>
    <row r="82" spans="1:23" x14ac:dyDescent="0.25">
      <c r="A82" s="4" t="s">
        <v>63</v>
      </c>
      <c r="B82" s="4" t="s">
        <v>64</v>
      </c>
      <c r="C82" s="4">
        <v>2</v>
      </c>
      <c r="D82" s="4">
        <v>2</v>
      </c>
      <c r="E82" s="4">
        <v>4</v>
      </c>
      <c r="F82" s="4">
        <v>347.4885845</v>
      </c>
      <c r="G82" s="4">
        <v>920.84474890000001</v>
      </c>
      <c r="H82" s="4">
        <v>144.59</v>
      </c>
      <c r="I82" s="4">
        <v>0.14459</v>
      </c>
      <c r="J82" s="4">
        <v>1.4459E-4</v>
      </c>
      <c r="K82" s="4">
        <v>0.31876600599999999</v>
      </c>
      <c r="L82" s="4">
        <v>1.2E-2</v>
      </c>
      <c r="M82" s="4">
        <v>3.1</v>
      </c>
      <c r="N82" s="4">
        <v>20.722289929999999</v>
      </c>
      <c r="O82" s="4">
        <v>1.7451540389025069</v>
      </c>
      <c r="P82" s="4">
        <v>14.118392257772612</v>
      </c>
      <c r="Q82" s="4">
        <v>35.860716334742435</v>
      </c>
      <c r="R82" s="4">
        <v>791.58949791914563</v>
      </c>
      <c r="S82" s="4">
        <v>1902.4020618100112</v>
      </c>
      <c r="T82" s="4">
        <v>5041.3654637965292</v>
      </c>
      <c r="U82" s="4">
        <v>42.5</v>
      </c>
      <c r="V82" s="4">
        <v>0.47</v>
      </c>
      <c r="W82" s="4">
        <v>0.05</v>
      </c>
    </row>
    <row r="83" spans="1:23" x14ac:dyDescent="0.25">
      <c r="A83" s="4" t="s">
        <v>65</v>
      </c>
      <c r="B83" s="4" t="s">
        <v>66</v>
      </c>
      <c r="C83" s="4">
        <v>2</v>
      </c>
      <c r="D83" s="4">
        <v>3</v>
      </c>
      <c r="E83" s="4">
        <v>6</v>
      </c>
      <c r="F83" s="4">
        <v>1200</v>
      </c>
      <c r="G83" s="4">
        <v>3180</v>
      </c>
      <c r="H83" s="4">
        <v>499.32</v>
      </c>
      <c r="I83" s="4">
        <v>0.49931999999999999</v>
      </c>
      <c r="J83" s="4">
        <v>4.9932000000000004E-4</v>
      </c>
      <c r="K83" s="4">
        <v>1.100810858</v>
      </c>
      <c r="L83" s="4">
        <v>1.2699999999999999E-2</v>
      </c>
      <c r="M83" s="4">
        <v>3.1</v>
      </c>
      <c r="N83" s="4">
        <v>30.347369</v>
      </c>
      <c r="O83" s="4">
        <v>2.7722077841252046</v>
      </c>
      <c r="P83" s="4">
        <v>16.094542757140228</v>
      </c>
      <c r="Q83" s="4">
        <v>40.880138603136182</v>
      </c>
      <c r="R83" s="4">
        <v>1257.4537943614794</v>
      </c>
      <c r="S83" s="4">
        <v>3021.9990251417435</v>
      </c>
      <c r="T83" s="4">
        <v>8008.2974166256199</v>
      </c>
      <c r="U83" s="4">
        <v>58.5</v>
      </c>
      <c r="V83" s="4">
        <v>0.2</v>
      </c>
      <c r="W83" s="4">
        <v>0</v>
      </c>
    </row>
    <row r="84" spans="1:23" x14ac:dyDescent="0.25">
      <c r="A84" s="4" t="s">
        <v>67</v>
      </c>
      <c r="B84" s="4" t="s">
        <v>68</v>
      </c>
      <c r="C84" s="4">
        <v>2</v>
      </c>
      <c r="D84" s="4">
        <v>1</v>
      </c>
      <c r="E84" s="4">
        <v>2</v>
      </c>
      <c r="F84" s="4">
        <v>31.24</v>
      </c>
      <c r="G84" s="4">
        <v>82.79</v>
      </c>
      <c r="H84" s="4">
        <v>12.998964000000001</v>
      </c>
      <c r="I84" s="4">
        <v>1.2998964E-2</v>
      </c>
      <c r="J84" s="4">
        <v>1.2999999999999999E-5</v>
      </c>
      <c r="K84" s="4">
        <v>2.8657775999999999E-2</v>
      </c>
      <c r="L84" s="4">
        <v>1.29E-2</v>
      </c>
      <c r="M84" s="4">
        <v>3.05</v>
      </c>
      <c r="N84" s="4">
        <v>9.6537214660000004</v>
      </c>
      <c r="O84" s="4">
        <v>8.610255495348762E-2</v>
      </c>
      <c r="P84" s="4">
        <v>5.4514008135839163</v>
      </c>
      <c r="Q84" s="4">
        <v>13.846558066503148</v>
      </c>
      <c r="R84" s="4">
        <v>39.055508411194502</v>
      </c>
      <c r="S84" s="4">
        <v>93.860870971387897</v>
      </c>
      <c r="T84" s="4">
        <v>248.73130807417792</v>
      </c>
      <c r="U84" s="4">
        <v>42</v>
      </c>
      <c r="V84" s="4">
        <v>0.2</v>
      </c>
      <c r="W84" s="4">
        <v>0</v>
      </c>
    </row>
    <row r="85" spans="1:23" x14ac:dyDescent="0.25">
      <c r="A85" s="4" t="s">
        <v>69</v>
      </c>
      <c r="B85" s="4" t="s">
        <v>70</v>
      </c>
      <c r="C85" s="4">
        <v>2</v>
      </c>
      <c r="D85" s="4">
        <v>1</v>
      </c>
      <c r="E85" s="4">
        <v>2</v>
      </c>
      <c r="F85" s="4">
        <v>120.16342229999999</v>
      </c>
      <c r="G85" s="4">
        <v>318.43306899999999</v>
      </c>
      <c r="H85" s="4">
        <v>50.000000020000002</v>
      </c>
      <c r="I85" s="4">
        <v>0.05</v>
      </c>
      <c r="J85" s="4">
        <v>5.0000000000000002E-5</v>
      </c>
      <c r="K85" s="4">
        <v>0.110231</v>
      </c>
      <c r="L85" s="4">
        <v>0.01</v>
      </c>
      <c r="M85" s="4">
        <v>2.9</v>
      </c>
      <c r="N85" s="4">
        <v>18.85848923</v>
      </c>
      <c r="O85" s="4">
        <v>5.1080664891453721E-2</v>
      </c>
      <c r="P85" s="4">
        <v>5.6948788535065669</v>
      </c>
      <c r="Q85" s="4">
        <v>14.46499228790668</v>
      </c>
      <c r="R85" s="4">
        <v>23.169827404021429</v>
      </c>
      <c r="S85" s="4">
        <v>55.683315078157726</v>
      </c>
      <c r="T85" s="4">
        <v>147.56078495711796</v>
      </c>
      <c r="U85" s="4">
        <v>37.700000000000003</v>
      </c>
      <c r="V85" s="4">
        <v>0.24199999999999999</v>
      </c>
      <c r="W85" s="4">
        <v>0</v>
      </c>
    </row>
    <row r="86" spans="1:23" x14ac:dyDescent="0.25">
      <c r="A86" s="2" t="s">
        <v>71</v>
      </c>
      <c r="B86" s="4" t="s">
        <v>72</v>
      </c>
      <c r="C86" s="4">
        <v>2</v>
      </c>
      <c r="D86" s="4">
        <v>1</v>
      </c>
      <c r="E86" s="4">
        <v>2</v>
      </c>
      <c r="F86" s="4">
        <v>3.8692621960000002</v>
      </c>
      <c r="G86" s="4">
        <v>10.25354482</v>
      </c>
      <c r="H86" s="4">
        <v>1.6099999997556003</v>
      </c>
      <c r="I86" s="4">
        <v>1.6099999997556003E-3</v>
      </c>
      <c r="J86" s="4">
        <v>1.6099999997556003E-6</v>
      </c>
      <c r="K86" s="4">
        <v>3.5494381994611913E-3</v>
      </c>
      <c r="L86" s="3">
        <v>1.0999999999999999E-2</v>
      </c>
      <c r="M86" s="3">
        <v>3.01</v>
      </c>
      <c r="N86" s="4">
        <v>5.240986248696256</v>
      </c>
      <c r="O86" s="4">
        <v>1.8946107414087817E-3</v>
      </c>
      <c r="P86" s="4">
        <v>1.6749481037844736</v>
      </c>
      <c r="Q86" s="4">
        <v>4.2543681836125629</v>
      </c>
      <c r="R86" s="2">
        <v>0.85938199844362373</v>
      </c>
      <c r="S86" s="2">
        <v>2.0653256391339192</v>
      </c>
      <c r="T86" s="2">
        <v>5.4731129437048853</v>
      </c>
      <c r="U86" s="4">
        <v>9</v>
      </c>
      <c r="V86" s="4">
        <v>0.32</v>
      </c>
      <c r="W86" s="4">
        <v>0</v>
      </c>
    </row>
    <row r="87" spans="1:23" x14ac:dyDescent="0.25">
      <c r="A87" s="4" t="s">
        <v>73</v>
      </c>
      <c r="B87" s="4" t="s">
        <v>74</v>
      </c>
      <c r="C87" s="4">
        <v>2</v>
      </c>
      <c r="D87" s="4">
        <v>2</v>
      </c>
      <c r="E87" s="4">
        <v>4</v>
      </c>
      <c r="F87" s="4">
        <v>347.4885845</v>
      </c>
      <c r="G87" s="4">
        <v>920.84474890000001</v>
      </c>
      <c r="H87" s="4">
        <v>144.59</v>
      </c>
      <c r="I87" s="4">
        <v>0.14459</v>
      </c>
      <c r="J87" s="4">
        <v>1.4459E-4</v>
      </c>
      <c r="K87" s="4">
        <v>0.31876600599999999</v>
      </c>
      <c r="L87" s="4">
        <v>1.4E-2</v>
      </c>
      <c r="M87" s="4">
        <v>2.8</v>
      </c>
      <c r="N87" s="4">
        <v>27.137827609999999</v>
      </c>
      <c r="O87" s="4">
        <v>0.74197781751165304</v>
      </c>
      <c r="P87" s="4">
        <v>14.447204971809033</v>
      </c>
      <c r="Q87" s="4">
        <v>36.695900628394945</v>
      </c>
      <c r="R87" s="4">
        <v>336.55587698181682</v>
      </c>
      <c r="S87" s="4">
        <v>808.83411915841577</v>
      </c>
      <c r="T87" s="4">
        <v>2143.4104157698016</v>
      </c>
      <c r="U87" s="4">
        <v>43</v>
      </c>
      <c r="V87" s="4">
        <v>0.48</v>
      </c>
      <c r="W87" s="4">
        <v>0</v>
      </c>
    </row>
    <row r="88" spans="1:23" x14ac:dyDescent="0.25">
      <c r="A88" s="4" t="s">
        <v>75</v>
      </c>
      <c r="B88" s="4" t="s">
        <v>76</v>
      </c>
      <c r="C88" s="4">
        <v>2</v>
      </c>
      <c r="D88" s="4">
        <v>2</v>
      </c>
      <c r="E88" s="4">
        <v>4</v>
      </c>
      <c r="F88" s="4">
        <v>347.4885845</v>
      </c>
      <c r="G88" s="4">
        <v>920.84474890000001</v>
      </c>
      <c r="H88" s="4">
        <v>144.59</v>
      </c>
      <c r="I88" s="4">
        <v>0.14459</v>
      </c>
      <c r="J88" s="4">
        <v>1.4459E-4</v>
      </c>
      <c r="K88" s="4">
        <v>0.31876600599999999</v>
      </c>
      <c r="L88" s="4">
        <v>2.5000000000000001E-3</v>
      </c>
      <c r="M88" s="4">
        <v>3.1</v>
      </c>
      <c r="N88" s="4">
        <v>34.371064560000001</v>
      </c>
      <c r="O88" s="4">
        <v>0.61463072670785202</v>
      </c>
      <c r="P88" s="4">
        <v>16.724018659273504</v>
      </c>
      <c r="Q88" s="4">
        <v>42.479007394554699</v>
      </c>
      <c r="R88" s="4">
        <v>278.79213955595611</v>
      </c>
      <c r="S88" s="4">
        <v>670.01235173265104</v>
      </c>
      <c r="T88" s="4">
        <v>1775.5327320915253</v>
      </c>
      <c r="U88" s="4">
        <v>122</v>
      </c>
      <c r="V88" s="4">
        <v>0.107</v>
      </c>
      <c r="W88" s="4">
        <v>0</v>
      </c>
    </row>
    <row r="89" spans="1:23" x14ac:dyDescent="0.25">
      <c r="A89" s="4" t="s">
        <v>77</v>
      </c>
      <c r="B89" s="4" t="s">
        <v>78</v>
      </c>
      <c r="C89" s="4">
        <v>2</v>
      </c>
      <c r="D89" s="4">
        <v>3</v>
      </c>
      <c r="E89" s="4">
        <v>6</v>
      </c>
      <c r="F89" s="4">
        <v>68782.88609</v>
      </c>
      <c r="G89" s="4">
        <v>182274.6482</v>
      </c>
      <c r="H89" s="4">
        <v>28620.5589</v>
      </c>
      <c r="I89" s="4">
        <v>28.620558899999999</v>
      </c>
      <c r="J89" s="4">
        <v>2.8620559E-2</v>
      </c>
      <c r="K89" s="4">
        <v>63.097456569999999</v>
      </c>
      <c r="L89" s="4">
        <v>3.5000000000000003E-2</v>
      </c>
      <c r="M89" s="4">
        <v>2.9</v>
      </c>
      <c r="N89" s="4">
        <v>109.3530894</v>
      </c>
      <c r="O89" s="4">
        <v>353.12476735426327</v>
      </c>
      <c r="P89" s="4">
        <v>77.964971040416785</v>
      </c>
      <c r="Q89" s="4">
        <v>198.03102644265863</v>
      </c>
      <c r="R89" s="2">
        <v>160174.89061800367</v>
      </c>
      <c r="S89" s="2">
        <v>384943.26031724026</v>
      </c>
      <c r="T89" s="2">
        <v>1020099.6398406867</v>
      </c>
      <c r="U89" s="4">
        <v>208.40700000000004</v>
      </c>
      <c r="V89" s="4">
        <v>0.5</v>
      </c>
      <c r="W89" s="4">
        <v>0</v>
      </c>
    </row>
    <row r="90" spans="1:23" x14ac:dyDescent="0.25">
      <c r="A90" s="4" t="s">
        <v>79</v>
      </c>
      <c r="B90" s="4" t="s">
        <v>80</v>
      </c>
      <c r="C90" s="4">
        <v>2</v>
      </c>
      <c r="D90" s="4">
        <v>2</v>
      </c>
      <c r="E90" s="4">
        <v>4</v>
      </c>
      <c r="F90" s="4">
        <v>1129.488104</v>
      </c>
      <c r="G90" s="4">
        <v>2993.143474</v>
      </c>
      <c r="H90" s="4">
        <v>469.98000009999998</v>
      </c>
      <c r="I90" s="4">
        <v>0.46998000000000001</v>
      </c>
      <c r="J90" s="4">
        <v>4.6998E-4</v>
      </c>
      <c r="K90" s="4">
        <v>1.036127308</v>
      </c>
      <c r="L90" s="4">
        <v>3.3999999999999998E-3</v>
      </c>
      <c r="M90" s="4">
        <v>3.2850000000000001</v>
      </c>
      <c r="N90" s="4">
        <v>26.966869200000001</v>
      </c>
      <c r="O90" s="4">
        <v>0.50789019582223249</v>
      </c>
      <c r="P90" s="4">
        <v>11.635292187913853</v>
      </c>
      <c r="Q90" s="4">
        <v>29.553642157301187</v>
      </c>
      <c r="R90" s="4">
        <v>230.3753915968432</v>
      </c>
      <c r="S90" s="4">
        <v>553.65390914886609</v>
      </c>
      <c r="T90" s="4">
        <v>1467.1828592444951</v>
      </c>
      <c r="U90" s="4">
        <v>59.9</v>
      </c>
      <c r="V90" s="4">
        <v>0.17</v>
      </c>
      <c r="W90" s="4">
        <v>0</v>
      </c>
    </row>
    <row r="91" spans="1:23" x14ac:dyDescent="0.25">
      <c r="A91" s="4" t="s">
        <v>81</v>
      </c>
      <c r="B91" s="4" t="s">
        <v>82</v>
      </c>
      <c r="C91" s="4">
        <v>2</v>
      </c>
      <c r="D91" s="4">
        <v>2</v>
      </c>
      <c r="E91" s="4">
        <v>4</v>
      </c>
      <c r="F91" s="4">
        <v>347.4885845</v>
      </c>
      <c r="G91" s="4">
        <v>920.84474890000001</v>
      </c>
      <c r="H91" s="4">
        <v>144.59</v>
      </c>
      <c r="I91" s="4">
        <v>0.14459</v>
      </c>
      <c r="J91" s="4">
        <v>1.4459E-4</v>
      </c>
      <c r="K91" s="4">
        <v>0.31876600599999999</v>
      </c>
      <c r="L91" s="4">
        <v>1.4999999999999999E-2</v>
      </c>
      <c r="M91" s="4">
        <v>3</v>
      </c>
      <c r="N91" s="4">
        <v>21.282158150000001</v>
      </c>
      <c r="O91" s="4">
        <v>4.7303705484569845</v>
      </c>
      <c r="P91" s="4">
        <v>20.589999531199805</v>
      </c>
      <c r="Q91" s="4">
        <v>52.298598809247508</v>
      </c>
      <c r="R91" s="4">
        <v>2145.6625397832663</v>
      </c>
      <c r="S91" s="4">
        <v>5156.6030756627415</v>
      </c>
      <c r="T91" s="4">
        <v>13664.998150506264</v>
      </c>
      <c r="U91" s="4">
        <v>106</v>
      </c>
      <c r="V91" s="4">
        <v>0.17</v>
      </c>
      <c r="W91" s="4">
        <v>0</v>
      </c>
    </row>
    <row r="92" spans="1:23" x14ac:dyDescent="0.25">
      <c r="A92" s="4" t="s">
        <v>83</v>
      </c>
      <c r="B92" s="4" t="s">
        <v>84</v>
      </c>
      <c r="C92" s="4">
        <v>2</v>
      </c>
      <c r="D92" s="4">
        <v>7</v>
      </c>
      <c r="E92" s="4">
        <v>14</v>
      </c>
      <c r="F92" s="4">
        <v>9019.2820400000001</v>
      </c>
      <c r="G92" s="4">
        <v>23901.197400000001</v>
      </c>
      <c r="H92" s="4">
        <v>3752.9232569999999</v>
      </c>
      <c r="I92" s="4">
        <v>3.752923257</v>
      </c>
      <c r="J92" s="4">
        <v>3.752923E-3</v>
      </c>
      <c r="K92" s="4">
        <v>8.2737696710000002</v>
      </c>
      <c r="L92" s="4">
        <v>5.4000000000000003E-3</v>
      </c>
      <c r="M92" s="4">
        <v>3</v>
      </c>
      <c r="N92" s="4">
        <v>88.577885339999995</v>
      </c>
      <c r="O92" s="4">
        <v>135.26077658038764</v>
      </c>
      <c r="P92" s="4">
        <v>88.507703975174209</v>
      </c>
      <c r="Q92" s="4">
        <v>224.80956809694248</v>
      </c>
      <c r="R92" s="4">
        <v>61353.329181622066</v>
      </c>
      <c r="S92" s="4">
        <v>147448.52002312441</v>
      </c>
      <c r="T92" s="4">
        <v>390738.57806127967</v>
      </c>
      <c r="U92" s="4">
        <v>280</v>
      </c>
      <c r="V92" s="4">
        <v>0.11600000000000001</v>
      </c>
      <c r="W92" s="4">
        <v>0</v>
      </c>
    </row>
    <row r="93" spans="1:23" x14ac:dyDescent="0.25">
      <c r="A93" s="4" t="s">
        <v>85</v>
      </c>
      <c r="B93" s="4" t="s">
        <v>86</v>
      </c>
      <c r="C93" s="4">
        <v>2</v>
      </c>
      <c r="D93" s="4">
        <v>7</v>
      </c>
      <c r="E93" s="4">
        <v>14</v>
      </c>
      <c r="F93" s="4">
        <v>9019.2820400000001</v>
      </c>
      <c r="G93" s="4">
        <v>23901.197400000001</v>
      </c>
      <c r="H93" s="4">
        <v>3752.9232569999999</v>
      </c>
      <c r="I93" s="4">
        <v>3.752923257</v>
      </c>
      <c r="J93" s="4">
        <v>3.752923E-3</v>
      </c>
      <c r="K93" s="4">
        <v>8.2737696710000002</v>
      </c>
      <c r="L93" s="4">
        <v>5.2399999999999999E-3</v>
      </c>
      <c r="M93" s="4">
        <v>3.141</v>
      </c>
      <c r="N93" s="4">
        <v>73.125400459999994</v>
      </c>
      <c r="O93" s="4">
        <v>427.99446653786288</v>
      </c>
      <c r="P93" s="4">
        <v>101.11979332183873</v>
      </c>
      <c r="Q93" s="4">
        <v>256.84427503747037</v>
      </c>
      <c r="R93" s="2">
        <v>194135.25529926375</v>
      </c>
      <c r="S93" s="2">
        <v>466559.13313930243</v>
      </c>
      <c r="T93" s="2">
        <v>1236381.7028191513</v>
      </c>
      <c r="U93" s="4">
        <v>309.24444444444441</v>
      </c>
      <c r="V93" s="4">
        <v>0.13655555555555554</v>
      </c>
      <c r="W93" s="4">
        <v>1</v>
      </c>
    </row>
    <row r="94" spans="1:23" x14ac:dyDescent="0.25">
      <c r="A94" s="4" t="s">
        <v>87</v>
      </c>
      <c r="B94" s="4" t="s">
        <v>88</v>
      </c>
      <c r="C94" s="4">
        <v>2</v>
      </c>
      <c r="D94" s="4">
        <v>2</v>
      </c>
      <c r="E94" s="4">
        <v>4</v>
      </c>
      <c r="F94" s="4">
        <v>347.4885845</v>
      </c>
      <c r="G94" s="4">
        <v>920.84474890000001</v>
      </c>
      <c r="H94" s="4">
        <v>144.59</v>
      </c>
      <c r="I94" s="4">
        <v>0.14459</v>
      </c>
      <c r="J94" s="4">
        <v>1.4459E-4</v>
      </c>
      <c r="K94" s="4">
        <v>0.31876600599999999</v>
      </c>
      <c r="L94" s="4">
        <v>6.0000000000000001E-3</v>
      </c>
      <c r="M94" s="4">
        <v>3.1</v>
      </c>
      <c r="N94" s="4">
        <v>25.914581269999999</v>
      </c>
      <c r="O94" s="4">
        <v>4.0180701353366766E-2</v>
      </c>
      <c r="P94" s="4">
        <v>5.2307488758912344</v>
      </c>
      <c r="Q94" s="4">
        <v>13.286102144763735</v>
      </c>
      <c r="R94" s="4">
        <v>18.225681230038177</v>
      </c>
      <c r="S94" s="4">
        <v>43.801204590334478</v>
      </c>
      <c r="T94" s="4">
        <v>116.07319216438637</v>
      </c>
      <c r="U94" s="4">
        <v>40.299999999999997</v>
      </c>
      <c r="V94" s="4">
        <v>0.1</v>
      </c>
      <c r="W94" s="4">
        <v>0</v>
      </c>
    </row>
    <row r="95" spans="1:23" x14ac:dyDescent="0.25">
      <c r="A95" s="4" t="s">
        <v>89</v>
      </c>
      <c r="B95" s="4" t="s">
        <v>90</v>
      </c>
      <c r="C95" s="4">
        <v>2</v>
      </c>
      <c r="D95" s="4">
        <v>8</v>
      </c>
      <c r="E95" s="4">
        <v>16</v>
      </c>
      <c r="F95" s="4">
        <v>12000</v>
      </c>
      <c r="G95" s="4">
        <v>32000</v>
      </c>
      <c r="H95" s="4">
        <v>4993.2</v>
      </c>
      <c r="I95" s="4">
        <v>4.9931999999999999</v>
      </c>
      <c r="J95" s="4">
        <v>4.9931999999999997E-3</v>
      </c>
      <c r="K95" s="4">
        <v>11.00810858</v>
      </c>
      <c r="L95" s="2">
        <v>0.05</v>
      </c>
      <c r="M95" s="2">
        <v>3.2</v>
      </c>
      <c r="N95" s="4">
        <v>107.3627072</v>
      </c>
      <c r="O95" s="4">
        <v>363.02031476427624</v>
      </c>
      <c r="P95" s="4">
        <v>42.847429972761077</v>
      </c>
      <c r="Q95" s="4">
        <v>108.83247213081313</v>
      </c>
      <c r="R95" s="4">
        <v>164663.44075816977</v>
      </c>
      <c r="S95" s="4">
        <v>395730.45123328472</v>
      </c>
      <c r="T95" s="4">
        <v>1048685.6957682045</v>
      </c>
      <c r="U95" s="4">
        <v>114.3</v>
      </c>
      <c r="V95" s="4">
        <v>0.19</v>
      </c>
      <c r="W95" s="4">
        <v>0</v>
      </c>
    </row>
    <row r="96" spans="1:23" x14ac:dyDescent="0.25">
      <c r="A96" s="4" t="s">
        <v>91</v>
      </c>
      <c r="B96" s="4" t="s">
        <v>92</v>
      </c>
      <c r="C96" s="4">
        <v>2</v>
      </c>
      <c r="D96" s="4">
        <v>2</v>
      </c>
      <c r="E96" s="4">
        <v>4</v>
      </c>
      <c r="F96" s="4">
        <v>347.4885845</v>
      </c>
      <c r="G96" s="4">
        <v>920.84474890000001</v>
      </c>
      <c r="H96" s="4">
        <v>144.59</v>
      </c>
      <c r="I96" s="4">
        <v>0.14459</v>
      </c>
      <c r="J96" s="4">
        <v>1.4459E-4</v>
      </c>
      <c r="K96" s="4">
        <v>0.31876600599999999</v>
      </c>
      <c r="L96" s="4">
        <v>1.2999999999999999E-2</v>
      </c>
      <c r="M96" s="4">
        <v>3</v>
      </c>
      <c r="N96" s="4">
        <v>22.321924509999999</v>
      </c>
      <c r="O96" s="4">
        <v>0.94323116095900128</v>
      </c>
      <c r="P96" s="4">
        <v>12.616724840158845</v>
      </c>
      <c r="Q96" s="4">
        <v>32.046481094003468</v>
      </c>
      <c r="R96" s="4">
        <v>427.84296656974954</v>
      </c>
      <c r="S96" s="4">
        <v>1028.2215010087707</v>
      </c>
      <c r="T96" s="4">
        <v>2724.7869776732423</v>
      </c>
      <c r="U96" s="4">
        <v>60.2</v>
      </c>
      <c r="V96" s="4">
        <v>0.19</v>
      </c>
      <c r="W96" s="4">
        <v>0</v>
      </c>
    </row>
    <row r="97" spans="1:23" x14ac:dyDescent="0.25">
      <c r="A97" s="4" t="s">
        <v>93</v>
      </c>
      <c r="B97" s="4" t="s">
        <v>94</v>
      </c>
      <c r="C97" s="4">
        <v>2</v>
      </c>
      <c r="D97" s="4">
        <v>9</v>
      </c>
      <c r="E97" s="4">
        <v>18</v>
      </c>
      <c r="F97" s="4">
        <v>1762470683</v>
      </c>
      <c r="G97" s="4">
        <v>4670547309</v>
      </c>
      <c r="H97" s="4">
        <v>733364051.20000005</v>
      </c>
      <c r="I97" s="4">
        <v>733364.05119999999</v>
      </c>
      <c r="J97" s="4">
        <v>733.36405119999995</v>
      </c>
      <c r="K97" s="4">
        <v>1616789.0549999999</v>
      </c>
      <c r="L97" s="2">
        <v>1.7000000000000001E-2</v>
      </c>
      <c r="M97" s="4">
        <v>3</v>
      </c>
      <c r="N97" s="4">
        <v>1542.0432000000001</v>
      </c>
      <c r="O97" s="4">
        <v>144305.4923315148</v>
      </c>
      <c r="P97" s="4">
        <v>617.0679861601368</v>
      </c>
      <c r="Q97" s="4">
        <v>1567.3526848467475</v>
      </c>
      <c r="R97" s="2">
        <v>65455948.114194192</v>
      </c>
      <c r="S97" s="2">
        <v>157308214.64598462</v>
      </c>
      <c r="T97" s="2">
        <v>416866768.81185925</v>
      </c>
      <c r="U97" s="4">
        <v>1584.96</v>
      </c>
      <c r="V97" s="2">
        <v>0.25</v>
      </c>
      <c r="W97" s="4">
        <v>0</v>
      </c>
    </row>
    <row r="98" spans="1:23" x14ac:dyDescent="0.25">
      <c r="A98" s="4" t="s">
        <v>95</v>
      </c>
      <c r="B98" s="2" t="s">
        <v>96</v>
      </c>
      <c r="C98" s="4">
        <v>2</v>
      </c>
      <c r="D98" s="4">
        <v>2</v>
      </c>
      <c r="E98" s="4">
        <v>4</v>
      </c>
      <c r="F98" s="4">
        <v>347.4885845</v>
      </c>
      <c r="G98" s="4">
        <v>920.84474890000001</v>
      </c>
      <c r="H98" s="4">
        <v>144.59</v>
      </c>
      <c r="I98" s="4">
        <v>0.14459</v>
      </c>
      <c r="J98" s="4">
        <v>1.4459E-4</v>
      </c>
      <c r="K98" s="4">
        <v>0.31876600599999999</v>
      </c>
      <c r="L98" s="4">
        <v>0.01</v>
      </c>
      <c r="M98" s="4">
        <v>3</v>
      </c>
      <c r="N98" s="4">
        <v>22.0428712</v>
      </c>
      <c r="O98" s="4">
        <v>9.2603450753228778</v>
      </c>
      <c r="P98" s="4">
        <v>29.484748377975539</v>
      </c>
      <c r="Q98" s="4">
        <v>74.891260880057871</v>
      </c>
      <c r="R98" s="4">
        <v>4200.426865093702</v>
      </c>
      <c r="S98" s="4">
        <v>10094.75334076833</v>
      </c>
      <c r="T98" s="4">
        <v>26751.096353036071</v>
      </c>
      <c r="U98" s="4">
        <v>136</v>
      </c>
      <c r="V98" s="4">
        <v>0.2</v>
      </c>
      <c r="W98" s="4">
        <v>0</v>
      </c>
    </row>
    <row r="99" spans="1:23" x14ac:dyDescent="0.25">
      <c r="A99" s="4" t="s">
        <v>97</v>
      </c>
      <c r="B99" s="4" t="s">
        <v>98</v>
      </c>
      <c r="C99" s="4">
        <v>2</v>
      </c>
      <c r="D99" s="4">
        <v>2</v>
      </c>
      <c r="E99" s="4">
        <v>4</v>
      </c>
      <c r="F99" s="4">
        <v>23420.529180000001</v>
      </c>
      <c r="G99" s="4">
        <v>62064.402329999997</v>
      </c>
      <c r="H99" s="4">
        <v>9745.2821920000006</v>
      </c>
      <c r="I99" s="4">
        <v>9.7452821919999995</v>
      </c>
      <c r="J99" s="4">
        <v>9.7452819999999992E-3</v>
      </c>
      <c r="K99" s="4">
        <v>21.484644029999998</v>
      </c>
      <c r="L99" s="2">
        <v>6.5000000000000002E-2</v>
      </c>
      <c r="M99" s="4">
        <v>3</v>
      </c>
      <c r="N99" s="4">
        <v>78.690349569999995</v>
      </c>
      <c r="O99" s="4">
        <v>1.6160169738186125</v>
      </c>
      <c r="P99" s="4">
        <v>8.8287500734324453</v>
      </c>
      <c r="Q99" s="4">
        <v>22.425025186518411</v>
      </c>
      <c r="R99" s="4">
        <v>733.01384085176244</v>
      </c>
      <c r="S99" s="4">
        <v>1761.6290335298302</v>
      </c>
      <c r="T99" s="4">
        <v>4668.31693885405</v>
      </c>
      <c r="U99" s="4">
        <v>23.6</v>
      </c>
      <c r="V99" s="4">
        <v>0.75</v>
      </c>
      <c r="W99" s="4">
        <v>0</v>
      </c>
    </row>
    <row r="100" spans="1:23" x14ac:dyDescent="0.25">
      <c r="A100" s="4" t="s">
        <v>99</v>
      </c>
      <c r="B100" s="4" t="s">
        <v>100</v>
      </c>
      <c r="C100" s="4">
        <v>2</v>
      </c>
      <c r="D100" s="4">
        <v>2</v>
      </c>
      <c r="E100" s="4">
        <v>4</v>
      </c>
      <c r="F100" s="4">
        <v>347.4885845</v>
      </c>
      <c r="G100" s="4">
        <v>920.84474890000001</v>
      </c>
      <c r="H100" s="4">
        <v>144.59</v>
      </c>
      <c r="I100" s="4">
        <v>0.14459</v>
      </c>
      <c r="J100" s="4">
        <v>1.4459E-4</v>
      </c>
      <c r="K100" s="4">
        <v>0.31876600599999999</v>
      </c>
      <c r="L100" s="4">
        <v>1.4999999999999999E-2</v>
      </c>
      <c r="M100" s="4">
        <v>3.1</v>
      </c>
      <c r="N100" s="4">
        <v>19.283082140000001</v>
      </c>
      <c r="O100" s="4">
        <v>0.41032704300266931</v>
      </c>
      <c r="P100" s="4">
        <v>8.2359998124799212</v>
      </c>
      <c r="Q100" s="4">
        <v>20.919439523699001</v>
      </c>
      <c r="R100" s="4">
        <v>186.12143725570363</v>
      </c>
      <c r="S100" s="4">
        <v>447.29977711055909</v>
      </c>
      <c r="T100" s="4">
        <v>1185.3444093429816</v>
      </c>
      <c r="U100" s="4">
        <v>42.4</v>
      </c>
      <c r="V100" s="4">
        <v>0.17</v>
      </c>
      <c r="W100" s="4">
        <v>0</v>
      </c>
    </row>
    <row r="101" spans="1:23" x14ac:dyDescent="0.25">
      <c r="A101" s="4" t="s">
        <v>101</v>
      </c>
      <c r="B101" s="4" t="s">
        <v>102</v>
      </c>
      <c r="C101" s="4">
        <v>2</v>
      </c>
      <c r="D101" s="4">
        <v>2</v>
      </c>
      <c r="E101" s="4">
        <v>4</v>
      </c>
      <c r="F101" s="4">
        <v>347.4885845</v>
      </c>
      <c r="G101" s="4">
        <v>920.84474890000001</v>
      </c>
      <c r="H101" s="4">
        <v>144.59</v>
      </c>
      <c r="I101" s="4">
        <v>0.14459</v>
      </c>
      <c r="J101" s="4">
        <v>1.4459E-4</v>
      </c>
      <c r="K101" s="4">
        <v>0.31876600599999999</v>
      </c>
      <c r="L101" s="4">
        <v>1.2E-2</v>
      </c>
      <c r="M101" s="4">
        <v>3.1</v>
      </c>
      <c r="N101" s="4">
        <v>20.722289929999999</v>
      </c>
      <c r="O101" s="4">
        <v>3.1180781451313928</v>
      </c>
      <c r="P101" s="4">
        <v>17.025220173825382</v>
      </c>
      <c r="Q101" s="4">
        <v>43.244059241516467</v>
      </c>
      <c r="R101" s="2">
        <v>1414.3381376978314</v>
      </c>
      <c r="S101" s="2">
        <v>3399.0342170099289</v>
      </c>
      <c r="T101" s="2">
        <v>9007.4406750763119</v>
      </c>
      <c r="U101" s="4">
        <v>150.03333333333333</v>
      </c>
      <c r="V101" s="4">
        <v>0.11333333333333334</v>
      </c>
      <c r="W101" s="4">
        <v>1</v>
      </c>
    </row>
    <row r="102" spans="1:23" x14ac:dyDescent="0.25">
      <c r="A102" s="4" t="s">
        <v>103</v>
      </c>
      <c r="B102" s="4" t="s">
        <v>104</v>
      </c>
      <c r="C102" s="4">
        <v>2</v>
      </c>
      <c r="D102" s="4">
        <v>1</v>
      </c>
      <c r="E102" s="4">
        <v>2</v>
      </c>
      <c r="F102" s="4">
        <v>101.2496996</v>
      </c>
      <c r="G102" s="4">
        <v>268.31170400000002</v>
      </c>
      <c r="H102" s="4">
        <v>42.13</v>
      </c>
      <c r="I102" s="4">
        <v>4.2130000000000001E-2</v>
      </c>
      <c r="J102" s="4">
        <v>4.21E-5</v>
      </c>
      <c r="K102" s="4">
        <v>9.2880641E-2</v>
      </c>
      <c r="L102" s="4">
        <v>1.2999999999999999E-2</v>
      </c>
      <c r="M102" s="4">
        <v>2.8</v>
      </c>
      <c r="N102" s="4">
        <v>17.93919271</v>
      </c>
      <c r="O102" s="4">
        <v>0.12195983527165984</v>
      </c>
      <c r="P102" s="4">
        <v>7.7842394783285727</v>
      </c>
      <c r="Q102" s="4">
        <v>19.771968274954574</v>
      </c>
      <c r="R102" s="4">
        <v>55.320116515163534</v>
      </c>
      <c r="S102" s="4">
        <v>132.94909039933557</v>
      </c>
      <c r="T102" s="4">
        <v>352.31508955823926</v>
      </c>
      <c r="U102" s="4">
        <v>65.400000000000006</v>
      </c>
      <c r="V102" s="4">
        <v>0.18</v>
      </c>
      <c r="W102" s="4">
        <v>0</v>
      </c>
    </row>
    <row r="103" spans="1:23" x14ac:dyDescent="0.25">
      <c r="A103" s="2" t="s">
        <v>105</v>
      </c>
      <c r="B103" s="4" t="s">
        <v>700</v>
      </c>
      <c r="C103" s="4">
        <v>2</v>
      </c>
      <c r="D103" s="4">
        <v>3</v>
      </c>
      <c r="E103" s="4">
        <v>6</v>
      </c>
      <c r="F103" s="4">
        <v>1200</v>
      </c>
      <c r="G103" s="4">
        <v>3180</v>
      </c>
      <c r="H103" s="4">
        <v>499.32</v>
      </c>
      <c r="I103" s="4">
        <v>0.49931999999999999</v>
      </c>
      <c r="J103" s="4">
        <v>4.9932000000000004E-4</v>
      </c>
      <c r="K103" s="4">
        <v>1.10050128</v>
      </c>
      <c r="L103" s="3">
        <v>1.2699999999999999E-2</v>
      </c>
      <c r="M103" s="3">
        <v>3.1</v>
      </c>
      <c r="N103" s="4">
        <v>30.347369004339537</v>
      </c>
      <c r="O103" s="4">
        <v>11.444116879836061</v>
      </c>
      <c r="P103" s="4">
        <v>25.427857792770283</v>
      </c>
      <c r="Q103" s="4">
        <v>64.58675879363652</v>
      </c>
      <c r="R103" s="2">
        <v>5190.9702714463538</v>
      </c>
      <c r="S103" s="2">
        <v>12475.29505274298</v>
      </c>
      <c r="T103" s="2">
        <v>33059.531889768899</v>
      </c>
      <c r="U103" s="4">
        <v>109.97499999999999</v>
      </c>
      <c r="V103" s="4">
        <v>0.14750000000000002</v>
      </c>
      <c r="W103" s="4">
        <v>0</v>
      </c>
    </row>
    <row r="104" spans="1:23" x14ac:dyDescent="0.25">
      <c r="A104" s="4" t="s">
        <v>107</v>
      </c>
      <c r="B104" s="4" t="s">
        <v>108</v>
      </c>
      <c r="C104" s="4">
        <v>2</v>
      </c>
      <c r="D104" s="4">
        <v>5</v>
      </c>
      <c r="E104" s="4">
        <v>10</v>
      </c>
      <c r="F104" s="4">
        <v>3110.5273029999998</v>
      </c>
      <c r="G104" s="4">
        <v>8242.8973540000006</v>
      </c>
      <c r="H104" s="4">
        <v>1294.2904109999999</v>
      </c>
      <c r="I104" s="4">
        <v>1.294290411</v>
      </c>
      <c r="J104" s="4">
        <v>1.29429E-3</v>
      </c>
      <c r="K104" s="4">
        <v>2.8534185249999999</v>
      </c>
      <c r="L104" s="4">
        <v>3.5999999999999999E-3</v>
      </c>
      <c r="M104" s="4">
        <v>3</v>
      </c>
      <c r="N104" s="4">
        <v>71.106572349999993</v>
      </c>
      <c r="O104" s="4">
        <v>12.982672709876262</v>
      </c>
      <c r="P104" s="4">
        <v>46.388347843458611</v>
      </c>
      <c r="Q104" s="4">
        <v>117.82640352238487</v>
      </c>
      <c r="R104" s="4">
        <v>5888.8482867234543</v>
      </c>
      <c r="S104" s="4">
        <v>14152.483265377203</v>
      </c>
      <c r="T104" s="4">
        <v>37504.080653249584</v>
      </c>
      <c r="U104" s="4">
        <v>124</v>
      </c>
      <c r="V104" s="4">
        <v>0.3</v>
      </c>
      <c r="W104" s="4">
        <v>0</v>
      </c>
    </row>
    <row r="105" spans="1:23" x14ac:dyDescent="0.25">
      <c r="A105" s="4" t="s">
        <v>109</v>
      </c>
      <c r="B105" s="4" t="s">
        <v>110</v>
      </c>
      <c r="C105" s="4">
        <v>2</v>
      </c>
      <c r="D105" s="4">
        <v>5</v>
      </c>
      <c r="E105" s="4">
        <v>10</v>
      </c>
      <c r="F105" s="4">
        <v>3110.5273029999998</v>
      </c>
      <c r="G105" s="4">
        <v>8242.8973540000006</v>
      </c>
      <c r="H105" s="4">
        <v>1294.2904109999999</v>
      </c>
      <c r="I105" s="4">
        <v>1.294290411</v>
      </c>
      <c r="J105" s="4">
        <v>1.29429E-3</v>
      </c>
      <c r="K105" s="4">
        <v>2.8534185249999999</v>
      </c>
      <c r="L105" s="4">
        <v>4.3E-3</v>
      </c>
      <c r="M105" s="4">
        <v>3.1</v>
      </c>
      <c r="N105" s="4">
        <v>58.516518140000002</v>
      </c>
      <c r="O105" s="4">
        <v>23.805461443090437</v>
      </c>
      <c r="P105" s="4">
        <v>45.671144829615592</v>
      </c>
      <c r="Q105" s="4">
        <v>116.0047078672236</v>
      </c>
      <c r="R105" s="4">
        <v>10797.988516429334</v>
      </c>
      <c r="S105" s="4">
        <v>25950.465071928225</v>
      </c>
      <c r="T105" s="4">
        <v>68768.732440609791</v>
      </c>
      <c r="U105" s="4">
        <v>267</v>
      </c>
      <c r="V105" s="4">
        <v>5.7000000000000002E-2</v>
      </c>
      <c r="W105" s="4">
        <v>0</v>
      </c>
    </row>
    <row r="106" spans="1:23" x14ac:dyDescent="0.25">
      <c r="A106" s="4" t="s">
        <v>111</v>
      </c>
      <c r="B106" s="4" t="s">
        <v>112</v>
      </c>
      <c r="C106" s="4">
        <v>2</v>
      </c>
      <c r="D106" s="4">
        <v>2</v>
      </c>
      <c r="E106" s="4">
        <v>4</v>
      </c>
      <c r="F106" s="4">
        <v>347.4885845</v>
      </c>
      <c r="G106" s="4">
        <v>920.84474890000001</v>
      </c>
      <c r="H106" s="4">
        <v>144.59</v>
      </c>
      <c r="I106" s="4">
        <v>0.14459</v>
      </c>
      <c r="J106" s="4">
        <v>1.4459E-4</v>
      </c>
      <c r="K106" s="4">
        <v>0.31876600599999999</v>
      </c>
      <c r="L106" s="4">
        <v>1.2200000000000001E-2</v>
      </c>
      <c r="M106" s="4">
        <v>2.9</v>
      </c>
      <c r="N106" s="4">
        <v>25.39517335</v>
      </c>
      <c r="O106" s="4">
        <v>2.753844994484147</v>
      </c>
      <c r="P106" s="4">
        <v>21.029903969738392</v>
      </c>
      <c r="Q106" s="4">
        <v>53.415956083135512</v>
      </c>
      <c r="R106" s="4">
        <v>1249.1245631828374</v>
      </c>
      <c r="S106" s="4">
        <v>3001.9816466782922</v>
      </c>
      <c r="T106" s="4">
        <v>7955.2513636974745</v>
      </c>
      <c r="U106" s="4">
        <v>113</v>
      </c>
      <c r="V106" s="4">
        <v>0.16</v>
      </c>
      <c r="W106" s="4">
        <v>0</v>
      </c>
    </row>
    <row r="107" spans="1:23" x14ac:dyDescent="0.25">
      <c r="A107" s="4" t="s">
        <v>113</v>
      </c>
      <c r="B107" s="4" t="s">
        <v>114</v>
      </c>
      <c r="C107" s="4">
        <v>2</v>
      </c>
      <c r="D107" s="4">
        <v>2</v>
      </c>
      <c r="E107" s="4">
        <v>4</v>
      </c>
      <c r="F107" s="4">
        <v>1129.488104</v>
      </c>
      <c r="G107" s="4">
        <v>2993.143474</v>
      </c>
      <c r="H107" s="4">
        <v>469.98000009999998</v>
      </c>
      <c r="I107" s="4">
        <v>0.46998000000000001</v>
      </c>
      <c r="J107" s="4">
        <v>4.6998E-4</v>
      </c>
      <c r="K107" s="4">
        <v>1.036127308</v>
      </c>
      <c r="L107" s="4">
        <v>1.2E-2</v>
      </c>
      <c r="M107" s="4">
        <v>3.05</v>
      </c>
      <c r="N107" s="4">
        <v>32.052967240000001</v>
      </c>
      <c r="O107" s="4">
        <v>3.912084528136166</v>
      </c>
      <c r="P107" s="4">
        <v>19.50802249169503</v>
      </c>
      <c r="Q107" s="4">
        <v>49.550377128905374</v>
      </c>
      <c r="R107" s="4">
        <v>1774.4938030754352</v>
      </c>
      <c r="S107" s="4">
        <v>4264.5849629306304</v>
      </c>
      <c r="T107" s="4">
        <v>11301.150151766171</v>
      </c>
      <c r="U107" s="4">
        <v>85.9</v>
      </c>
      <c r="V107" s="4">
        <v>0.215</v>
      </c>
      <c r="W107" s="4">
        <v>0</v>
      </c>
    </row>
    <row r="108" spans="1:23" x14ac:dyDescent="0.25">
      <c r="A108" s="4" t="s">
        <v>115</v>
      </c>
      <c r="B108" s="4" t="s">
        <v>116</v>
      </c>
      <c r="C108" s="4">
        <v>2</v>
      </c>
      <c r="D108" s="4">
        <v>7</v>
      </c>
      <c r="E108" s="4">
        <v>14</v>
      </c>
      <c r="F108" s="4">
        <v>9222421.4670000002</v>
      </c>
      <c r="G108" s="4">
        <v>24439416.890000001</v>
      </c>
      <c r="H108" s="4">
        <v>3837449.5720000002</v>
      </c>
      <c r="I108" s="4">
        <v>3837.449572</v>
      </c>
      <c r="J108" s="4">
        <v>3.8374495720000001</v>
      </c>
      <c r="K108" s="4">
        <v>8460.1180760000007</v>
      </c>
      <c r="L108" s="2">
        <v>1.4999999999999999E-2</v>
      </c>
      <c r="M108" s="4">
        <v>3</v>
      </c>
      <c r="N108" s="4">
        <v>726.6872836</v>
      </c>
      <c r="O108" s="4">
        <v>605.51867166866964</v>
      </c>
      <c r="P108" s="4">
        <v>103.76887997381191</v>
      </c>
      <c r="Q108" s="4">
        <v>263.57295513348225</v>
      </c>
      <c r="R108" s="2">
        <v>274658.97599979572</v>
      </c>
      <c r="S108" s="2">
        <v>660079.2501797541</v>
      </c>
      <c r="T108" s="2">
        <v>1749210.0129763484</v>
      </c>
      <c r="U108" s="4">
        <v>271.77999999999997</v>
      </c>
      <c r="V108" s="4">
        <v>0.25</v>
      </c>
      <c r="W108" s="4">
        <v>0</v>
      </c>
    </row>
    <row r="109" spans="1:23" x14ac:dyDescent="0.25">
      <c r="A109" s="4" t="s">
        <v>117</v>
      </c>
      <c r="B109" s="4" t="s">
        <v>118</v>
      </c>
      <c r="C109" s="4">
        <v>2</v>
      </c>
      <c r="D109" s="4">
        <v>2</v>
      </c>
      <c r="E109" s="4">
        <v>4</v>
      </c>
      <c r="F109" s="4">
        <v>347.4885845</v>
      </c>
      <c r="G109" s="4">
        <v>920.84474890000001</v>
      </c>
      <c r="H109" s="4">
        <v>144.59</v>
      </c>
      <c r="I109" s="4">
        <v>0.14459</v>
      </c>
      <c r="J109" s="4">
        <v>1.4459E-4</v>
      </c>
      <c r="K109" s="4">
        <v>0.31876600599999999</v>
      </c>
      <c r="L109" s="4">
        <v>1.4999999999999999E-2</v>
      </c>
      <c r="M109" s="4">
        <v>3</v>
      </c>
      <c r="N109" s="4">
        <v>21.282158150000001</v>
      </c>
      <c r="O109" s="4">
        <v>0.46476762463013077</v>
      </c>
      <c r="P109" s="4">
        <v>9.5010128465319692</v>
      </c>
      <c r="Q109" s="4">
        <v>24.132572630191202</v>
      </c>
      <c r="R109" s="4">
        <v>210.8152990674723</v>
      </c>
      <c r="S109" s="4">
        <v>506.64575599007998</v>
      </c>
      <c r="T109" s="4">
        <v>1342.6112533737119</v>
      </c>
      <c r="U109" s="4">
        <v>73.2</v>
      </c>
      <c r="V109" s="4">
        <v>0.1</v>
      </c>
      <c r="W109" s="4">
        <v>0</v>
      </c>
    </row>
    <row r="110" spans="1:23" x14ac:dyDescent="0.25">
      <c r="A110" s="4" t="s">
        <v>119</v>
      </c>
      <c r="B110" s="4" t="s">
        <v>120</v>
      </c>
      <c r="C110" s="4">
        <v>2</v>
      </c>
      <c r="D110" s="4">
        <v>3</v>
      </c>
      <c r="E110" s="4">
        <v>6</v>
      </c>
      <c r="F110" s="4">
        <v>67705.010320000001</v>
      </c>
      <c r="G110" s="4">
        <v>179418.27739999999</v>
      </c>
      <c r="H110" s="4">
        <v>28172.054789999998</v>
      </c>
      <c r="I110" s="4">
        <v>28.172054790000001</v>
      </c>
      <c r="J110" s="4">
        <v>2.8172055000000001E-2</v>
      </c>
      <c r="K110" s="4">
        <v>62.108675439999999</v>
      </c>
      <c r="L110" s="4">
        <v>2.1399999999999999E-2</v>
      </c>
      <c r="M110" s="4">
        <v>2.96</v>
      </c>
      <c r="N110" s="4">
        <v>116.779462</v>
      </c>
      <c r="O110" s="4">
        <v>43.971184882940634</v>
      </c>
      <c r="P110" s="4">
        <v>40.913105870398311</v>
      </c>
      <c r="Q110" s="4">
        <v>103.91928891081172</v>
      </c>
      <c r="R110" s="2">
        <v>19945.01768238546</v>
      </c>
      <c r="S110" s="2">
        <v>47933.231632745636</v>
      </c>
      <c r="T110" s="2">
        <v>127023.06382677594</v>
      </c>
      <c r="U110" s="4">
        <v>133.76666666666668</v>
      </c>
      <c r="V110" s="4">
        <v>0.3</v>
      </c>
      <c r="W110" s="4">
        <v>1</v>
      </c>
    </row>
    <row r="111" spans="1:23" x14ac:dyDescent="0.25">
      <c r="A111" s="4" t="s">
        <v>121</v>
      </c>
      <c r="B111" s="4" t="s">
        <v>122</v>
      </c>
      <c r="C111" s="4">
        <v>2</v>
      </c>
      <c r="D111" s="4">
        <v>7</v>
      </c>
      <c r="E111" s="4">
        <v>14</v>
      </c>
      <c r="F111" s="4">
        <v>9222421.4670000002</v>
      </c>
      <c r="G111" s="4">
        <v>24439416.890000001</v>
      </c>
      <c r="H111" s="4">
        <v>3837449.5720000002</v>
      </c>
      <c r="I111" s="4">
        <v>3837.449572</v>
      </c>
      <c r="J111" s="4">
        <v>3.8374495720000001</v>
      </c>
      <c r="K111" s="4">
        <v>8460.1180760000007</v>
      </c>
      <c r="L111" s="2">
        <v>1E-3</v>
      </c>
      <c r="M111" s="4">
        <v>3</v>
      </c>
      <c r="N111" s="4">
        <v>726.6872836</v>
      </c>
      <c r="O111" s="4">
        <v>35989.638172401603</v>
      </c>
      <c r="P111" s="4">
        <v>998.72869777135293</v>
      </c>
      <c r="Q111" s="4">
        <v>2536.7708923392365</v>
      </c>
      <c r="R111" s="2">
        <v>16324644.688155601</v>
      </c>
      <c r="S111" s="2">
        <v>39232503.456273966</v>
      </c>
      <c r="T111" s="2">
        <v>103966134.159126</v>
      </c>
      <c r="U111" s="4">
        <v>2615.7600000000002</v>
      </c>
      <c r="V111" s="4">
        <v>0.25</v>
      </c>
      <c r="W111" s="4">
        <v>0</v>
      </c>
    </row>
    <row r="112" spans="1:23" x14ac:dyDescent="0.25">
      <c r="A112" s="4" t="s">
        <v>123</v>
      </c>
      <c r="B112" s="4" t="s">
        <v>124</v>
      </c>
      <c r="C112" s="4">
        <v>2</v>
      </c>
      <c r="D112" s="4">
        <v>2</v>
      </c>
      <c r="E112" s="4">
        <v>4</v>
      </c>
      <c r="F112" s="4">
        <v>347.4885845</v>
      </c>
      <c r="G112" s="4">
        <v>920.84474890000001</v>
      </c>
      <c r="H112" s="4">
        <v>144.59</v>
      </c>
      <c r="I112" s="4">
        <v>0.14459</v>
      </c>
      <c r="J112" s="4">
        <v>1.4459E-4</v>
      </c>
      <c r="K112" s="4">
        <v>0.31876600599999999</v>
      </c>
      <c r="L112" s="4">
        <v>9.4999999999999998E-3</v>
      </c>
      <c r="M112" s="4">
        <v>3.1</v>
      </c>
      <c r="N112" s="4">
        <v>22.344262090000001</v>
      </c>
      <c r="O112" s="4">
        <v>2.4419520664382528</v>
      </c>
      <c r="P112" s="4">
        <v>16.965986526289527</v>
      </c>
      <c r="Q112" s="4">
        <v>43.093605776775398</v>
      </c>
      <c r="R112" s="4">
        <v>1107.6521425180997</v>
      </c>
      <c r="S112" s="4">
        <v>2661.9854422448925</v>
      </c>
      <c r="T112" s="4">
        <v>7054.2614219489651</v>
      </c>
      <c r="U112" s="4">
        <v>111</v>
      </c>
      <c r="V112" s="4">
        <v>0.13</v>
      </c>
      <c r="W112" s="4">
        <v>0.22</v>
      </c>
    </row>
    <row r="113" spans="1:23" x14ac:dyDescent="0.25">
      <c r="A113" s="4" t="s">
        <v>125</v>
      </c>
      <c r="B113" s="4" t="s">
        <v>126</v>
      </c>
      <c r="C113" s="4">
        <v>2</v>
      </c>
      <c r="D113" s="4">
        <v>1</v>
      </c>
      <c r="E113" s="4">
        <v>2</v>
      </c>
      <c r="F113" s="4">
        <v>253.3044941</v>
      </c>
      <c r="G113" s="4">
        <v>671.25690940000004</v>
      </c>
      <c r="H113" s="4">
        <v>105.4</v>
      </c>
      <c r="I113" s="4">
        <v>0.10539999999999999</v>
      </c>
      <c r="J113" s="4">
        <v>1.054E-4</v>
      </c>
      <c r="K113" s="4">
        <v>0.23236694799999999</v>
      </c>
      <c r="L113" s="4">
        <v>1.4999999999999999E-2</v>
      </c>
      <c r="M113" s="4">
        <v>2.9</v>
      </c>
      <c r="N113" s="4">
        <v>21.206319180000001</v>
      </c>
      <c r="O113" s="4">
        <v>0.35960673313758373</v>
      </c>
      <c r="P113" s="4">
        <v>9.7057549533049112</v>
      </c>
      <c r="Q113" s="4">
        <v>24.652617581394473</v>
      </c>
      <c r="R113" s="4">
        <v>163.11506433652227</v>
      </c>
      <c r="S113" s="4">
        <v>392.00928703802515</v>
      </c>
      <c r="T113" s="4">
        <v>1038.8246106507665</v>
      </c>
      <c r="U113" s="4">
        <v>136</v>
      </c>
      <c r="V113" s="4">
        <v>0.1</v>
      </c>
      <c r="W113" s="4">
        <v>0</v>
      </c>
    </row>
    <row r="114" spans="1:23" x14ac:dyDescent="0.25">
      <c r="A114" s="4" t="s">
        <v>127</v>
      </c>
      <c r="B114" s="4" t="s">
        <v>128</v>
      </c>
      <c r="C114" s="4">
        <v>2</v>
      </c>
      <c r="D114" s="4">
        <v>2</v>
      </c>
      <c r="E114" s="4">
        <v>4</v>
      </c>
      <c r="F114" s="4">
        <v>1129.488104</v>
      </c>
      <c r="G114" s="4">
        <v>2993.143474</v>
      </c>
      <c r="H114" s="4">
        <v>469.98000009999998</v>
      </c>
      <c r="I114" s="4">
        <v>0.46998000000000001</v>
      </c>
      <c r="J114" s="4">
        <v>4.6998E-4</v>
      </c>
      <c r="K114" s="4">
        <v>1.036127308</v>
      </c>
      <c r="L114" s="4">
        <v>1.4E-2</v>
      </c>
      <c r="M114" s="4">
        <v>3</v>
      </c>
      <c r="N114" s="4">
        <v>32.258966319999999</v>
      </c>
      <c r="O114" s="4">
        <v>5.8345558428621329</v>
      </c>
      <c r="P114" s="4">
        <v>22.595135883632583</v>
      </c>
      <c r="Q114" s="4">
        <v>57.391645144426761</v>
      </c>
      <c r="R114" s="4">
        <v>2646.5131600285458</v>
      </c>
      <c r="S114" s="4">
        <v>6360.2815669996298</v>
      </c>
      <c r="T114" s="4">
        <v>16854.746152549018</v>
      </c>
      <c r="U114" s="4">
        <v>62.2</v>
      </c>
      <c r="V114" s="4">
        <v>0.64</v>
      </c>
      <c r="W114" s="4">
        <v>0</v>
      </c>
    </row>
    <row r="115" spans="1:23" x14ac:dyDescent="0.25">
      <c r="A115" s="4" t="s">
        <v>129</v>
      </c>
      <c r="B115" s="4" t="s">
        <v>130</v>
      </c>
      <c r="C115" s="4">
        <v>2</v>
      </c>
      <c r="D115" s="4">
        <v>2</v>
      </c>
      <c r="E115" s="4">
        <v>4</v>
      </c>
      <c r="F115" s="4">
        <v>347.4885845</v>
      </c>
      <c r="G115" s="4">
        <v>920.84474890000001</v>
      </c>
      <c r="H115" s="4">
        <v>144.59</v>
      </c>
      <c r="I115" s="4">
        <v>0.14459</v>
      </c>
      <c r="J115" s="4">
        <v>1.4459E-4</v>
      </c>
      <c r="K115" s="4">
        <v>0.31876600599999999</v>
      </c>
      <c r="L115" s="4">
        <v>1.2500000000000001E-2</v>
      </c>
      <c r="M115" s="4">
        <v>2.88</v>
      </c>
      <c r="N115" s="4">
        <v>25.753908039999999</v>
      </c>
      <c r="O115" s="4">
        <v>0.2915234107370489</v>
      </c>
      <c r="P115" s="4">
        <v>9.8296419840066989</v>
      </c>
      <c r="Q115" s="4">
        <v>24.967290639377016</v>
      </c>
      <c r="R115" s="4">
        <v>132.23295204481903</v>
      </c>
      <c r="S115" s="4">
        <v>317.79128104979344</v>
      </c>
      <c r="T115" s="4">
        <v>842.1468947819526</v>
      </c>
      <c r="U115" s="4">
        <v>158</v>
      </c>
      <c r="V115" s="4">
        <v>4.2999999999999997E-2</v>
      </c>
      <c r="W115" s="4">
        <v>0</v>
      </c>
    </row>
    <row r="116" spans="1:23" x14ac:dyDescent="0.25">
      <c r="A116" s="4" t="s">
        <v>131</v>
      </c>
      <c r="B116" s="4" t="s">
        <v>132</v>
      </c>
      <c r="C116" s="4">
        <v>2</v>
      </c>
      <c r="D116" s="4">
        <v>2</v>
      </c>
      <c r="E116" s="4">
        <v>4</v>
      </c>
      <c r="F116" s="4">
        <v>1129.488104</v>
      </c>
      <c r="G116" s="4">
        <v>2993.143474</v>
      </c>
      <c r="H116" s="4">
        <v>469.98000009999998</v>
      </c>
      <c r="I116" s="4">
        <v>0.46998000000000001</v>
      </c>
      <c r="J116" s="4">
        <v>4.6998E-4</v>
      </c>
      <c r="K116" s="4">
        <v>1.036127308</v>
      </c>
      <c r="L116" s="4">
        <v>1.4E-2</v>
      </c>
      <c r="M116" s="4">
        <v>2.9</v>
      </c>
      <c r="N116" s="4">
        <v>36.364102760000002</v>
      </c>
      <c r="O116" s="4">
        <v>0.35629213680593108</v>
      </c>
      <c r="P116" s="4">
        <v>9.9077426534814865</v>
      </c>
      <c r="Q116" s="4">
        <v>25.165666339842975</v>
      </c>
      <c r="R116" s="4">
        <v>161.61158694284325</v>
      </c>
      <c r="S116" s="4">
        <v>388.39602725989727</v>
      </c>
      <c r="T116" s="4">
        <v>1029.2494722387278</v>
      </c>
      <c r="U116" s="4">
        <v>45.7</v>
      </c>
      <c r="V116" s="4">
        <v>0.2</v>
      </c>
      <c r="W116" s="4">
        <v>0</v>
      </c>
    </row>
    <row r="117" spans="1:23" x14ac:dyDescent="0.25">
      <c r="A117" s="4" t="s">
        <v>133</v>
      </c>
      <c r="B117" s="4" t="s">
        <v>134</v>
      </c>
      <c r="C117" s="4">
        <v>2</v>
      </c>
      <c r="D117" s="4">
        <v>3</v>
      </c>
      <c r="E117" s="4">
        <v>6</v>
      </c>
      <c r="F117" s="4">
        <v>1200</v>
      </c>
      <c r="G117" s="4">
        <v>3180</v>
      </c>
      <c r="H117" s="4">
        <v>499.32</v>
      </c>
      <c r="I117" s="4">
        <v>0.49931999999999999</v>
      </c>
      <c r="J117" s="4">
        <v>4.9932000000000004E-4</v>
      </c>
      <c r="K117" s="4">
        <v>1.100810858</v>
      </c>
      <c r="L117" s="4">
        <v>1.2699999999999999E-2</v>
      </c>
      <c r="M117" s="4">
        <v>3.1</v>
      </c>
      <c r="N117" s="4">
        <v>30.347369</v>
      </c>
      <c r="O117" s="4">
        <v>5.650045747883131</v>
      </c>
      <c r="P117" s="4">
        <v>20.250186411527949</v>
      </c>
      <c r="Q117" s="4">
        <v>51.435473485280994</v>
      </c>
      <c r="R117" s="4">
        <v>2562.820689226774</v>
      </c>
      <c r="S117" s="4">
        <v>6159.1460928305069</v>
      </c>
      <c r="T117" s="4">
        <v>16321.737146000843</v>
      </c>
      <c r="U117" s="4">
        <v>114</v>
      </c>
      <c r="V117" s="4">
        <v>0.1</v>
      </c>
      <c r="W117" s="4">
        <v>0</v>
      </c>
    </row>
    <row r="118" spans="1:23" x14ac:dyDescent="0.25">
      <c r="A118" s="4" t="s">
        <v>135</v>
      </c>
      <c r="B118" s="4" t="s">
        <v>136</v>
      </c>
      <c r="C118" s="4">
        <v>2</v>
      </c>
      <c r="D118" s="4">
        <v>2</v>
      </c>
      <c r="E118" s="4">
        <v>4</v>
      </c>
      <c r="F118" s="4">
        <v>1129.488104</v>
      </c>
      <c r="G118" s="4">
        <v>2993.143474</v>
      </c>
      <c r="H118" s="4">
        <v>469.98000009999998</v>
      </c>
      <c r="I118" s="4">
        <v>0.46998000000000001</v>
      </c>
      <c r="J118" s="4">
        <v>4.6998E-4</v>
      </c>
      <c r="K118" s="4">
        <v>1.036127308</v>
      </c>
      <c r="L118" s="4">
        <v>1.2E-2</v>
      </c>
      <c r="M118" s="4">
        <v>3</v>
      </c>
      <c r="N118" s="4">
        <v>33.959871919999998</v>
      </c>
      <c r="O118" s="4">
        <v>0.20483194631379331</v>
      </c>
      <c r="P118" s="4">
        <v>7.7886200377118602</v>
      </c>
      <c r="Q118" s="4">
        <v>19.783094895788125</v>
      </c>
      <c r="R118" s="4">
        <v>92.910318473838259</v>
      </c>
      <c r="S118" s="4">
        <v>223.28843661100279</v>
      </c>
      <c r="T118" s="4">
        <v>591.71435701915743</v>
      </c>
      <c r="U118" s="4">
        <v>60.5</v>
      </c>
      <c r="V118" s="4">
        <v>9.9000000000000005E-2</v>
      </c>
      <c r="W118" s="4">
        <v>0</v>
      </c>
    </row>
    <row r="119" spans="1:23" x14ac:dyDescent="0.25">
      <c r="A119" s="4" t="s">
        <v>137</v>
      </c>
      <c r="B119" s="4" t="s">
        <v>138</v>
      </c>
      <c r="C119" s="4">
        <v>2</v>
      </c>
      <c r="D119" s="4">
        <v>1</v>
      </c>
      <c r="E119" s="4">
        <v>2</v>
      </c>
      <c r="F119" s="4">
        <v>236.0009613</v>
      </c>
      <c r="G119" s="4">
        <v>625.40254749999997</v>
      </c>
      <c r="H119" s="4">
        <v>98.2</v>
      </c>
      <c r="I119" s="4">
        <v>9.8199999999999996E-2</v>
      </c>
      <c r="J119" s="4">
        <v>9.8200000000000002E-5</v>
      </c>
      <c r="K119" s="4">
        <v>0.21649368399999999</v>
      </c>
      <c r="L119" s="4">
        <v>1.2500000000000001E-2</v>
      </c>
      <c r="M119" s="4">
        <v>2.82</v>
      </c>
      <c r="N119" s="4">
        <v>24.058974880000001</v>
      </c>
      <c r="O119" s="4">
        <v>0.22563902603855754</v>
      </c>
      <c r="P119" s="4">
        <v>9.6120358703436519</v>
      </c>
      <c r="Q119" s="4">
        <v>24.414571110672878</v>
      </c>
      <c r="R119" s="4">
        <v>102.34826230305337</v>
      </c>
      <c r="S119" s="4">
        <v>245.97034920224314</v>
      </c>
      <c r="T119" s="4">
        <v>651.82142538594428</v>
      </c>
      <c r="U119" s="4">
        <v>50</v>
      </c>
      <c r="V119" s="4">
        <v>0.33500000000000002</v>
      </c>
      <c r="W119" s="4">
        <v>0</v>
      </c>
    </row>
    <row r="120" spans="1:23" x14ac:dyDescent="0.25">
      <c r="A120" s="4" t="s">
        <v>21</v>
      </c>
      <c r="B120" s="4" t="s">
        <v>22</v>
      </c>
      <c r="C120" s="4">
        <v>3</v>
      </c>
      <c r="D120" s="4">
        <v>1</v>
      </c>
      <c r="E120" s="4">
        <v>3</v>
      </c>
      <c r="F120" s="4">
        <v>123.02331169999999</v>
      </c>
      <c r="G120" s="4">
        <v>326.011776</v>
      </c>
      <c r="H120" s="4">
        <v>51.19</v>
      </c>
      <c r="I120" s="4">
        <v>5.1189999999999999E-2</v>
      </c>
      <c r="J120" s="4">
        <v>5.1199999999999998E-5</v>
      </c>
      <c r="K120" s="4">
        <v>0.112854498</v>
      </c>
      <c r="L120" s="4">
        <v>1.6E-2</v>
      </c>
      <c r="M120" s="4">
        <v>3</v>
      </c>
      <c r="N120" s="4">
        <v>14.735166550000001</v>
      </c>
      <c r="O120" s="4">
        <v>2.7303904544423465E-2</v>
      </c>
      <c r="P120" s="4">
        <v>3.6148473344734438</v>
      </c>
      <c r="Q120" s="4">
        <v>9.1817122295625477</v>
      </c>
      <c r="R120" s="4">
        <v>12.384857501258024</v>
      </c>
      <c r="S120" s="4">
        <v>29.764137229651585</v>
      </c>
      <c r="T120" s="4">
        <v>78.874963658576704</v>
      </c>
      <c r="U120" s="4">
        <v>11</v>
      </c>
      <c r="V120" s="4">
        <v>0.6</v>
      </c>
      <c r="W120" s="4">
        <v>0</v>
      </c>
    </row>
    <row r="121" spans="1:23" x14ac:dyDescent="0.25">
      <c r="A121" s="4" t="s">
        <v>23</v>
      </c>
      <c r="B121" s="4" t="s">
        <v>24</v>
      </c>
      <c r="C121" s="4">
        <v>3</v>
      </c>
      <c r="D121" s="4">
        <v>3</v>
      </c>
      <c r="E121" s="4">
        <v>9</v>
      </c>
      <c r="F121" s="4">
        <v>124433.10189999999</v>
      </c>
      <c r="G121" s="4">
        <v>329747.71999999997</v>
      </c>
      <c r="H121" s="4">
        <v>51776.613700000002</v>
      </c>
      <c r="I121" s="4">
        <v>51.776613699999999</v>
      </c>
      <c r="J121" s="4">
        <v>5.1776613999999999E-2</v>
      </c>
      <c r="K121" s="4">
        <v>114.1477581</v>
      </c>
      <c r="L121" s="4">
        <v>2.5999999999999999E-2</v>
      </c>
      <c r="M121" s="4">
        <v>3</v>
      </c>
      <c r="N121" s="4">
        <v>181.035417</v>
      </c>
      <c r="O121" s="4">
        <v>430.48512617683502</v>
      </c>
      <c r="P121" s="4">
        <v>77.099217435276501</v>
      </c>
      <c r="Q121" s="4">
        <v>195.8320122856023</v>
      </c>
      <c r="R121" s="4">
        <v>195265.00085131906</v>
      </c>
      <c r="S121" s="4">
        <v>469274.21497553244</v>
      </c>
      <c r="T121" s="4">
        <v>1243576.669685161</v>
      </c>
      <c r="U121" s="4">
        <v>330</v>
      </c>
      <c r="V121" s="4">
        <v>0.1</v>
      </c>
      <c r="W121" s="4">
        <v>0</v>
      </c>
    </row>
    <row r="122" spans="1:23" x14ac:dyDescent="0.25">
      <c r="A122" s="4" t="s">
        <v>25</v>
      </c>
      <c r="B122" s="4" t="s">
        <v>26</v>
      </c>
      <c r="C122" s="4">
        <v>3</v>
      </c>
      <c r="D122" s="4">
        <v>3</v>
      </c>
      <c r="E122" s="4">
        <v>9</v>
      </c>
      <c r="F122" s="4">
        <v>124433.10189999999</v>
      </c>
      <c r="G122" s="4">
        <v>329747.71999999997</v>
      </c>
      <c r="H122" s="4">
        <v>51776.613700000002</v>
      </c>
      <c r="I122" s="4">
        <v>51.776613699999999</v>
      </c>
      <c r="J122" s="4">
        <v>5.1776613999999999E-2</v>
      </c>
      <c r="K122" s="4">
        <v>114.1477581</v>
      </c>
      <c r="L122" s="4">
        <v>2.1399999999999999E-2</v>
      </c>
      <c r="M122" s="4">
        <v>2.96</v>
      </c>
      <c r="N122" s="4">
        <v>143.43730550000001</v>
      </c>
      <c r="O122" s="4">
        <v>314.36539906417744</v>
      </c>
      <c r="P122" s="4">
        <v>79.518104806318092</v>
      </c>
      <c r="Q122" s="4">
        <v>201.97598620804794</v>
      </c>
      <c r="R122" s="4">
        <v>142593.91598741617</v>
      </c>
      <c r="S122" s="4">
        <v>342691.45875370386</v>
      </c>
      <c r="T122" s="4">
        <v>908132.3656973152</v>
      </c>
      <c r="U122" s="4">
        <v>358.7</v>
      </c>
      <c r="V122" s="4">
        <v>9.1999999999999998E-2</v>
      </c>
      <c r="W122" s="4">
        <v>0</v>
      </c>
    </row>
    <row r="123" spans="1:23" x14ac:dyDescent="0.25">
      <c r="A123" s="4" t="s">
        <v>27</v>
      </c>
      <c r="B123" s="4" t="s">
        <v>28</v>
      </c>
      <c r="C123" s="4">
        <v>3</v>
      </c>
      <c r="D123" s="4">
        <v>1</v>
      </c>
      <c r="E123" s="4">
        <v>3</v>
      </c>
      <c r="F123" s="4">
        <v>3106.2244649999998</v>
      </c>
      <c r="G123" s="4">
        <v>8231.4948330000007</v>
      </c>
      <c r="H123" s="4">
        <v>1292.5</v>
      </c>
      <c r="I123" s="4">
        <v>1.2925</v>
      </c>
      <c r="J123" s="4">
        <v>1.2925E-3</v>
      </c>
      <c r="K123" s="4">
        <v>2.84947135</v>
      </c>
      <c r="L123" s="4">
        <v>1.0999999999999999E-2</v>
      </c>
      <c r="M123" s="4">
        <v>2.9</v>
      </c>
      <c r="N123" s="4">
        <v>56.013011069999997</v>
      </c>
      <c r="O123" s="4">
        <v>1.2955333785002165</v>
      </c>
      <c r="P123" s="4">
        <v>16.804102057285473</v>
      </c>
      <c r="Q123" s="4">
        <v>42.6824192255051</v>
      </c>
      <c r="R123" s="4">
        <v>587.64475442489709</v>
      </c>
      <c r="S123" s="4">
        <v>1412.2680952292651</v>
      </c>
      <c r="T123" s="4">
        <v>3742.5104523575524</v>
      </c>
      <c r="U123" s="4">
        <v>94.6</v>
      </c>
      <c r="V123" s="4">
        <v>0.2</v>
      </c>
      <c r="W123" s="4">
        <v>0</v>
      </c>
    </row>
    <row r="124" spans="1:23" x14ac:dyDescent="0.25">
      <c r="A124" s="4" t="s">
        <v>29</v>
      </c>
      <c r="B124" s="4" t="s">
        <v>30</v>
      </c>
      <c r="C124" s="4">
        <v>3</v>
      </c>
      <c r="D124" s="4">
        <v>7</v>
      </c>
      <c r="E124" s="2">
        <v>21</v>
      </c>
      <c r="F124" s="4">
        <v>20847.385399999999</v>
      </c>
      <c r="G124" s="4">
        <v>55245.121400000004</v>
      </c>
      <c r="H124" s="4">
        <v>8674.5970649999999</v>
      </c>
      <c r="I124" s="4">
        <v>8.6745970650000004</v>
      </c>
      <c r="J124" s="4">
        <v>8.6745969999999992E-3</v>
      </c>
      <c r="K124" s="4">
        <v>19.124190179999999</v>
      </c>
      <c r="L124" s="4">
        <v>3.2499999999999999E-3</v>
      </c>
      <c r="M124" s="4">
        <v>3</v>
      </c>
      <c r="N124" s="4">
        <v>138.7145391</v>
      </c>
      <c r="O124" s="4">
        <v>145.64793740220117</v>
      </c>
      <c r="P124" s="4">
        <v>107.44726409973332</v>
      </c>
      <c r="Q124" s="4">
        <v>272.91605081332261</v>
      </c>
      <c r="R124" s="4">
        <v>66064.871679564356</v>
      </c>
      <c r="S124" s="4">
        <v>158771.62143610758</v>
      </c>
      <c r="T124" s="4">
        <v>420744.7968056851</v>
      </c>
      <c r="U124" s="4">
        <v>311</v>
      </c>
      <c r="V124" s="4">
        <v>0.1</v>
      </c>
      <c r="W124" s="4">
        <v>0</v>
      </c>
    </row>
    <row r="125" spans="1:23" x14ac:dyDescent="0.25">
      <c r="A125" s="2" t="s">
        <v>31</v>
      </c>
      <c r="B125" s="4" t="s">
        <v>32</v>
      </c>
      <c r="C125" s="4">
        <v>3</v>
      </c>
      <c r="D125" s="4">
        <v>1</v>
      </c>
      <c r="E125" s="4">
        <v>3</v>
      </c>
      <c r="F125" s="4">
        <v>123.02331169999999</v>
      </c>
      <c r="G125" s="4">
        <v>326.011776</v>
      </c>
      <c r="H125" s="4">
        <v>51.189999998369998</v>
      </c>
      <c r="I125" s="4">
        <v>5.1189999998369998E-2</v>
      </c>
      <c r="J125" s="4">
        <v>5.118999999837E-5</v>
      </c>
      <c r="K125" s="4">
        <v>0.11285449779640645</v>
      </c>
      <c r="L125" s="3">
        <v>1.1599999999999999E-2</v>
      </c>
      <c r="M125" s="3">
        <v>3</v>
      </c>
      <c r="N125" s="4">
        <v>16.402462244751348</v>
      </c>
      <c r="O125" s="4">
        <v>0.52386987705729759</v>
      </c>
      <c r="P125" s="4">
        <v>10.772343207636768</v>
      </c>
      <c r="Q125" s="4">
        <v>27.361751747397392</v>
      </c>
      <c r="R125" s="2">
        <v>237.62366170011049</v>
      </c>
      <c r="S125" s="2">
        <v>571.0734479695036</v>
      </c>
      <c r="T125" s="2">
        <v>1513.3446371191844</v>
      </c>
      <c r="U125" s="2">
        <v>29.172666666666665</v>
      </c>
      <c r="V125" s="2">
        <v>0.92646666666666677</v>
      </c>
      <c r="W125" s="2">
        <v>0</v>
      </c>
    </row>
    <row r="126" spans="1:23" x14ac:dyDescent="0.25">
      <c r="A126" s="4" t="s">
        <v>33</v>
      </c>
      <c r="B126" s="4" t="s">
        <v>34</v>
      </c>
      <c r="C126" s="4">
        <v>3</v>
      </c>
      <c r="D126" s="4">
        <v>2</v>
      </c>
      <c r="E126" s="4">
        <v>6</v>
      </c>
      <c r="F126" s="4">
        <v>732.42009129999997</v>
      </c>
      <c r="G126" s="4">
        <v>1940.9132420000001</v>
      </c>
      <c r="H126" s="4">
        <v>304.76</v>
      </c>
      <c r="I126" s="4">
        <v>0.30475999999999998</v>
      </c>
      <c r="J126" s="4">
        <v>3.0476E-4</v>
      </c>
      <c r="K126" s="4">
        <v>0.67187999099999995</v>
      </c>
      <c r="L126" s="4">
        <v>1.4999999999999999E-2</v>
      </c>
      <c r="M126" s="4">
        <v>3</v>
      </c>
      <c r="N126" s="4">
        <v>27.286986030000001</v>
      </c>
      <c r="O126" s="4">
        <v>2.5265315752891411</v>
      </c>
      <c r="P126" s="4">
        <v>16.705758263899565</v>
      </c>
      <c r="Q126" s="4">
        <v>42.432625990304892</v>
      </c>
      <c r="R126" s="4">
        <v>1146.0168080164115</v>
      </c>
      <c r="S126" s="4">
        <v>2754.1860322432385</v>
      </c>
      <c r="T126" s="4">
        <v>7298.5929854445822</v>
      </c>
      <c r="U126" s="4">
        <v>58.9</v>
      </c>
      <c r="V126" s="4">
        <v>0.22</v>
      </c>
      <c r="W126" s="4">
        <v>0.20699999999999999</v>
      </c>
    </row>
    <row r="127" spans="1:23" x14ac:dyDescent="0.25">
      <c r="A127" s="4" t="s">
        <v>35</v>
      </c>
      <c r="B127" s="4" t="s">
        <v>36</v>
      </c>
      <c r="C127" s="4">
        <v>3</v>
      </c>
      <c r="D127" s="4">
        <v>1</v>
      </c>
      <c r="E127" s="4">
        <v>3</v>
      </c>
      <c r="F127" s="4">
        <v>123.02331169999999</v>
      </c>
      <c r="G127" s="4">
        <v>326.011776</v>
      </c>
      <c r="H127" s="4">
        <v>51.19</v>
      </c>
      <c r="I127" s="4">
        <v>5.1189999999999999E-2</v>
      </c>
      <c r="J127" s="4">
        <v>5.1199999999999998E-5</v>
      </c>
      <c r="K127" s="4">
        <v>0.112854498</v>
      </c>
      <c r="L127" s="4">
        <v>2.1000000000000001E-2</v>
      </c>
      <c r="M127" s="4">
        <v>3</v>
      </c>
      <c r="N127" s="4">
        <v>13.458250619999999</v>
      </c>
      <c r="O127" s="4">
        <v>0.34435842424324425</v>
      </c>
      <c r="P127" s="4">
        <v>7.6851469248459017</v>
      </c>
      <c r="Q127" s="4">
        <v>19.52027318910859</v>
      </c>
      <c r="R127" s="4">
        <v>156.19853954116547</v>
      </c>
      <c r="S127" s="4">
        <v>375.38702124769395</v>
      </c>
      <c r="T127" s="4">
        <v>994.77560630638891</v>
      </c>
      <c r="U127" s="4">
        <v>21.02</v>
      </c>
      <c r="V127" s="4">
        <v>0.86</v>
      </c>
      <c r="W127" s="4">
        <v>-6.9989999999999997E-2</v>
      </c>
    </row>
    <row r="128" spans="1:23" x14ac:dyDescent="0.25">
      <c r="A128" s="4" t="s">
        <v>37</v>
      </c>
      <c r="B128" s="4" t="s">
        <v>38</v>
      </c>
      <c r="C128" s="4">
        <v>3</v>
      </c>
      <c r="D128" s="4">
        <v>9</v>
      </c>
      <c r="E128" s="4">
        <v>27</v>
      </c>
      <c r="F128" s="4">
        <v>1772157205</v>
      </c>
      <c r="G128" s="4">
        <v>4696216593</v>
      </c>
      <c r="H128" s="4">
        <v>737394613</v>
      </c>
      <c r="I128" s="4">
        <v>737394.61300000001</v>
      </c>
      <c r="J128" s="4">
        <v>737.39461300000005</v>
      </c>
      <c r="K128" s="4">
        <v>1625674.912</v>
      </c>
      <c r="L128" s="2">
        <v>6.0000000000000001E-3</v>
      </c>
      <c r="M128" s="4">
        <v>3</v>
      </c>
      <c r="N128" s="4">
        <v>1544.863059</v>
      </c>
      <c r="O128" s="4">
        <v>122039.9863268476</v>
      </c>
      <c r="P128" s="4">
        <v>825.73115141938979</v>
      </c>
      <c r="Q128" s="4">
        <v>2097.3571246052502</v>
      </c>
      <c r="R128" s="2">
        <v>55356472.465480492</v>
      </c>
      <c r="S128" s="2">
        <v>133036463.50752342</v>
      </c>
      <c r="T128" s="2">
        <v>352546628.29493707</v>
      </c>
      <c r="U128" s="2">
        <v>2097.3599999999997</v>
      </c>
      <c r="V128" s="2">
        <v>0.5</v>
      </c>
      <c r="W128" s="2">
        <v>0</v>
      </c>
    </row>
    <row r="129" spans="1:23" x14ac:dyDescent="0.25">
      <c r="A129" s="4" t="s">
        <v>39</v>
      </c>
      <c r="B129" s="4" t="s">
        <v>40</v>
      </c>
      <c r="C129" s="4">
        <v>3</v>
      </c>
      <c r="D129" s="4">
        <v>2</v>
      </c>
      <c r="E129" s="4">
        <v>6</v>
      </c>
      <c r="F129" s="4">
        <v>7922.1341039999998</v>
      </c>
      <c r="G129" s="4">
        <v>20993.65538</v>
      </c>
      <c r="H129" s="4">
        <v>3296.400001</v>
      </c>
      <c r="I129" s="4">
        <v>3.2964000009999999</v>
      </c>
      <c r="J129" s="4">
        <v>3.2964000000000001E-3</v>
      </c>
      <c r="K129" s="4">
        <v>7.2673093690000004</v>
      </c>
      <c r="L129" s="4">
        <v>1.2E-2</v>
      </c>
      <c r="M129" s="4">
        <v>3</v>
      </c>
      <c r="N129" s="4">
        <v>65.005916630000002</v>
      </c>
      <c r="O129" s="4">
        <v>9.7916017086089191</v>
      </c>
      <c r="P129" s="4">
        <v>28.266966238472971</v>
      </c>
      <c r="Q129" s="4">
        <v>71.798094245721344</v>
      </c>
      <c r="R129" s="4">
        <v>4441.4011070429005</v>
      </c>
      <c r="S129" s="4">
        <v>10673.879132523194</v>
      </c>
      <c r="T129" s="4">
        <v>28285.779701186464</v>
      </c>
      <c r="U129" s="4">
        <v>150.93</v>
      </c>
      <c r="V129" s="4">
        <v>0.11</v>
      </c>
      <c r="W129" s="4">
        <v>0.13</v>
      </c>
    </row>
    <row r="130" spans="1:23" x14ac:dyDescent="0.25">
      <c r="A130" s="4" t="s">
        <v>41</v>
      </c>
      <c r="B130" s="4" t="s">
        <v>42</v>
      </c>
      <c r="C130" s="4">
        <v>3</v>
      </c>
      <c r="D130" s="4">
        <v>4</v>
      </c>
      <c r="E130" s="4">
        <v>12</v>
      </c>
      <c r="F130" s="4">
        <v>4816.6635390000001</v>
      </c>
      <c r="G130" s="4">
        <v>12764.158380000001</v>
      </c>
      <c r="H130" s="4">
        <v>2004.2136989999999</v>
      </c>
      <c r="I130" s="4">
        <v>2.0042136990000001</v>
      </c>
      <c r="J130" s="4">
        <v>2.0042139999999998E-3</v>
      </c>
      <c r="K130" s="4">
        <v>4.4185296039999997</v>
      </c>
      <c r="L130" s="4">
        <v>1.34E-2</v>
      </c>
      <c r="M130" s="4">
        <v>3.1</v>
      </c>
      <c r="N130" s="4">
        <v>46.698504929999999</v>
      </c>
      <c r="O130" s="4">
        <v>16.581052355175359</v>
      </c>
      <c r="P130" s="4">
        <v>28.16685746255764</v>
      </c>
      <c r="Q130" s="4">
        <v>71.543817954896411</v>
      </c>
      <c r="R130" s="4">
        <v>7521.0477792886577</v>
      </c>
      <c r="S130" s="4">
        <v>18075.096801943422</v>
      </c>
      <c r="T130" s="4">
        <v>47899.006525150064</v>
      </c>
      <c r="U130" s="4">
        <v>91.5</v>
      </c>
      <c r="V130" s="4">
        <v>0.12690000000000001</v>
      </c>
      <c r="W130" s="4">
        <v>0</v>
      </c>
    </row>
    <row r="131" spans="1:23" x14ac:dyDescent="0.25">
      <c r="A131" s="4" t="s">
        <v>43</v>
      </c>
      <c r="B131" s="4" t="s">
        <v>44</v>
      </c>
      <c r="C131" s="4">
        <v>3</v>
      </c>
      <c r="D131" s="4">
        <v>2</v>
      </c>
      <c r="E131" s="4">
        <v>6</v>
      </c>
      <c r="F131" s="4">
        <v>732.42009129999997</v>
      </c>
      <c r="G131" s="4">
        <v>1940.9132420000001</v>
      </c>
      <c r="H131" s="4">
        <v>304.76</v>
      </c>
      <c r="I131" s="4">
        <v>0.30475999999999998</v>
      </c>
      <c r="J131" s="4">
        <v>3.0476E-4</v>
      </c>
      <c r="K131" s="4">
        <v>0.67187999099999995</v>
      </c>
      <c r="L131" s="4">
        <v>1.44E-2</v>
      </c>
      <c r="M131" s="4">
        <v>3</v>
      </c>
      <c r="N131" s="4">
        <v>27.66082682</v>
      </c>
      <c r="O131" s="4">
        <v>2.777495453994816</v>
      </c>
      <c r="P131" s="4">
        <v>17.477741991862246</v>
      </c>
      <c r="Q131" s="4">
        <v>44.393464659330107</v>
      </c>
      <c r="R131" s="2">
        <v>1259.8522439217716</v>
      </c>
      <c r="S131" s="2">
        <v>3027.7631432871221</v>
      </c>
      <c r="T131" s="2">
        <v>8023.5723297108734</v>
      </c>
      <c r="U131" s="2">
        <v>47.633333333333333</v>
      </c>
      <c r="V131" s="2">
        <v>0.44799999999999995</v>
      </c>
      <c r="W131" s="2">
        <v>0</v>
      </c>
    </row>
    <row r="132" spans="1:23" x14ac:dyDescent="0.25">
      <c r="A132" s="4" t="s">
        <v>45</v>
      </c>
      <c r="B132" s="4" t="s">
        <v>46</v>
      </c>
      <c r="C132" s="4">
        <v>3</v>
      </c>
      <c r="D132" s="4">
        <v>5</v>
      </c>
      <c r="E132" s="4">
        <v>15</v>
      </c>
      <c r="F132" s="4">
        <v>5086.8830930000004</v>
      </c>
      <c r="G132" s="4">
        <v>13480.2402</v>
      </c>
      <c r="H132" s="4">
        <v>2116.652055</v>
      </c>
      <c r="I132" s="4">
        <v>2.1166520549999999</v>
      </c>
      <c r="J132" s="4">
        <v>2.1166520000000001E-3</v>
      </c>
      <c r="K132" s="4">
        <v>4.6664134529999997</v>
      </c>
      <c r="L132" s="4">
        <v>3.96E-3</v>
      </c>
      <c r="M132" s="4">
        <v>3.2</v>
      </c>
      <c r="N132" s="4">
        <v>61.657472030000001</v>
      </c>
      <c r="O132" s="4">
        <v>680.82295237423421</v>
      </c>
      <c r="P132" s="4">
        <v>115.19083516185107</v>
      </c>
      <c r="Q132" s="4">
        <v>292.5847213111017</v>
      </c>
      <c r="R132" s="2">
        <v>308816.46377799084</v>
      </c>
      <c r="S132" s="2">
        <v>742168.86272047786</v>
      </c>
      <c r="T132" s="2">
        <v>1966747.4862092664</v>
      </c>
      <c r="U132" s="2">
        <v>300.78571428571428</v>
      </c>
      <c r="V132" s="2">
        <v>0.24014285714285719</v>
      </c>
      <c r="W132" s="2">
        <v>0</v>
      </c>
    </row>
    <row r="133" spans="1:23" x14ac:dyDescent="0.25">
      <c r="A133" s="2" t="s">
        <v>47</v>
      </c>
      <c r="B133" s="4" t="s">
        <v>48</v>
      </c>
      <c r="C133" s="4">
        <v>3</v>
      </c>
      <c r="D133" s="4">
        <v>1</v>
      </c>
      <c r="E133" s="4">
        <v>3</v>
      </c>
      <c r="F133" s="4">
        <v>192.26147560000001</v>
      </c>
      <c r="G133" s="4">
        <v>509.49291040000003</v>
      </c>
      <c r="H133" s="4">
        <v>79.999999997160003</v>
      </c>
      <c r="I133" s="4">
        <v>7.999999999716001E-2</v>
      </c>
      <c r="J133" s="4">
        <v>7.9999999997160007E-5</v>
      </c>
      <c r="K133" s="4">
        <v>0.17636959999373888</v>
      </c>
      <c r="L133" s="3">
        <v>1.23E-2</v>
      </c>
      <c r="M133" s="3">
        <v>3.2</v>
      </c>
      <c r="N133" s="4">
        <v>15.546057640091004</v>
      </c>
      <c r="O133" s="4">
        <v>1.8558784479473054</v>
      </c>
      <c r="P133" s="4">
        <v>12.770293212588555</v>
      </c>
      <c r="Q133" s="4">
        <v>32.436544759974929</v>
      </c>
      <c r="R133" s="2">
        <v>841.81330476331766</v>
      </c>
      <c r="S133" s="2">
        <v>2023.1033519906698</v>
      </c>
      <c r="T133" s="2">
        <v>5361.2238827752744</v>
      </c>
      <c r="U133" s="2">
        <v>39.200000000000003</v>
      </c>
      <c r="V133" s="2">
        <v>0.58571428571428563</v>
      </c>
      <c r="W133" s="2">
        <v>0</v>
      </c>
    </row>
    <row r="134" spans="1:23" x14ac:dyDescent="0.25">
      <c r="A134" s="2" t="s">
        <v>49</v>
      </c>
      <c r="B134" s="4" t="s">
        <v>50</v>
      </c>
      <c r="C134" s="4">
        <v>3</v>
      </c>
      <c r="D134" s="4">
        <v>1</v>
      </c>
      <c r="E134" s="4">
        <v>3</v>
      </c>
      <c r="F134" s="4">
        <v>732.42009129999997</v>
      </c>
      <c r="G134" s="4">
        <v>1940.9132420000001</v>
      </c>
      <c r="H134" s="4">
        <v>304.75999998992995</v>
      </c>
      <c r="I134" s="4">
        <v>0.30475999998992997</v>
      </c>
      <c r="J134" s="4">
        <v>3.0475999998992999E-4</v>
      </c>
      <c r="K134" s="4">
        <v>0.6718799911777994</v>
      </c>
      <c r="L134" s="3">
        <v>1.2E-2</v>
      </c>
      <c r="M134" s="3">
        <v>3.1</v>
      </c>
      <c r="N134" s="4">
        <v>26.356984171020404</v>
      </c>
      <c r="O134" s="4">
        <v>0.69553360117709406</v>
      </c>
      <c r="P134" s="4">
        <v>10.49323085079137</v>
      </c>
      <c r="Q134" s="4">
        <v>26.652806361010079</v>
      </c>
      <c r="R134" s="2">
        <v>315.48910976816597</v>
      </c>
      <c r="S134" s="2">
        <v>758.20502227389079</v>
      </c>
      <c r="T134" s="2">
        <v>2009.2433090258105</v>
      </c>
      <c r="U134" s="2">
        <v>54.3</v>
      </c>
      <c r="V134" s="2">
        <v>0.22500000000000001</v>
      </c>
      <c r="W134" s="2">
        <v>0</v>
      </c>
    </row>
    <row r="135" spans="1:23" x14ac:dyDescent="0.25">
      <c r="A135" s="2" t="s">
        <v>51</v>
      </c>
      <c r="B135" s="4" t="s">
        <v>52</v>
      </c>
      <c r="C135" s="4">
        <v>3</v>
      </c>
      <c r="D135" s="4">
        <v>1</v>
      </c>
      <c r="E135" s="4">
        <v>3</v>
      </c>
      <c r="F135" s="4">
        <v>1548.9065129999999</v>
      </c>
      <c r="G135" s="4">
        <v>4104.6022599999997</v>
      </c>
      <c r="H135" s="4">
        <v>644.50000005929996</v>
      </c>
      <c r="I135" s="4">
        <v>0.64450000005929997</v>
      </c>
      <c r="J135" s="4">
        <v>6.445000000593E-4</v>
      </c>
      <c r="K135" s="4">
        <v>1.4208775901307338</v>
      </c>
      <c r="L135" s="3">
        <v>1.24E-2</v>
      </c>
      <c r="M135" s="3">
        <v>3.2</v>
      </c>
      <c r="N135" s="4">
        <v>29.763766337987356</v>
      </c>
      <c r="O135" s="4">
        <v>4.366930968595243E-2</v>
      </c>
      <c r="P135" s="4">
        <v>3.9467108917405</v>
      </c>
      <c r="Q135" s="4">
        <v>10.02464566502087</v>
      </c>
      <c r="R135" s="2">
        <v>19.808089233497125</v>
      </c>
      <c r="S135" s="2">
        <v>47.604155812297819</v>
      </c>
      <c r="T135" s="2">
        <v>126.15101290258922</v>
      </c>
      <c r="U135" s="4">
        <v>20.9</v>
      </c>
      <c r="V135" s="4">
        <v>0.19500000000000001</v>
      </c>
      <c r="W135" s="4">
        <v>-0.35</v>
      </c>
    </row>
    <row r="136" spans="1:23" x14ac:dyDescent="0.25">
      <c r="A136" s="4" t="s">
        <v>53</v>
      </c>
      <c r="B136" s="4" t="s">
        <v>54</v>
      </c>
      <c r="C136" s="4">
        <v>3</v>
      </c>
      <c r="D136" s="4">
        <v>2</v>
      </c>
      <c r="E136" s="4">
        <v>6</v>
      </c>
      <c r="F136" s="4">
        <v>1548.9065129999999</v>
      </c>
      <c r="G136" s="4">
        <v>4104.6022599999997</v>
      </c>
      <c r="H136" s="4">
        <v>644.50000009999997</v>
      </c>
      <c r="I136" s="4">
        <v>0.64449999999999996</v>
      </c>
      <c r="J136" s="4">
        <v>6.445E-4</v>
      </c>
      <c r="K136" s="4">
        <v>1.4208775899999999</v>
      </c>
      <c r="L136" s="4">
        <v>1.2E-2</v>
      </c>
      <c r="M136" s="4">
        <v>2.95</v>
      </c>
      <c r="N136" s="4">
        <v>40.123975620000003</v>
      </c>
      <c r="O136" s="4">
        <v>0.40482448204776578</v>
      </c>
      <c r="P136" s="4">
        <v>10.321105296418812</v>
      </c>
      <c r="Q136" s="4">
        <v>26.215607452903786</v>
      </c>
      <c r="R136" s="4">
        <v>183.62551462282198</v>
      </c>
      <c r="S136" s="4">
        <v>441.30140500558036</v>
      </c>
      <c r="T136" s="4">
        <v>1169.448723264788</v>
      </c>
      <c r="U136" s="4">
        <v>41</v>
      </c>
      <c r="V136" s="4">
        <v>0.17</v>
      </c>
      <c r="W136" s="4">
        <v>0</v>
      </c>
    </row>
    <row r="137" spans="1:23" x14ac:dyDescent="0.25">
      <c r="A137" s="4" t="s">
        <v>55</v>
      </c>
      <c r="B137" s="4" t="s">
        <v>56</v>
      </c>
      <c r="C137" s="4">
        <v>3</v>
      </c>
      <c r="D137" s="4">
        <v>1</v>
      </c>
      <c r="E137" s="4">
        <v>3</v>
      </c>
      <c r="F137" s="4">
        <v>455.65969719999998</v>
      </c>
      <c r="G137" s="4">
        <v>1207.498198</v>
      </c>
      <c r="H137" s="4">
        <v>189.6</v>
      </c>
      <c r="I137" s="4">
        <v>0.18959999999999999</v>
      </c>
      <c r="J137" s="4">
        <v>1.896E-4</v>
      </c>
      <c r="K137" s="4">
        <v>0.417995952</v>
      </c>
      <c r="L137" s="4">
        <v>1.2999999999999999E-2</v>
      </c>
      <c r="M137" s="4">
        <v>3</v>
      </c>
      <c r="N137" s="4">
        <v>24.432336070000002</v>
      </c>
      <c r="O137" s="4">
        <v>1.4572956392570955</v>
      </c>
      <c r="P137" s="4">
        <v>14.585561072478503</v>
      </c>
      <c r="Q137" s="4">
        <v>37.047325124095401</v>
      </c>
      <c r="R137" s="4">
        <v>661.0189689184964</v>
      </c>
      <c r="S137" s="4">
        <v>1588.6060296046535</v>
      </c>
      <c r="T137" s="4">
        <v>4209.8059784523311</v>
      </c>
      <c r="U137" s="4">
        <v>152</v>
      </c>
      <c r="V137" s="4">
        <v>9.6000000000000002E-2</v>
      </c>
      <c r="W137" s="4">
        <v>0.09</v>
      </c>
    </row>
    <row r="138" spans="1:23" x14ac:dyDescent="0.25">
      <c r="A138" s="4" t="s">
        <v>57</v>
      </c>
      <c r="B138" s="4" t="s">
        <v>58</v>
      </c>
      <c r="C138" s="4">
        <v>3</v>
      </c>
      <c r="D138" s="4">
        <v>2</v>
      </c>
      <c r="E138" s="4">
        <v>6</v>
      </c>
      <c r="F138" s="4">
        <v>3981.7351600000002</v>
      </c>
      <c r="G138" s="4">
        <v>10551.598169999999</v>
      </c>
      <c r="H138" s="4">
        <v>1656.8</v>
      </c>
      <c r="I138" s="4">
        <v>1.6568000000000001</v>
      </c>
      <c r="J138" s="4">
        <v>1.6567999999999999E-3</v>
      </c>
      <c r="K138" s="4">
        <v>3.652614416</v>
      </c>
      <c r="L138" s="4">
        <v>4.0000000000000001E-3</v>
      </c>
      <c r="M138" s="4">
        <v>3.1</v>
      </c>
      <c r="N138" s="4">
        <v>51.975182889999999</v>
      </c>
      <c r="O138" s="4">
        <v>3.9067424584819719</v>
      </c>
      <c r="P138" s="4">
        <v>26.097110710709384</v>
      </c>
      <c r="Q138" s="4">
        <v>66.286661205201838</v>
      </c>
      <c r="R138" s="4">
        <v>1772.0706781585814</v>
      </c>
      <c r="S138" s="4">
        <v>4258.7615432794546</v>
      </c>
      <c r="T138" s="4">
        <v>11285.718089690554</v>
      </c>
      <c r="U138" s="4">
        <v>72.900000000000006</v>
      </c>
      <c r="V138" s="4">
        <v>0.4</v>
      </c>
      <c r="W138" s="4">
        <v>0</v>
      </c>
    </row>
    <row r="139" spans="1:23" x14ac:dyDescent="0.25">
      <c r="A139" s="4" t="s">
        <v>59</v>
      </c>
      <c r="B139" s="4" t="s">
        <v>60</v>
      </c>
      <c r="C139" s="4">
        <v>3</v>
      </c>
      <c r="D139" s="4">
        <v>2</v>
      </c>
      <c r="E139" s="4">
        <v>6</v>
      </c>
      <c r="F139" s="4">
        <v>1548.9065129999999</v>
      </c>
      <c r="G139" s="4">
        <v>4104.6022599999997</v>
      </c>
      <c r="H139" s="4">
        <v>644.50000009999997</v>
      </c>
      <c r="I139" s="4">
        <v>0.64449999999999996</v>
      </c>
      <c r="J139" s="4">
        <v>6.445E-4</v>
      </c>
      <c r="K139" s="4">
        <v>1.4208775899999999</v>
      </c>
      <c r="L139" s="4">
        <v>1.6799999999999999E-2</v>
      </c>
      <c r="M139" s="4">
        <v>3.1</v>
      </c>
      <c r="N139" s="4">
        <v>30.1079939</v>
      </c>
      <c r="O139" s="4">
        <v>38.073451818461308</v>
      </c>
      <c r="P139" s="4">
        <v>34.238475686296084</v>
      </c>
      <c r="Q139" s="4">
        <v>86.965728243192046</v>
      </c>
      <c r="R139" s="4">
        <v>17269.847782593512</v>
      </c>
      <c r="S139" s="4">
        <v>41504.080227333594</v>
      </c>
      <c r="T139" s="4">
        <v>109985.81260243402</v>
      </c>
      <c r="U139" s="4">
        <v>263.2</v>
      </c>
      <c r="V139" s="4">
        <v>7.0000000000000007E-2</v>
      </c>
      <c r="W139" s="4">
        <v>0.27</v>
      </c>
    </row>
    <row r="140" spans="1:23" x14ac:dyDescent="0.25">
      <c r="A140" s="4" t="s">
        <v>61</v>
      </c>
      <c r="B140" s="4" t="s">
        <v>62</v>
      </c>
      <c r="C140" s="4">
        <v>3</v>
      </c>
      <c r="D140" s="4">
        <v>1</v>
      </c>
      <c r="E140" s="4">
        <v>3</v>
      </c>
      <c r="F140" s="4">
        <v>91.492429720000004</v>
      </c>
      <c r="G140" s="4">
        <v>242.45493880000001</v>
      </c>
      <c r="H140" s="4">
        <v>38.070000010000001</v>
      </c>
      <c r="I140" s="4">
        <v>3.807E-2</v>
      </c>
      <c r="J140" s="4">
        <v>3.8099999999999998E-5</v>
      </c>
      <c r="K140" s="4">
        <v>8.3929882999999997E-2</v>
      </c>
      <c r="L140" s="4">
        <v>1.2500000000000001E-2</v>
      </c>
      <c r="M140" s="4">
        <v>3</v>
      </c>
      <c r="N140" s="4">
        <v>14.495202539999999</v>
      </c>
      <c r="O140" s="4">
        <v>0.16925822579919275</v>
      </c>
      <c r="P140" s="4">
        <v>7.2099949321631094</v>
      </c>
      <c r="Q140" s="4">
        <v>18.313387127694298</v>
      </c>
      <c r="R140" s="4">
        <v>76.774331086170292</v>
      </c>
      <c r="S140" s="4">
        <v>184.5093272919257</v>
      </c>
      <c r="T140" s="4">
        <v>488.94971732360307</v>
      </c>
      <c r="U140" s="4">
        <v>33.700000000000003</v>
      </c>
      <c r="V140" s="4">
        <v>0.32</v>
      </c>
      <c r="W140" s="4">
        <v>0.55000000000000004</v>
      </c>
    </row>
    <row r="141" spans="1:23" x14ac:dyDescent="0.25">
      <c r="A141" s="4" t="s">
        <v>63</v>
      </c>
      <c r="B141" s="4" t="s">
        <v>64</v>
      </c>
      <c r="C141" s="4">
        <v>3</v>
      </c>
      <c r="D141" s="4">
        <v>2</v>
      </c>
      <c r="E141" s="4">
        <v>6</v>
      </c>
      <c r="F141" s="4">
        <v>732.42009129999997</v>
      </c>
      <c r="G141" s="4">
        <v>1940.9132420000001</v>
      </c>
      <c r="H141" s="4">
        <v>304.76</v>
      </c>
      <c r="I141" s="4">
        <v>0.30475999999999998</v>
      </c>
      <c r="J141" s="4">
        <v>3.0476E-4</v>
      </c>
      <c r="K141" s="4">
        <v>0.67187999099999995</v>
      </c>
      <c r="L141" s="4">
        <v>1.2E-2</v>
      </c>
      <c r="M141" s="4">
        <v>3.1</v>
      </c>
      <c r="N141" s="4">
        <v>26.35698417</v>
      </c>
      <c r="O141" s="4">
        <v>2.4308079206819979</v>
      </c>
      <c r="P141" s="4">
        <v>15.711224800594193</v>
      </c>
      <c r="Q141" s="4">
        <v>39.906510993509251</v>
      </c>
      <c r="R141" s="4">
        <v>1102.5972370213451</v>
      </c>
      <c r="S141" s="4">
        <v>2649.8371473716534</v>
      </c>
      <c r="T141" s="4">
        <v>7022.0684405348811</v>
      </c>
      <c r="U141" s="4">
        <v>42.5</v>
      </c>
      <c r="V141" s="4">
        <v>0.47</v>
      </c>
      <c r="W141" s="4">
        <v>0.05</v>
      </c>
    </row>
    <row r="142" spans="1:23" x14ac:dyDescent="0.25">
      <c r="A142" s="4" t="s">
        <v>65</v>
      </c>
      <c r="B142" s="4" t="s">
        <v>66</v>
      </c>
      <c r="C142" s="4">
        <v>3</v>
      </c>
      <c r="D142" s="4">
        <v>3</v>
      </c>
      <c r="E142" s="4">
        <v>9</v>
      </c>
      <c r="F142" s="4">
        <v>1800</v>
      </c>
      <c r="G142" s="4">
        <v>4770</v>
      </c>
      <c r="H142" s="4">
        <v>748.98</v>
      </c>
      <c r="I142" s="4">
        <v>0.74897999999999998</v>
      </c>
      <c r="J142" s="4">
        <v>7.4898E-4</v>
      </c>
      <c r="K142" s="4">
        <v>1.6512162880000001</v>
      </c>
      <c r="L142" s="4">
        <v>1.2699999999999999E-2</v>
      </c>
      <c r="M142" s="4">
        <v>3.1</v>
      </c>
      <c r="N142" s="4">
        <v>34.587938440000002</v>
      </c>
      <c r="O142" s="4">
        <v>4.8091322899113846</v>
      </c>
      <c r="P142" s="4">
        <v>19.224415369699678</v>
      </c>
      <c r="Q142" s="4">
        <v>48.830015039037185</v>
      </c>
      <c r="R142" s="4">
        <v>2181.3883072417852</v>
      </c>
      <c r="S142" s="4">
        <v>5242.4616852722547</v>
      </c>
      <c r="T142" s="4">
        <v>13892.523465971475</v>
      </c>
      <c r="U142" s="4">
        <v>58.5</v>
      </c>
      <c r="V142" s="4">
        <v>0.2</v>
      </c>
      <c r="W142" s="4">
        <v>0</v>
      </c>
    </row>
    <row r="143" spans="1:23" x14ac:dyDescent="0.25">
      <c r="A143" s="4" t="s">
        <v>67</v>
      </c>
      <c r="B143" s="4" t="s">
        <v>68</v>
      </c>
      <c r="C143" s="4">
        <v>3</v>
      </c>
      <c r="D143" s="4">
        <v>1</v>
      </c>
      <c r="E143" s="4">
        <v>3</v>
      </c>
      <c r="F143" s="4">
        <v>60.65</v>
      </c>
      <c r="G143" s="4">
        <v>160.72999999999999</v>
      </c>
      <c r="H143" s="4">
        <v>25.236464999999999</v>
      </c>
      <c r="I143" s="4">
        <v>2.5236465E-2</v>
      </c>
      <c r="J143" s="4">
        <v>2.5199999999999999E-5</v>
      </c>
      <c r="K143" s="4">
        <v>5.5636814999999999E-2</v>
      </c>
      <c r="L143" s="4">
        <v>1.29E-2</v>
      </c>
      <c r="M143" s="4">
        <v>3.05</v>
      </c>
      <c r="N143" s="4">
        <v>11.99942031</v>
      </c>
      <c r="O143" s="4">
        <v>0.22419470726138793</v>
      </c>
      <c r="P143" s="4">
        <v>7.4605949937208234</v>
      </c>
      <c r="Q143" s="4">
        <v>18.949911284050891</v>
      </c>
      <c r="R143" s="4">
        <v>101.6931295467645</v>
      </c>
      <c r="S143" s="4">
        <v>244.3958893217123</v>
      </c>
      <c r="T143" s="4">
        <v>647.64910670253755</v>
      </c>
      <c r="U143" s="4">
        <v>42</v>
      </c>
      <c r="V143" s="4">
        <v>0.2</v>
      </c>
      <c r="W143" s="4">
        <v>0</v>
      </c>
    </row>
    <row r="144" spans="1:23" x14ac:dyDescent="0.25">
      <c r="A144" s="4" t="s">
        <v>69</v>
      </c>
      <c r="B144" s="4" t="s">
        <v>70</v>
      </c>
      <c r="C144" s="4">
        <v>3</v>
      </c>
      <c r="D144" s="4">
        <v>1</v>
      </c>
      <c r="E144" s="4">
        <v>3</v>
      </c>
      <c r="F144" s="4">
        <v>192.26147560000001</v>
      </c>
      <c r="G144" s="4">
        <v>509.49291040000003</v>
      </c>
      <c r="H144" s="4">
        <v>80</v>
      </c>
      <c r="I144" s="4">
        <v>0.08</v>
      </c>
      <c r="J144" s="4">
        <v>8.0000000000000007E-5</v>
      </c>
      <c r="K144" s="4">
        <v>0.17636959999999999</v>
      </c>
      <c r="L144" s="4">
        <v>0.01</v>
      </c>
      <c r="M144" s="4">
        <v>2.9</v>
      </c>
      <c r="N144" s="4">
        <v>22.176504810000001</v>
      </c>
      <c r="O144" s="4">
        <v>0.12072496109088769</v>
      </c>
      <c r="P144" s="4">
        <v>7.6611077402191885</v>
      </c>
      <c r="Q144" s="4">
        <v>19.459213660156738</v>
      </c>
      <c r="R144" s="4">
        <v>54.759986342720147</v>
      </c>
      <c r="S144" s="4">
        <v>131.6029472307622</v>
      </c>
      <c r="T144" s="4">
        <v>348.74781016151979</v>
      </c>
      <c r="U144" s="4">
        <v>37.700000000000003</v>
      </c>
      <c r="V144" s="4">
        <v>0.24199999999999999</v>
      </c>
      <c r="W144" s="4">
        <v>0</v>
      </c>
    </row>
    <row r="145" spans="1:23" x14ac:dyDescent="0.25">
      <c r="A145" s="2" t="s">
        <v>71</v>
      </c>
      <c r="B145" s="4" t="s">
        <v>72</v>
      </c>
      <c r="C145" s="4">
        <v>3</v>
      </c>
      <c r="D145" s="4">
        <v>1</v>
      </c>
      <c r="E145" s="4">
        <v>3</v>
      </c>
      <c r="F145" s="4">
        <v>5.0708964190000003</v>
      </c>
      <c r="G145" s="4">
        <v>13.43787551</v>
      </c>
      <c r="H145" s="4">
        <v>2.1099999999459</v>
      </c>
      <c r="I145" s="4">
        <v>2.1099999999458999E-3</v>
      </c>
      <c r="J145" s="4">
        <v>2.1099999999459001E-6</v>
      </c>
      <c r="K145" s="4">
        <v>4.6517481998807298E-3</v>
      </c>
      <c r="L145" s="3">
        <v>1.0999999999999999E-2</v>
      </c>
      <c r="M145" s="3">
        <v>3.01</v>
      </c>
      <c r="N145" s="4">
        <v>5.7337022923298262</v>
      </c>
      <c r="O145" s="4">
        <v>4.2265075202375779E-3</v>
      </c>
      <c r="P145" s="4">
        <v>2.1866000103244061</v>
      </c>
      <c r="Q145" s="4">
        <v>5.5539640262239915</v>
      </c>
      <c r="R145" s="2">
        <v>1.9171138428561738</v>
      </c>
      <c r="S145" s="2">
        <v>4.6073392041724919</v>
      </c>
      <c r="T145" s="2">
        <v>12.209448891057104</v>
      </c>
      <c r="U145" s="4">
        <v>9</v>
      </c>
      <c r="V145" s="4">
        <v>0.32</v>
      </c>
      <c r="W145" s="4">
        <v>0</v>
      </c>
    </row>
    <row r="146" spans="1:23" x14ac:dyDescent="0.25">
      <c r="A146" s="4" t="s">
        <v>73</v>
      </c>
      <c r="B146" s="4" t="s">
        <v>74</v>
      </c>
      <c r="C146" s="4">
        <v>3</v>
      </c>
      <c r="D146" s="4">
        <v>2</v>
      </c>
      <c r="E146" s="4">
        <v>6</v>
      </c>
      <c r="F146" s="4">
        <v>732.42009129999997</v>
      </c>
      <c r="G146" s="4">
        <v>1940.9132420000001</v>
      </c>
      <c r="H146" s="4">
        <v>304.76</v>
      </c>
      <c r="I146" s="4">
        <v>0.30475999999999998</v>
      </c>
      <c r="J146" s="4">
        <v>3.0476E-4</v>
      </c>
      <c r="K146" s="4">
        <v>0.67187999099999995</v>
      </c>
      <c r="L146" s="4">
        <v>1.4E-2</v>
      </c>
      <c r="M146" s="4">
        <v>2.8</v>
      </c>
      <c r="N146" s="4">
        <v>35.418076749999997</v>
      </c>
      <c r="O146" s="4">
        <v>0.98383309943816588</v>
      </c>
      <c r="P146" s="4">
        <v>15.978820944146554</v>
      </c>
      <c r="Q146" s="4">
        <v>40.586205198132248</v>
      </c>
      <c r="R146" s="4">
        <v>446.2597179732407</v>
      </c>
      <c r="S146" s="4">
        <v>1072.4818985177617</v>
      </c>
      <c r="T146" s="4">
        <v>2842.0770310720682</v>
      </c>
      <c r="U146" s="4">
        <v>43</v>
      </c>
      <c r="V146" s="4">
        <v>0.48</v>
      </c>
      <c r="W146" s="4">
        <v>0</v>
      </c>
    </row>
    <row r="147" spans="1:23" x14ac:dyDescent="0.25">
      <c r="A147" s="4" t="s">
        <v>75</v>
      </c>
      <c r="B147" s="4" t="s">
        <v>76</v>
      </c>
      <c r="C147" s="4">
        <v>3</v>
      </c>
      <c r="D147" s="4">
        <v>2</v>
      </c>
      <c r="E147" s="4">
        <v>6</v>
      </c>
      <c r="F147" s="4">
        <v>732.42009129999997</v>
      </c>
      <c r="G147" s="4">
        <v>1940.9132420000001</v>
      </c>
      <c r="H147" s="4">
        <v>304.76</v>
      </c>
      <c r="I147" s="4">
        <v>0.30475999999999998</v>
      </c>
      <c r="J147" s="4">
        <v>3.0476E-4</v>
      </c>
      <c r="K147" s="4">
        <v>0.67187999099999995</v>
      </c>
      <c r="L147" s="4">
        <v>2.5000000000000001E-3</v>
      </c>
      <c r="M147" s="4">
        <v>3.1</v>
      </c>
      <c r="N147" s="4">
        <v>43.717060600000003</v>
      </c>
      <c r="O147" s="4">
        <v>1.5967002065243137</v>
      </c>
      <c r="P147" s="4">
        <v>22.755454741965806</v>
      </c>
      <c r="Q147" s="4">
        <v>57.798855044593147</v>
      </c>
      <c r="R147" s="4">
        <v>724.25189217385025</v>
      </c>
      <c r="S147" s="4">
        <v>1740.5717187547471</v>
      </c>
      <c r="T147" s="4">
        <v>4612.5150547000794</v>
      </c>
      <c r="U147" s="4">
        <v>122</v>
      </c>
      <c r="V147" s="4">
        <v>0.107</v>
      </c>
      <c r="W147" s="4">
        <v>0</v>
      </c>
    </row>
    <row r="148" spans="1:23" x14ac:dyDescent="0.25">
      <c r="A148" s="4" t="s">
        <v>77</v>
      </c>
      <c r="B148" s="4" t="s">
        <v>78</v>
      </c>
      <c r="C148" s="4">
        <v>3</v>
      </c>
      <c r="D148" s="4">
        <v>3</v>
      </c>
      <c r="E148" s="4">
        <v>9</v>
      </c>
      <c r="F148" s="4">
        <v>123834.1152</v>
      </c>
      <c r="G148" s="4">
        <v>328160.40529999998</v>
      </c>
      <c r="H148" s="4">
        <v>51527.375330000003</v>
      </c>
      <c r="I148" s="4">
        <v>51.527375329999998</v>
      </c>
      <c r="J148" s="4">
        <v>5.1527375E-2</v>
      </c>
      <c r="K148" s="4">
        <v>113.5982822</v>
      </c>
      <c r="L148" s="4">
        <v>3.5000000000000003E-2</v>
      </c>
      <c r="M148" s="4">
        <v>2.9</v>
      </c>
      <c r="N148" s="4">
        <v>133.93256890000001</v>
      </c>
      <c r="O148" s="4">
        <v>396.44039314893666</v>
      </c>
      <c r="P148" s="4">
        <v>81.138506834037244</v>
      </c>
      <c r="Q148" s="4">
        <v>206.09180735845459</v>
      </c>
      <c r="R148" s="2">
        <v>179822.55134623504</v>
      </c>
      <c r="S148" s="2">
        <v>432161.86336514069</v>
      </c>
      <c r="T148" s="2">
        <v>1145228.9379176227</v>
      </c>
      <c r="U148" s="4">
        <v>208.40700000000004</v>
      </c>
      <c r="V148" s="4">
        <v>0.5</v>
      </c>
      <c r="W148" s="4">
        <v>0</v>
      </c>
    </row>
    <row r="149" spans="1:23" x14ac:dyDescent="0.25">
      <c r="A149" s="4" t="s">
        <v>79</v>
      </c>
      <c r="B149" s="4" t="s">
        <v>80</v>
      </c>
      <c r="C149" s="4">
        <v>3</v>
      </c>
      <c r="D149" s="4">
        <v>2</v>
      </c>
      <c r="E149" s="4">
        <v>6</v>
      </c>
      <c r="F149" s="4">
        <v>1548.9065129999999</v>
      </c>
      <c r="G149" s="4">
        <v>4104.6022599999997</v>
      </c>
      <c r="H149" s="4">
        <v>644.50000009999997</v>
      </c>
      <c r="I149" s="4">
        <v>0.64449999999999996</v>
      </c>
      <c r="J149" s="4">
        <v>6.445E-4</v>
      </c>
      <c r="K149" s="4">
        <v>1.4208775899999999</v>
      </c>
      <c r="L149" s="4">
        <v>3.3999999999999998E-3</v>
      </c>
      <c r="M149" s="4">
        <v>3.2850000000000001</v>
      </c>
      <c r="N149" s="4">
        <v>29.76376634</v>
      </c>
      <c r="O149" s="4">
        <v>1.1902389469204189</v>
      </c>
      <c r="P149" s="4">
        <v>15.078883103792364</v>
      </c>
      <c r="Q149" s="4">
        <v>38.300363083632604</v>
      </c>
      <c r="R149" s="4">
        <v>539.88394685724472</v>
      </c>
      <c r="S149" s="4">
        <v>1297.4860534901338</v>
      </c>
      <c r="T149" s="4">
        <v>3438.3380417488547</v>
      </c>
      <c r="U149" s="4">
        <v>59.9</v>
      </c>
      <c r="V149" s="4">
        <v>0.17</v>
      </c>
      <c r="W149" s="4">
        <v>0</v>
      </c>
    </row>
    <row r="150" spans="1:23" x14ac:dyDescent="0.25">
      <c r="A150" s="4" t="s">
        <v>81</v>
      </c>
      <c r="B150" s="4" t="s">
        <v>82</v>
      </c>
      <c r="C150" s="4">
        <v>3</v>
      </c>
      <c r="D150" s="4">
        <v>2</v>
      </c>
      <c r="E150" s="4">
        <v>6</v>
      </c>
      <c r="F150" s="4">
        <v>732.42009129999997</v>
      </c>
      <c r="G150" s="4">
        <v>1940.9132420000001</v>
      </c>
      <c r="H150" s="4">
        <v>304.76</v>
      </c>
      <c r="I150" s="4">
        <v>0.30475999999999998</v>
      </c>
      <c r="J150" s="4">
        <v>3.0476E-4</v>
      </c>
      <c r="K150" s="4">
        <v>0.67187999099999995</v>
      </c>
      <c r="L150" s="4">
        <v>1.4999999999999999E-2</v>
      </c>
      <c r="M150" s="4">
        <v>3</v>
      </c>
      <c r="N150" s="4">
        <v>27.286986030000001</v>
      </c>
      <c r="O150" s="4">
        <v>10.296053813818979</v>
      </c>
      <c r="P150" s="4">
        <v>26.683833205375471</v>
      </c>
      <c r="Q150" s="4">
        <v>67.776936341653695</v>
      </c>
      <c r="R150" s="4">
        <v>4670.2170051160647</v>
      </c>
      <c r="S150" s="4">
        <v>11223.785160096286</v>
      </c>
      <c r="T150" s="4">
        <v>29743.030674255155</v>
      </c>
      <c r="U150" s="4">
        <v>106</v>
      </c>
      <c r="V150" s="4">
        <v>0.17</v>
      </c>
      <c r="W150" s="4">
        <v>0</v>
      </c>
    </row>
    <row r="151" spans="1:23" x14ac:dyDescent="0.25">
      <c r="A151" s="4" t="s">
        <v>83</v>
      </c>
      <c r="B151" s="4" t="s">
        <v>84</v>
      </c>
      <c r="C151" s="4">
        <v>3</v>
      </c>
      <c r="D151" s="4">
        <v>7</v>
      </c>
      <c r="E151" s="4">
        <v>21</v>
      </c>
      <c r="F151" s="4">
        <v>20847.385399999999</v>
      </c>
      <c r="G151" s="4">
        <v>55245.121400000004</v>
      </c>
      <c r="H151" s="4">
        <v>8674.5970649999999</v>
      </c>
      <c r="I151" s="4">
        <v>8.6745970650000004</v>
      </c>
      <c r="J151" s="4">
        <v>8.6745969999999992E-3</v>
      </c>
      <c r="K151" s="4">
        <v>19.124190179999999</v>
      </c>
      <c r="L151" s="4">
        <v>5.4000000000000003E-3</v>
      </c>
      <c r="M151" s="4">
        <v>3</v>
      </c>
      <c r="N151" s="4">
        <v>117.11661650000001</v>
      </c>
      <c r="O151" s="4">
        <v>198.55721021722917</v>
      </c>
      <c r="P151" s="4">
        <v>100.58942753390535</v>
      </c>
      <c r="Q151" s="4">
        <v>255.49714593611961</v>
      </c>
      <c r="R151" s="4">
        <v>90064.142671856898</v>
      </c>
      <c r="S151" s="4">
        <v>216448.31211693559</v>
      </c>
      <c r="T151" s="4">
        <v>573588.0271098793</v>
      </c>
      <c r="U151" s="4">
        <v>280</v>
      </c>
      <c r="V151" s="4">
        <v>0.11600000000000001</v>
      </c>
      <c r="W151" s="4">
        <v>0</v>
      </c>
    </row>
    <row r="152" spans="1:23" x14ac:dyDescent="0.25">
      <c r="A152" s="4" t="s">
        <v>85</v>
      </c>
      <c r="B152" s="4" t="s">
        <v>86</v>
      </c>
      <c r="C152" s="4">
        <v>3</v>
      </c>
      <c r="D152" s="4">
        <v>7</v>
      </c>
      <c r="E152" s="4">
        <v>21</v>
      </c>
      <c r="F152" s="4">
        <v>20847.385399999999</v>
      </c>
      <c r="G152" s="4">
        <v>55245.121400000004</v>
      </c>
      <c r="H152" s="4">
        <v>8674.5970649999999</v>
      </c>
      <c r="I152" s="4">
        <v>8.6745970650000004</v>
      </c>
      <c r="J152" s="4">
        <v>8.6745969999999992E-3</v>
      </c>
      <c r="K152" s="4">
        <v>19.124190179999999</v>
      </c>
      <c r="L152" s="4">
        <v>5.2399999999999999E-3</v>
      </c>
      <c r="M152" s="4">
        <v>3.141</v>
      </c>
      <c r="N152" s="4">
        <v>95.480919940000007</v>
      </c>
      <c r="O152" s="4">
        <v>600.93530089230137</v>
      </c>
      <c r="P152" s="4">
        <v>112.65762213025943</v>
      </c>
      <c r="Q152" s="4">
        <v>286.15036021085893</v>
      </c>
      <c r="R152" s="2">
        <v>272579.99151432054</v>
      </c>
      <c r="S152" s="2">
        <v>655082.89236798976</v>
      </c>
      <c r="T152" s="2">
        <v>1735969.6647751727</v>
      </c>
      <c r="U152" s="4">
        <v>309.24444444444441</v>
      </c>
      <c r="V152" s="4">
        <v>0.13655555555555554</v>
      </c>
      <c r="W152" s="4">
        <v>2</v>
      </c>
    </row>
    <row r="153" spans="1:23" x14ac:dyDescent="0.25">
      <c r="A153" s="4" t="s">
        <v>87</v>
      </c>
      <c r="B153" s="4" t="s">
        <v>88</v>
      </c>
      <c r="C153" s="4">
        <v>3</v>
      </c>
      <c r="D153" s="4">
        <v>2</v>
      </c>
      <c r="E153" s="4">
        <v>6</v>
      </c>
      <c r="F153" s="4">
        <v>732.42009129999997</v>
      </c>
      <c r="G153" s="4">
        <v>1940.9132420000001</v>
      </c>
      <c r="H153" s="4">
        <v>304.76</v>
      </c>
      <c r="I153" s="4">
        <v>0.30475999999999998</v>
      </c>
      <c r="J153" s="4">
        <v>3.0476E-4</v>
      </c>
      <c r="K153" s="4">
        <v>0.67187999099999995</v>
      </c>
      <c r="L153" s="4">
        <v>6.0000000000000001E-3</v>
      </c>
      <c r="M153" s="4">
        <v>3.1</v>
      </c>
      <c r="N153" s="4">
        <v>32.961135609999999</v>
      </c>
      <c r="O153" s="4">
        <v>0.106277198462148</v>
      </c>
      <c r="P153" s="4">
        <v>7.1586185296892664</v>
      </c>
      <c r="Q153" s="4">
        <v>18.182891065410736</v>
      </c>
      <c r="R153" s="4">
        <v>48.206583657114606</v>
      </c>
      <c r="S153" s="4">
        <v>115.85336134850904</v>
      </c>
      <c r="T153" s="4">
        <v>307.01140757354892</v>
      </c>
      <c r="U153" s="4">
        <v>40.299999999999997</v>
      </c>
      <c r="V153" s="4">
        <v>0.1</v>
      </c>
      <c r="W153" s="4">
        <v>0</v>
      </c>
    </row>
    <row r="154" spans="1:23" x14ac:dyDescent="0.25">
      <c r="A154" s="4" t="s">
        <v>89</v>
      </c>
      <c r="B154" s="4" t="s">
        <v>90</v>
      </c>
      <c r="C154" s="4">
        <v>3</v>
      </c>
      <c r="D154" s="4">
        <v>8</v>
      </c>
      <c r="E154" s="4">
        <v>24</v>
      </c>
      <c r="F154" s="4">
        <v>23420.529180000001</v>
      </c>
      <c r="G154" s="4">
        <v>62064.402329999997</v>
      </c>
      <c r="H154" s="4">
        <v>9745.2821920000006</v>
      </c>
      <c r="I154" s="4">
        <v>9.7452821919999995</v>
      </c>
      <c r="J154" s="4">
        <v>9.7452819999999992E-3</v>
      </c>
      <c r="K154" s="4">
        <v>21.484644029999998</v>
      </c>
      <c r="L154" s="2">
        <v>0.05</v>
      </c>
      <c r="M154" s="2">
        <v>3.2</v>
      </c>
      <c r="N154" s="4">
        <v>134.1311675</v>
      </c>
      <c r="O154" s="4">
        <v>410.61567727717454</v>
      </c>
      <c r="P154" s="4">
        <v>44.529207347545793</v>
      </c>
      <c r="Q154" s="4">
        <v>113.10418666276631</v>
      </c>
      <c r="R154" s="4">
        <v>186252.3597160393</v>
      </c>
      <c r="S154" s="4">
        <v>447614.4189282367</v>
      </c>
      <c r="T154" s="4">
        <v>1186178.2101598273</v>
      </c>
      <c r="U154" s="4">
        <v>114.3</v>
      </c>
      <c r="V154" s="4">
        <v>0.19</v>
      </c>
      <c r="W154" s="4">
        <v>0</v>
      </c>
    </row>
    <row r="155" spans="1:23" x14ac:dyDescent="0.25">
      <c r="A155" s="4" t="s">
        <v>91</v>
      </c>
      <c r="B155" s="4" t="s">
        <v>92</v>
      </c>
      <c r="C155" s="4">
        <v>3</v>
      </c>
      <c r="D155" s="4">
        <v>2</v>
      </c>
      <c r="E155" s="4">
        <v>6</v>
      </c>
      <c r="F155" s="4">
        <v>732.42009129999997</v>
      </c>
      <c r="G155" s="4">
        <v>1940.9132420000001</v>
      </c>
      <c r="H155" s="4">
        <v>304.76</v>
      </c>
      <c r="I155" s="4">
        <v>0.30475999999999998</v>
      </c>
      <c r="J155" s="4">
        <v>3.0476E-4</v>
      </c>
      <c r="K155" s="4">
        <v>0.67187999099999995</v>
      </c>
      <c r="L155" s="4">
        <v>1.2999999999999999E-2</v>
      </c>
      <c r="M155" s="4">
        <v>3</v>
      </c>
      <c r="N155" s="4">
        <v>28.620125739999999</v>
      </c>
      <c r="O155" s="4">
        <v>1.9676145080457663</v>
      </c>
      <c r="P155" s="4">
        <v>16.120824758526972</v>
      </c>
      <c r="Q155" s="4">
        <v>40.946894886658512</v>
      </c>
      <c r="R155" s="4">
        <v>892.49598935225401</v>
      </c>
      <c r="S155" s="4">
        <v>2144.9074485754722</v>
      </c>
      <c r="T155" s="4">
        <v>5684.0047387250015</v>
      </c>
      <c r="U155" s="4">
        <v>60.2</v>
      </c>
      <c r="V155" s="4">
        <v>0.19</v>
      </c>
      <c r="W155" s="4">
        <v>0</v>
      </c>
    </row>
    <row r="156" spans="1:23" x14ac:dyDescent="0.25">
      <c r="A156" s="4" t="s">
        <v>93</v>
      </c>
      <c r="B156" s="4" t="s">
        <v>94</v>
      </c>
      <c r="C156" s="4">
        <v>3</v>
      </c>
      <c r="D156" s="4">
        <v>9</v>
      </c>
      <c r="E156" s="4">
        <v>27</v>
      </c>
      <c r="F156" s="4">
        <v>1772157205</v>
      </c>
      <c r="G156" s="4">
        <v>4696216593</v>
      </c>
      <c r="H156" s="4">
        <v>737394613</v>
      </c>
      <c r="I156" s="4">
        <v>737394.61300000001</v>
      </c>
      <c r="J156" s="4">
        <v>737.39461300000005</v>
      </c>
      <c r="K156" s="4">
        <v>1625674.912</v>
      </c>
      <c r="L156" s="2">
        <v>1.7000000000000001E-2</v>
      </c>
      <c r="M156" s="4">
        <v>3</v>
      </c>
      <c r="N156" s="4">
        <v>1544.863059</v>
      </c>
      <c r="O156" s="4">
        <v>148700.06890493253</v>
      </c>
      <c r="P156" s="4">
        <v>623.2693711166263</v>
      </c>
      <c r="Q156" s="4">
        <v>1583.1042026362309</v>
      </c>
      <c r="R156" s="2">
        <v>67449296.887868449</v>
      </c>
      <c r="S156" s="2">
        <v>162098766.85380542</v>
      </c>
      <c r="T156" s="2">
        <v>429561732.16258436</v>
      </c>
      <c r="U156" s="4">
        <v>1584.96</v>
      </c>
      <c r="V156" s="2">
        <v>0.25</v>
      </c>
      <c r="W156" s="4">
        <v>0</v>
      </c>
    </row>
    <row r="157" spans="1:23" x14ac:dyDescent="0.25">
      <c r="A157" s="4" t="s">
        <v>95</v>
      </c>
      <c r="B157" s="2" t="s">
        <v>96</v>
      </c>
      <c r="C157" s="4">
        <v>3</v>
      </c>
      <c r="D157" s="4">
        <v>2</v>
      </c>
      <c r="E157" s="4">
        <v>6</v>
      </c>
      <c r="F157" s="4">
        <v>732.42009129999997</v>
      </c>
      <c r="G157" s="4">
        <v>1940.9132420000001</v>
      </c>
      <c r="H157" s="4">
        <v>304.76</v>
      </c>
      <c r="I157" s="4">
        <v>0.30475999999999998</v>
      </c>
      <c r="J157" s="4">
        <v>3.0476E-4</v>
      </c>
      <c r="K157" s="4">
        <v>0.67187999099999995</v>
      </c>
      <c r="L157" s="4">
        <v>0.01</v>
      </c>
      <c r="M157" s="4">
        <v>3</v>
      </c>
      <c r="N157" s="4">
        <v>28.262336659999999</v>
      </c>
      <c r="O157" s="4">
        <v>18.924305423223942</v>
      </c>
      <c r="P157" s="4">
        <v>37.416372905488394</v>
      </c>
      <c r="Q157" s="4">
        <v>95.03758717994053</v>
      </c>
      <c r="R157" s="4">
        <v>8583.9307559688023</v>
      </c>
      <c r="S157" s="4">
        <v>20629.489920617165</v>
      </c>
      <c r="T157" s="4">
        <v>54668.148289635486</v>
      </c>
      <c r="U157" s="4">
        <v>136</v>
      </c>
      <c r="V157" s="4">
        <v>0.2</v>
      </c>
      <c r="W157" s="4">
        <v>0</v>
      </c>
    </row>
    <row r="158" spans="1:23" x14ac:dyDescent="0.25">
      <c r="A158" s="4" t="s">
        <v>97</v>
      </c>
      <c r="B158" s="4" t="s">
        <v>98</v>
      </c>
      <c r="C158" s="4">
        <v>3</v>
      </c>
      <c r="D158" s="4">
        <v>2</v>
      </c>
      <c r="E158" s="4">
        <v>6</v>
      </c>
      <c r="F158" s="4">
        <v>26457.496719999999</v>
      </c>
      <c r="G158" s="4">
        <v>70112.366299999994</v>
      </c>
      <c r="H158" s="4">
        <v>11008.964389999999</v>
      </c>
      <c r="I158" s="4">
        <v>11.008964389999999</v>
      </c>
      <c r="J158" s="4">
        <v>1.1008964E-2</v>
      </c>
      <c r="K158" s="4">
        <v>24.27058306</v>
      </c>
      <c r="L158" s="2">
        <v>6.5000000000000002E-2</v>
      </c>
      <c r="M158" s="4">
        <v>3</v>
      </c>
      <c r="N158" s="4">
        <v>81.954377719999997</v>
      </c>
      <c r="O158" s="4">
        <v>1.8214966888823141</v>
      </c>
      <c r="P158" s="4">
        <v>9.1881211345265683</v>
      </c>
      <c r="Q158" s="4">
        <v>23.337827681697483</v>
      </c>
      <c r="R158" s="4">
        <v>826.21798263751305</v>
      </c>
      <c r="S158" s="4">
        <v>1985.6236064347825</v>
      </c>
      <c r="T158" s="4">
        <v>5261.9025570521735</v>
      </c>
      <c r="U158" s="4">
        <v>23.6</v>
      </c>
      <c r="V158" s="4">
        <v>0.75</v>
      </c>
      <c r="W158" s="4">
        <v>0</v>
      </c>
    </row>
    <row r="159" spans="1:23" x14ac:dyDescent="0.25">
      <c r="A159" s="4" t="s">
        <v>99</v>
      </c>
      <c r="B159" s="4" t="s">
        <v>100</v>
      </c>
      <c r="C159" s="4">
        <v>3</v>
      </c>
      <c r="D159" s="4">
        <v>2</v>
      </c>
      <c r="E159" s="4">
        <v>6</v>
      </c>
      <c r="F159" s="4">
        <v>732.42009129999997</v>
      </c>
      <c r="G159" s="4">
        <v>1940.9132420000001</v>
      </c>
      <c r="H159" s="4">
        <v>304.76</v>
      </c>
      <c r="I159" s="4">
        <v>0.30475999999999998</v>
      </c>
      <c r="J159" s="4">
        <v>3.0476E-4</v>
      </c>
      <c r="K159" s="4">
        <v>0.67187999099999995</v>
      </c>
      <c r="L159" s="4">
        <v>1.4999999999999999E-2</v>
      </c>
      <c r="M159" s="4">
        <v>3.1</v>
      </c>
      <c r="N159" s="4">
        <v>24.526434699999999</v>
      </c>
      <c r="O159" s="4">
        <v>0.9165685900879792</v>
      </c>
      <c r="P159" s="4">
        <v>10.673533282150188</v>
      </c>
      <c r="Q159" s="4">
        <v>27.110774536661477</v>
      </c>
      <c r="R159" s="4">
        <v>415.7490134753287</v>
      </c>
      <c r="S159" s="4">
        <v>999.1564851606073</v>
      </c>
      <c r="T159" s="4">
        <v>2647.7646856756091</v>
      </c>
      <c r="U159" s="4">
        <v>42.4</v>
      </c>
      <c r="V159" s="4">
        <v>0.17</v>
      </c>
      <c r="W159" s="4">
        <v>0</v>
      </c>
    </row>
    <row r="160" spans="1:23" x14ac:dyDescent="0.25">
      <c r="A160" s="4" t="s">
        <v>101</v>
      </c>
      <c r="B160" s="4" t="s">
        <v>102</v>
      </c>
      <c r="C160" s="4">
        <v>3</v>
      </c>
      <c r="D160" s="4">
        <v>2</v>
      </c>
      <c r="E160" s="4">
        <v>6</v>
      </c>
      <c r="F160" s="4">
        <v>732.42009129999997</v>
      </c>
      <c r="G160" s="4">
        <v>1940.9132420000001</v>
      </c>
      <c r="H160" s="4">
        <v>304.76</v>
      </c>
      <c r="I160" s="4">
        <v>0.30475999999999998</v>
      </c>
      <c r="J160" s="4">
        <v>3.0476E-4</v>
      </c>
      <c r="K160" s="4">
        <v>0.67187999099999995</v>
      </c>
      <c r="L160" s="4">
        <v>1.2E-2</v>
      </c>
      <c r="M160" s="4">
        <v>3.1</v>
      </c>
      <c r="N160" s="4">
        <v>26.35698417</v>
      </c>
      <c r="O160" s="4">
        <v>6.4555947235383959</v>
      </c>
      <c r="P160" s="4">
        <v>21.530004077517109</v>
      </c>
      <c r="Q160" s="4">
        <v>54.686210356893454</v>
      </c>
      <c r="R160" s="2">
        <v>2928.2119927871449</v>
      </c>
      <c r="S160" s="2">
        <v>7037.2794827857379</v>
      </c>
      <c r="T160" s="2">
        <v>18648.790629382205</v>
      </c>
      <c r="U160" s="4">
        <v>150.03333333333333</v>
      </c>
      <c r="V160" s="4">
        <v>0.11333333333333334</v>
      </c>
      <c r="W160" s="4">
        <v>2</v>
      </c>
    </row>
    <row r="161" spans="1:23" x14ac:dyDescent="0.25">
      <c r="A161" s="4" t="s">
        <v>103</v>
      </c>
      <c r="B161" s="4" t="s">
        <v>104</v>
      </c>
      <c r="C161" s="4">
        <v>3</v>
      </c>
      <c r="D161" s="4">
        <v>1</v>
      </c>
      <c r="E161" s="4">
        <v>3</v>
      </c>
      <c r="F161" s="4">
        <v>233.91011779999999</v>
      </c>
      <c r="G161" s="4">
        <v>619.86181209999995</v>
      </c>
      <c r="H161" s="4">
        <v>97.33000002</v>
      </c>
      <c r="I161" s="4">
        <v>9.733E-2</v>
      </c>
      <c r="J161" s="4">
        <v>9.7299999999999993E-5</v>
      </c>
      <c r="K161" s="4">
        <v>0.214575665</v>
      </c>
      <c r="L161" s="4">
        <v>1.2999999999999999E-2</v>
      </c>
      <c r="M161" s="4">
        <v>2.8</v>
      </c>
      <c r="N161" s="4">
        <v>24.192445729999999</v>
      </c>
      <c r="O161" s="4">
        <v>0.30061431036597802</v>
      </c>
      <c r="P161" s="4">
        <v>10.743411139661841</v>
      </c>
      <c r="Q161" s="4">
        <v>27.288264294741079</v>
      </c>
      <c r="R161" s="4">
        <v>136.35651965689235</v>
      </c>
      <c r="S161" s="4">
        <v>327.70132097306498</v>
      </c>
      <c r="T161" s="4">
        <v>868.40850057862212</v>
      </c>
      <c r="U161" s="4">
        <v>65.400000000000006</v>
      </c>
      <c r="V161" s="4">
        <v>0.18</v>
      </c>
      <c r="W161" s="4">
        <v>0</v>
      </c>
    </row>
    <row r="162" spans="1:23" x14ac:dyDescent="0.25">
      <c r="A162" s="2" t="s">
        <v>105</v>
      </c>
      <c r="B162" s="4" t="s">
        <v>700</v>
      </c>
      <c r="C162" s="4">
        <v>3</v>
      </c>
      <c r="D162" s="4">
        <v>3</v>
      </c>
      <c r="E162" s="4">
        <v>9</v>
      </c>
      <c r="F162" s="4">
        <v>1800</v>
      </c>
      <c r="G162" s="4">
        <v>4770</v>
      </c>
      <c r="H162" s="4">
        <v>748.98</v>
      </c>
      <c r="I162" s="4">
        <v>0.74897999999999998</v>
      </c>
      <c r="J162" s="4">
        <v>7.4898E-4</v>
      </c>
      <c r="K162" s="4">
        <v>1.65075192</v>
      </c>
      <c r="L162" s="3">
        <v>1.2699999999999999E-2</v>
      </c>
      <c r="M162" s="3">
        <v>3.1</v>
      </c>
      <c r="N162" s="4">
        <v>34.587938444619454</v>
      </c>
      <c r="O162" s="4">
        <v>22.928960978255688</v>
      </c>
      <c r="P162" s="4">
        <v>31.817443898557123</v>
      </c>
      <c r="Q162" s="4">
        <v>80.816307502335093</v>
      </c>
      <c r="R162" s="2">
        <v>10400.414120463249</v>
      </c>
      <c r="S162" s="2">
        <v>24994.987071529078</v>
      </c>
      <c r="T162" s="2">
        <v>66236.715739552048</v>
      </c>
      <c r="U162" s="4">
        <v>109.97499999999999</v>
      </c>
      <c r="V162" s="4">
        <v>0.14750000000000002</v>
      </c>
      <c r="W162" s="4">
        <v>0</v>
      </c>
    </row>
    <row r="163" spans="1:23" x14ac:dyDescent="0.25">
      <c r="A163" s="4" t="s">
        <v>107</v>
      </c>
      <c r="B163" s="4" t="s">
        <v>108</v>
      </c>
      <c r="C163" s="4">
        <v>3</v>
      </c>
      <c r="D163" s="4">
        <v>5</v>
      </c>
      <c r="E163" s="4">
        <v>15</v>
      </c>
      <c r="F163" s="4">
        <v>5086.8830930000004</v>
      </c>
      <c r="G163" s="4">
        <v>13480.2402</v>
      </c>
      <c r="H163" s="4">
        <v>2116.652055</v>
      </c>
      <c r="I163" s="4">
        <v>2.1166520549999999</v>
      </c>
      <c r="J163" s="4">
        <v>2.1166520000000001E-3</v>
      </c>
      <c r="K163" s="4">
        <v>4.6664134529999997</v>
      </c>
      <c r="L163" s="4">
        <v>3.5999999999999999E-3</v>
      </c>
      <c r="M163" s="4">
        <v>3</v>
      </c>
      <c r="N163" s="4">
        <v>83.775235480000006</v>
      </c>
      <c r="O163" s="4">
        <v>14.633444906214649</v>
      </c>
      <c r="P163" s="4">
        <v>48.2765686729362</v>
      </c>
      <c r="Q163" s="4">
        <v>122.62248442925795</v>
      </c>
      <c r="R163" s="4">
        <v>6637.6268500760443</v>
      </c>
      <c r="S163" s="4">
        <v>15951.999159038798</v>
      </c>
      <c r="T163" s="4">
        <v>42272.797771452817</v>
      </c>
      <c r="U163" s="4">
        <v>124</v>
      </c>
      <c r="V163" s="4">
        <v>0.3</v>
      </c>
      <c r="W163" s="4">
        <v>0</v>
      </c>
    </row>
    <row r="164" spans="1:23" x14ac:dyDescent="0.25">
      <c r="A164" s="4" t="s">
        <v>109</v>
      </c>
      <c r="B164" s="4" t="s">
        <v>110</v>
      </c>
      <c r="C164" s="4">
        <v>3</v>
      </c>
      <c r="D164" s="4">
        <v>5</v>
      </c>
      <c r="E164" s="4">
        <v>15</v>
      </c>
      <c r="F164" s="4">
        <v>5086.8830930000004</v>
      </c>
      <c r="G164" s="4">
        <v>13480.2402</v>
      </c>
      <c r="H164" s="4">
        <v>2116.652055</v>
      </c>
      <c r="I164" s="4">
        <v>2.1166520549999999</v>
      </c>
      <c r="J164" s="4">
        <v>2.1166520000000001E-3</v>
      </c>
      <c r="K164" s="4">
        <v>4.6664134529999997</v>
      </c>
      <c r="L164" s="4">
        <v>4.3E-3</v>
      </c>
      <c r="M164" s="4">
        <v>3.1</v>
      </c>
      <c r="N164" s="4">
        <v>68.578412069999999</v>
      </c>
      <c r="O164" s="4">
        <v>56.662299651630804</v>
      </c>
      <c r="P164" s="4">
        <v>60.413144874422372</v>
      </c>
      <c r="Q164" s="4">
        <v>153.44938798103283</v>
      </c>
      <c r="R164" s="4">
        <v>25701.61735429725</v>
      </c>
      <c r="S164" s="4">
        <v>61767.885975239726</v>
      </c>
      <c r="T164" s="4">
        <v>163684.89783438528</v>
      </c>
      <c r="U164" s="4">
        <v>267</v>
      </c>
      <c r="V164" s="4">
        <v>5.7000000000000002E-2</v>
      </c>
      <c r="W164" s="4">
        <v>0</v>
      </c>
    </row>
    <row r="165" spans="1:23" x14ac:dyDescent="0.25">
      <c r="A165" s="4" t="s">
        <v>111</v>
      </c>
      <c r="B165" s="4" t="s">
        <v>112</v>
      </c>
      <c r="C165" s="4">
        <v>3</v>
      </c>
      <c r="D165" s="4">
        <v>2</v>
      </c>
      <c r="E165" s="4">
        <v>6</v>
      </c>
      <c r="F165" s="4">
        <v>732.42009129999997</v>
      </c>
      <c r="G165" s="4">
        <v>1940.9132420000001</v>
      </c>
      <c r="H165" s="4">
        <v>304.76</v>
      </c>
      <c r="I165" s="4">
        <v>0.30475999999999998</v>
      </c>
      <c r="J165" s="4">
        <v>3.0476E-4</v>
      </c>
      <c r="K165" s="4">
        <v>0.67187999099999995</v>
      </c>
      <c r="L165" s="4">
        <v>1.2200000000000001E-2</v>
      </c>
      <c r="M165" s="4">
        <v>2.9</v>
      </c>
      <c r="N165" s="4">
        <v>32.84075627</v>
      </c>
      <c r="O165" s="4">
        <v>5.9657721643235062</v>
      </c>
      <c r="P165" s="4">
        <v>27.453977907406433</v>
      </c>
      <c r="Q165" s="4">
        <v>69.733103884812337</v>
      </c>
      <c r="R165" s="4">
        <v>2706.0319530456522</v>
      </c>
      <c r="S165" s="4">
        <v>6503.3212041472061</v>
      </c>
      <c r="T165" s="4">
        <v>17233.801190990096</v>
      </c>
      <c r="U165" s="4">
        <v>113</v>
      </c>
      <c r="V165" s="4">
        <v>0.16</v>
      </c>
      <c r="W165" s="4">
        <v>0</v>
      </c>
    </row>
    <row r="166" spans="1:23" x14ac:dyDescent="0.25">
      <c r="A166" s="4" t="s">
        <v>113</v>
      </c>
      <c r="B166" s="4" t="s">
        <v>114</v>
      </c>
      <c r="C166" s="4">
        <v>3</v>
      </c>
      <c r="D166" s="4">
        <v>2</v>
      </c>
      <c r="E166" s="4">
        <v>6</v>
      </c>
      <c r="F166" s="4">
        <v>1548.9065129999999</v>
      </c>
      <c r="G166" s="4">
        <v>4104.6022599999997</v>
      </c>
      <c r="H166" s="4">
        <v>644.50000009999997</v>
      </c>
      <c r="I166" s="4">
        <v>0.64449999999999996</v>
      </c>
      <c r="J166" s="4">
        <v>6.445E-4</v>
      </c>
      <c r="K166" s="4">
        <v>1.4208775899999999</v>
      </c>
      <c r="L166" s="4">
        <v>1.2E-2</v>
      </c>
      <c r="M166" s="4">
        <v>3.05</v>
      </c>
      <c r="N166" s="4">
        <v>35.549486860000002</v>
      </c>
      <c r="O166" s="4">
        <v>7.8474803509363218</v>
      </c>
      <c r="P166" s="4">
        <v>24.509543201807197</v>
      </c>
      <c r="Q166" s="4">
        <v>62.254239732590285</v>
      </c>
      <c r="R166" s="4">
        <v>3559.561444120221</v>
      </c>
      <c r="S166" s="4">
        <v>8554.5816969964453</v>
      </c>
      <c r="T166" s="4">
        <v>22669.641497040579</v>
      </c>
      <c r="U166" s="4">
        <v>85.9</v>
      </c>
      <c r="V166" s="4">
        <v>0.215</v>
      </c>
      <c r="W166" s="4">
        <v>0</v>
      </c>
    </row>
    <row r="167" spans="1:23" x14ac:dyDescent="0.25">
      <c r="A167" s="4" t="s">
        <v>115</v>
      </c>
      <c r="B167" s="4" t="s">
        <v>116</v>
      </c>
      <c r="C167" s="4">
        <v>3</v>
      </c>
      <c r="D167" s="4">
        <v>7</v>
      </c>
      <c r="E167" s="4">
        <v>21</v>
      </c>
      <c r="F167" s="4">
        <v>9235805.5920000002</v>
      </c>
      <c r="G167" s="4">
        <v>24474884.82</v>
      </c>
      <c r="H167" s="4">
        <v>3843018.7069999999</v>
      </c>
      <c r="I167" s="4">
        <v>3843.0187070000002</v>
      </c>
      <c r="J167" s="4">
        <v>3.8430187070000001</v>
      </c>
      <c r="K167" s="4">
        <v>8472.3959009999999</v>
      </c>
      <c r="L167" s="2">
        <v>1.4999999999999999E-2</v>
      </c>
      <c r="M167" s="4">
        <v>3</v>
      </c>
      <c r="N167" s="4">
        <v>727.03865089999999</v>
      </c>
      <c r="O167" s="4">
        <v>653.46537198936403</v>
      </c>
      <c r="P167" s="4">
        <v>106.43851553128759</v>
      </c>
      <c r="Q167" s="4">
        <v>270.35382944947048</v>
      </c>
      <c r="R167" s="2">
        <v>296407.2592960982</v>
      </c>
      <c r="S167" s="2">
        <v>712346.21316053404</v>
      </c>
      <c r="T167" s="2">
        <v>1887717.4648754152</v>
      </c>
      <c r="U167" s="4">
        <v>271.77999999999997</v>
      </c>
      <c r="V167" s="4">
        <v>0.25</v>
      </c>
      <c r="W167" s="4">
        <v>0</v>
      </c>
    </row>
    <row r="168" spans="1:23" x14ac:dyDescent="0.25">
      <c r="A168" s="4" t="s">
        <v>117</v>
      </c>
      <c r="B168" s="4" t="s">
        <v>118</v>
      </c>
      <c r="C168" s="4">
        <v>3</v>
      </c>
      <c r="D168" s="4">
        <v>2</v>
      </c>
      <c r="E168" s="4">
        <v>6</v>
      </c>
      <c r="F168" s="4">
        <v>732.42009129999997</v>
      </c>
      <c r="G168" s="4">
        <v>1940.9132420000001</v>
      </c>
      <c r="H168" s="4">
        <v>304.76</v>
      </c>
      <c r="I168" s="4">
        <v>0.30475999999999998</v>
      </c>
      <c r="J168" s="4">
        <v>3.0476E-4</v>
      </c>
      <c r="K168" s="4">
        <v>0.67187999099999995</v>
      </c>
      <c r="L168" s="4">
        <v>1.4999999999999999E-2</v>
      </c>
      <c r="M168" s="4">
        <v>3</v>
      </c>
      <c r="N168" s="4">
        <v>27.286986030000001</v>
      </c>
      <c r="O168" s="4">
        <v>1.1913295584543824</v>
      </c>
      <c r="P168" s="4">
        <v>13.00275127477058</v>
      </c>
      <c r="Q168" s="4">
        <v>33.026988237917273</v>
      </c>
      <c r="R168" s="4">
        <v>540.37864051599934</v>
      </c>
      <c r="S168" s="4">
        <v>1298.6749351502026</v>
      </c>
      <c r="T168" s="4">
        <v>3441.4885781480366</v>
      </c>
      <c r="U168" s="4">
        <v>73.2</v>
      </c>
      <c r="V168" s="4">
        <v>0.1</v>
      </c>
      <c r="W168" s="4">
        <v>0</v>
      </c>
    </row>
    <row r="169" spans="1:23" x14ac:dyDescent="0.25">
      <c r="A169" s="4" t="s">
        <v>119</v>
      </c>
      <c r="B169" s="4" t="s">
        <v>120</v>
      </c>
      <c r="C169" s="4">
        <v>3</v>
      </c>
      <c r="D169" s="4">
        <v>3</v>
      </c>
      <c r="E169" s="4">
        <v>9</v>
      </c>
      <c r="F169" s="4">
        <v>124433.10189999999</v>
      </c>
      <c r="G169" s="4">
        <v>329747.71999999997</v>
      </c>
      <c r="H169" s="4">
        <v>51776.613700000002</v>
      </c>
      <c r="I169" s="4">
        <v>51.776613699999999</v>
      </c>
      <c r="J169" s="4">
        <v>5.1776613999999999E-2</v>
      </c>
      <c r="K169" s="4">
        <v>114.1477581</v>
      </c>
      <c r="L169" s="4">
        <v>2.1399999999999999E-2</v>
      </c>
      <c r="M169" s="4">
        <v>2.96</v>
      </c>
      <c r="N169" s="4">
        <v>143.43730550000001</v>
      </c>
      <c r="O169" s="4">
        <v>63.068519356800429</v>
      </c>
      <c r="P169" s="4">
        <v>46.214991514708451</v>
      </c>
      <c r="Q169" s="4">
        <v>117.38607844735947</v>
      </c>
      <c r="R169" s="2">
        <v>28607.433188849067</v>
      </c>
      <c r="S169" s="2">
        <v>68751.341477647366</v>
      </c>
      <c r="T169" s="2">
        <v>182191.0549157655</v>
      </c>
      <c r="U169" s="4">
        <v>133.76666666666668</v>
      </c>
      <c r="V169" s="4">
        <v>0.3</v>
      </c>
      <c r="W169" s="4">
        <v>2</v>
      </c>
    </row>
    <row r="170" spans="1:23" x14ac:dyDescent="0.25">
      <c r="A170" s="4" t="s">
        <v>121</v>
      </c>
      <c r="B170" s="4" t="s">
        <v>122</v>
      </c>
      <c r="C170" s="4">
        <v>3</v>
      </c>
      <c r="D170" s="4">
        <v>7</v>
      </c>
      <c r="E170" s="4">
        <v>21</v>
      </c>
      <c r="F170" s="4">
        <v>9235805.5920000002</v>
      </c>
      <c r="G170" s="4">
        <v>24474884.82</v>
      </c>
      <c r="H170" s="4">
        <v>3843018.7069999999</v>
      </c>
      <c r="I170" s="4">
        <v>3843.0187070000002</v>
      </c>
      <c r="J170" s="4">
        <v>3.8430187070000001</v>
      </c>
      <c r="K170" s="4">
        <v>8472.3959009999999</v>
      </c>
      <c r="L170" s="2">
        <v>1E-3</v>
      </c>
      <c r="M170" s="4">
        <v>3</v>
      </c>
      <c r="N170" s="4">
        <v>727.03865089999999</v>
      </c>
      <c r="O170" s="4">
        <v>38839.400660066996</v>
      </c>
      <c r="P170" s="4">
        <v>1024.4227367213218</v>
      </c>
      <c r="Q170" s="4">
        <v>2602.0337512721576</v>
      </c>
      <c r="R170" s="2">
        <v>17617276.746136293</v>
      </c>
      <c r="S170" s="2">
        <v>42339045.292324662</v>
      </c>
      <c r="T170" s="2">
        <v>112198470.02466035</v>
      </c>
      <c r="U170" s="4">
        <v>2615.7600000000002</v>
      </c>
      <c r="V170" s="4">
        <v>0.25</v>
      </c>
      <c r="W170" s="4">
        <v>0</v>
      </c>
    </row>
    <row r="171" spans="1:23" x14ac:dyDescent="0.25">
      <c r="A171" s="4" t="s">
        <v>123</v>
      </c>
      <c r="B171" s="4" t="s">
        <v>124</v>
      </c>
      <c r="C171" s="4">
        <v>3</v>
      </c>
      <c r="D171" s="4">
        <v>2</v>
      </c>
      <c r="E171" s="4">
        <v>6</v>
      </c>
      <c r="F171" s="4">
        <v>732.42009129999997</v>
      </c>
      <c r="G171" s="4">
        <v>1940.9132420000001</v>
      </c>
      <c r="H171" s="4">
        <v>304.76</v>
      </c>
      <c r="I171" s="4">
        <v>0.30475999999999998</v>
      </c>
      <c r="J171" s="4">
        <v>3.0476E-4</v>
      </c>
      <c r="K171" s="4">
        <v>0.67187999099999995</v>
      </c>
      <c r="L171" s="4">
        <v>9.4999999999999998E-3</v>
      </c>
      <c r="M171" s="4">
        <v>3.1</v>
      </c>
      <c r="N171" s="4">
        <v>28.419994330000002</v>
      </c>
      <c r="O171" s="4">
        <v>6.3456182847985039</v>
      </c>
      <c r="P171" s="4">
        <v>23.086876790543517</v>
      </c>
      <c r="Q171" s="4">
        <v>58.640667047980536</v>
      </c>
      <c r="R171" s="4">
        <v>2878.327459969747</v>
      </c>
      <c r="S171" s="4">
        <v>6917.3935591678619</v>
      </c>
      <c r="T171" s="4">
        <v>18331.092931794832</v>
      </c>
      <c r="U171" s="4">
        <v>111</v>
      </c>
      <c r="V171" s="4">
        <v>0.13</v>
      </c>
      <c r="W171" s="4">
        <v>0.22</v>
      </c>
    </row>
    <row r="172" spans="1:23" x14ac:dyDescent="0.25">
      <c r="A172" s="4" t="s">
        <v>125</v>
      </c>
      <c r="B172" s="4" t="s">
        <v>126</v>
      </c>
      <c r="C172" s="4">
        <v>3</v>
      </c>
      <c r="D172" s="4">
        <v>1</v>
      </c>
      <c r="E172" s="4">
        <v>3</v>
      </c>
      <c r="F172" s="4">
        <v>789.95433809999997</v>
      </c>
      <c r="G172" s="4">
        <v>2093.3789959999999</v>
      </c>
      <c r="H172" s="4">
        <v>328.70000010000001</v>
      </c>
      <c r="I172" s="4">
        <v>0.32869999999999999</v>
      </c>
      <c r="J172" s="4">
        <v>3.2870000000000002E-4</v>
      </c>
      <c r="K172" s="4">
        <v>0.72465859399999999</v>
      </c>
      <c r="L172" s="4">
        <v>1.4999999999999999E-2</v>
      </c>
      <c r="M172" s="4">
        <v>2.9</v>
      </c>
      <c r="N172" s="4">
        <v>31.390339699999998</v>
      </c>
      <c r="O172" s="4">
        <v>1.0142401313462461</v>
      </c>
      <c r="P172" s="4">
        <v>13.877449601293845</v>
      </c>
      <c r="Q172" s="4">
        <v>35.248721987286366</v>
      </c>
      <c r="R172" s="4">
        <v>460.05213204372916</v>
      </c>
      <c r="S172" s="4">
        <v>1105.6287720349176</v>
      </c>
      <c r="T172" s="4">
        <v>2929.9162458925316</v>
      </c>
      <c r="U172" s="4">
        <v>136</v>
      </c>
      <c r="V172" s="4">
        <v>0.1</v>
      </c>
      <c r="W172" s="4">
        <v>0</v>
      </c>
    </row>
    <row r="173" spans="1:23" x14ac:dyDescent="0.25">
      <c r="A173" s="4" t="s">
        <v>127</v>
      </c>
      <c r="B173" s="4" t="s">
        <v>128</v>
      </c>
      <c r="C173" s="4">
        <v>3</v>
      </c>
      <c r="D173" s="4">
        <v>2</v>
      </c>
      <c r="E173" s="4">
        <v>6</v>
      </c>
      <c r="F173" s="4">
        <v>1548.9065129999999</v>
      </c>
      <c r="G173" s="4">
        <v>4104.6022599999997</v>
      </c>
      <c r="H173" s="4">
        <v>644.50000009999997</v>
      </c>
      <c r="I173" s="4">
        <v>0.64449999999999996</v>
      </c>
      <c r="J173" s="4">
        <v>6.445E-4</v>
      </c>
      <c r="K173" s="4">
        <v>1.4208775899999999</v>
      </c>
      <c r="L173" s="4">
        <v>1.4E-2</v>
      </c>
      <c r="M173" s="4">
        <v>3</v>
      </c>
      <c r="N173" s="4">
        <v>35.839749210000001</v>
      </c>
      <c r="O173" s="4">
        <v>6.9586331639951604</v>
      </c>
      <c r="P173" s="4">
        <v>23.961849604856461</v>
      </c>
      <c r="Q173" s="4">
        <v>60.863097996335412</v>
      </c>
      <c r="R173" s="4">
        <v>3156.3866625518958</v>
      </c>
      <c r="S173" s="4">
        <v>7585.6444665991248</v>
      </c>
      <c r="T173" s="4">
        <v>20101.95783648768</v>
      </c>
      <c r="U173" s="4">
        <v>62.2</v>
      </c>
      <c r="V173" s="4">
        <v>0.64</v>
      </c>
      <c r="W173" s="4">
        <v>0</v>
      </c>
    </row>
    <row r="174" spans="1:23" x14ac:dyDescent="0.25">
      <c r="A174" s="4" t="s">
        <v>129</v>
      </c>
      <c r="B174" s="4" t="s">
        <v>130</v>
      </c>
      <c r="C174" s="4">
        <v>3</v>
      </c>
      <c r="D174" s="4">
        <v>2</v>
      </c>
      <c r="E174" s="4">
        <v>6</v>
      </c>
      <c r="F174" s="4">
        <v>732.42009129999997</v>
      </c>
      <c r="G174" s="4">
        <v>1940.9132420000001</v>
      </c>
      <c r="H174" s="4">
        <v>304.76</v>
      </c>
      <c r="I174" s="4">
        <v>0.30475999999999998</v>
      </c>
      <c r="J174" s="4">
        <v>3.0476E-4</v>
      </c>
      <c r="K174" s="4">
        <v>0.67187999099999995</v>
      </c>
      <c r="L174" s="4">
        <v>1.2500000000000001E-2</v>
      </c>
      <c r="M174" s="4">
        <v>2.88</v>
      </c>
      <c r="N174" s="4">
        <v>33.364186400000001</v>
      </c>
      <c r="O174" s="4">
        <v>0.83168509193668805</v>
      </c>
      <c r="P174" s="4">
        <v>14.145650916183214</v>
      </c>
      <c r="Q174" s="4">
        <v>35.929953327105366</v>
      </c>
      <c r="R174" s="4">
        <v>377.24646058580981</v>
      </c>
      <c r="S174" s="4">
        <v>906.624514745998</v>
      </c>
      <c r="T174" s="4">
        <v>2402.5549640768945</v>
      </c>
      <c r="U174" s="4">
        <v>158</v>
      </c>
      <c r="V174" s="4">
        <v>4.2999999999999997E-2</v>
      </c>
      <c r="W174" s="4">
        <v>0</v>
      </c>
    </row>
    <row r="175" spans="1:23" x14ac:dyDescent="0.25">
      <c r="A175" s="4" t="s">
        <v>131</v>
      </c>
      <c r="B175" s="4" t="s">
        <v>132</v>
      </c>
      <c r="C175" s="4">
        <v>3</v>
      </c>
      <c r="D175" s="4">
        <v>2</v>
      </c>
      <c r="E175" s="4">
        <v>6</v>
      </c>
      <c r="F175" s="4">
        <v>1548.9065129999999</v>
      </c>
      <c r="G175" s="4">
        <v>4104.6022599999997</v>
      </c>
      <c r="H175" s="4">
        <v>644.50000009999997</v>
      </c>
      <c r="I175" s="4">
        <v>0.64449999999999996</v>
      </c>
      <c r="J175" s="4">
        <v>6.445E-4</v>
      </c>
      <c r="K175" s="4">
        <v>1.4208775899999999</v>
      </c>
      <c r="L175" s="4">
        <v>1.4E-2</v>
      </c>
      <c r="M175" s="4">
        <v>2.9</v>
      </c>
      <c r="N175" s="4">
        <v>40.547469309999997</v>
      </c>
      <c r="O175" s="4">
        <v>0.71097215166475058</v>
      </c>
      <c r="P175" s="4">
        <v>12.573001777800146</v>
      </c>
      <c r="Q175" s="4">
        <v>31.935424515612372</v>
      </c>
      <c r="R175" s="4">
        <v>322.49192680133109</v>
      </c>
      <c r="S175" s="4">
        <v>775.03467147640254</v>
      </c>
      <c r="T175" s="4">
        <v>2053.8418794124668</v>
      </c>
      <c r="U175" s="4">
        <v>45.7</v>
      </c>
      <c r="V175" s="4">
        <v>0.2</v>
      </c>
      <c r="W175" s="4">
        <v>0</v>
      </c>
    </row>
    <row r="176" spans="1:23" x14ac:dyDescent="0.25">
      <c r="A176" s="4" t="s">
        <v>133</v>
      </c>
      <c r="B176" s="4" t="s">
        <v>134</v>
      </c>
      <c r="C176" s="4">
        <v>3</v>
      </c>
      <c r="D176" s="4">
        <v>3</v>
      </c>
      <c r="E176" s="4">
        <v>9</v>
      </c>
      <c r="F176" s="4">
        <v>1800</v>
      </c>
      <c r="G176" s="4">
        <v>4770</v>
      </c>
      <c r="H176" s="4">
        <v>748.98</v>
      </c>
      <c r="I176" s="4">
        <v>0.74897999999999998</v>
      </c>
      <c r="J176" s="4">
        <v>7.4898E-4</v>
      </c>
      <c r="K176" s="4">
        <v>1.6512162880000001</v>
      </c>
      <c r="L176" s="4">
        <v>1.2699999999999999E-2</v>
      </c>
      <c r="M176" s="4">
        <v>3.1</v>
      </c>
      <c r="N176" s="4">
        <v>34.587938440000002</v>
      </c>
      <c r="O176" s="4">
        <v>13.212613096263208</v>
      </c>
      <c r="P176" s="4">
        <v>26.634275114004609</v>
      </c>
      <c r="Q176" s="4">
        <v>67.651058789571707</v>
      </c>
      <c r="R176" s="4">
        <v>5993.1476155814644</v>
      </c>
      <c r="S176" s="4">
        <v>14403.142551265233</v>
      </c>
      <c r="T176" s="4">
        <v>38168.327760852866</v>
      </c>
      <c r="U176" s="4">
        <v>114</v>
      </c>
      <c r="V176" s="4">
        <v>0.1</v>
      </c>
      <c r="W176" s="4">
        <v>0</v>
      </c>
    </row>
    <row r="177" spans="1:23" x14ac:dyDescent="0.25">
      <c r="A177" s="4" t="s">
        <v>135</v>
      </c>
      <c r="B177" s="4" t="s">
        <v>136</v>
      </c>
      <c r="C177" s="4">
        <v>3</v>
      </c>
      <c r="D177" s="4">
        <v>2</v>
      </c>
      <c r="E177" s="4">
        <v>6</v>
      </c>
      <c r="F177" s="4">
        <v>1548.9065129999999</v>
      </c>
      <c r="G177" s="4">
        <v>4104.6022599999997</v>
      </c>
      <c r="H177" s="4">
        <v>644.50000009999997</v>
      </c>
      <c r="I177" s="4">
        <v>0.64449999999999996</v>
      </c>
      <c r="J177" s="4">
        <v>6.445E-4</v>
      </c>
      <c r="K177" s="4">
        <v>1.4208775899999999</v>
      </c>
      <c r="L177" s="4">
        <v>1.2E-2</v>
      </c>
      <c r="M177" s="4">
        <v>3</v>
      </c>
      <c r="N177" s="4">
        <v>37.729457320000002</v>
      </c>
      <c r="O177" s="4">
        <v>0.52635941956984167</v>
      </c>
      <c r="P177" s="4">
        <v>10.66814115725618</v>
      </c>
      <c r="Q177" s="4">
        <v>27.097078539430697</v>
      </c>
      <c r="R177" s="4">
        <v>238.75290053153907</v>
      </c>
      <c r="S177" s="4">
        <v>573.7873120200411</v>
      </c>
      <c r="T177" s="4">
        <v>1520.5363768531088</v>
      </c>
      <c r="U177" s="4">
        <v>60.5</v>
      </c>
      <c r="V177" s="4">
        <v>9.9000000000000005E-2</v>
      </c>
      <c r="W177" s="4">
        <v>0</v>
      </c>
    </row>
    <row r="178" spans="1:23" x14ac:dyDescent="0.25">
      <c r="A178" s="4" t="s">
        <v>137</v>
      </c>
      <c r="B178" s="4" t="s">
        <v>138</v>
      </c>
      <c r="C178" s="4">
        <v>3</v>
      </c>
      <c r="D178" s="4">
        <v>1</v>
      </c>
      <c r="E178" s="4">
        <v>3</v>
      </c>
      <c r="F178" s="4">
        <v>518.3850036</v>
      </c>
      <c r="G178" s="4">
        <v>1373.7202600000001</v>
      </c>
      <c r="H178" s="4">
        <v>215.7</v>
      </c>
      <c r="I178" s="4">
        <v>0.2157</v>
      </c>
      <c r="J178" s="4">
        <v>2.1570000000000001E-4</v>
      </c>
      <c r="K178" s="4">
        <v>0.47553653400000001</v>
      </c>
      <c r="L178" s="4">
        <v>1.2500000000000001E-2</v>
      </c>
      <c r="M178" s="4">
        <v>2.82</v>
      </c>
      <c r="N178" s="4">
        <v>31.802483779999999</v>
      </c>
      <c r="O178" s="4">
        <v>0.47113422091654195</v>
      </c>
      <c r="P178" s="4">
        <v>12.479436322755602</v>
      </c>
      <c r="Q178" s="4">
        <v>31.697768259799229</v>
      </c>
      <c r="R178" s="4">
        <v>213.70314200022767</v>
      </c>
      <c r="S178" s="4">
        <v>513.58601778473371</v>
      </c>
      <c r="T178" s="4">
        <v>1361.0029471295443</v>
      </c>
      <c r="U178" s="4">
        <v>50</v>
      </c>
      <c r="V178" s="4">
        <v>0.33500000000000002</v>
      </c>
      <c r="W178" s="4">
        <v>0</v>
      </c>
    </row>
    <row r="179" spans="1:23" x14ac:dyDescent="0.25">
      <c r="A179" s="4" t="s">
        <v>21</v>
      </c>
      <c r="B179" s="4" t="s">
        <v>22</v>
      </c>
      <c r="C179" s="4">
        <v>4</v>
      </c>
      <c r="D179" s="4">
        <v>1</v>
      </c>
      <c r="E179" s="4">
        <v>4</v>
      </c>
      <c r="F179" s="4">
        <v>164.56380680000001</v>
      </c>
      <c r="G179" s="4">
        <v>436.094088</v>
      </c>
      <c r="H179" s="4">
        <v>68.475000010000002</v>
      </c>
      <c r="I179" s="4">
        <v>6.8474999999999994E-2</v>
      </c>
      <c r="J179" s="4">
        <v>6.8499999999999998E-5</v>
      </c>
      <c r="K179" s="4">
        <v>0.15096135499999999</v>
      </c>
      <c r="L179" s="4">
        <v>1.6E-2</v>
      </c>
      <c r="M179" s="4">
        <v>3</v>
      </c>
      <c r="N179" s="4">
        <v>16.235687599999999</v>
      </c>
      <c r="O179" s="4">
        <v>3.5296173849495099E-2</v>
      </c>
      <c r="P179" s="4">
        <v>3.9378356353608126</v>
      </c>
      <c r="Q179" s="4">
        <v>10.002102513816464</v>
      </c>
      <c r="R179" s="4">
        <v>16.010094188338623</v>
      </c>
      <c r="S179" s="4">
        <v>38.476554165678017</v>
      </c>
      <c r="T179" s="4">
        <v>101.96286853904674</v>
      </c>
      <c r="U179" s="4">
        <v>11</v>
      </c>
      <c r="V179" s="4">
        <v>0.6</v>
      </c>
      <c r="W179" s="4">
        <v>0</v>
      </c>
    </row>
    <row r="180" spans="1:23" x14ac:dyDescent="0.25">
      <c r="A180" s="4" t="s">
        <v>23</v>
      </c>
      <c r="B180" s="4" t="s">
        <v>24</v>
      </c>
      <c r="C180" s="4">
        <v>4</v>
      </c>
      <c r="D180" s="4">
        <v>3</v>
      </c>
      <c r="E180" s="4">
        <v>12</v>
      </c>
      <c r="F180" s="4">
        <v>157775.1923</v>
      </c>
      <c r="G180" s="4">
        <v>418104.2597</v>
      </c>
      <c r="H180" s="4">
        <v>65650.257519999999</v>
      </c>
      <c r="I180" s="4">
        <v>65.650257519999997</v>
      </c>
      <c r="J180" s="4">
        <v>6.5650258000000003E-2</v>
      </c>
      <c r="K180" s="4">
        <v>144.73387070000001</v>
      </c>
      <c r="L180" s="4">
        <v>2.5999999999999999E-2</v>
      </c>
      <c r="M180" s="4">
        <v>3</v>
      </c>
      <c r="N180" s="4">
        <v>197.1142183</v>
      </c>
      <c r="O180" s="4">
        <v>702.94021695686058</v>
      </c>
      <c r="P180" s="4">
        <v>90.789728373611553</v>
      </c>
      <c r="Q180" s="4">
        <v>230.60591006897334</v>
      </c>
      <c r="R180" s="4">
        <v>318848.69816878217</v>
      </c>
      <c r="S180" s="4">
        <v>766279.0150655664</v>
      </c>
      <c r="T180" s="4">
        <v>2030639.3899237509</v>
      </c>
      <c r="U180" s="4">
        <v>330</v>
      </c>
      <c r="V180" s="4">
        <v>0.1</v>
      </c>
      <c r="W180" s="4">
        <v>0</v>
      </c>
    </row>
    <row r="181" spans="1:23" x14ac:dyDescent="0.25">
      <c r="A181" s="4" t="s">
        <v>25</v>
      </c>
      <c r="B181" s="4" t="s">
        <v>26</v>
      </c>
      <c r="C181" s="4">
        <v>4</v>
      </c>
      <c r="D181" s="4">
        <v>3</v>
      </c>
      <c r="E181" s="4">
        <v>12</v>
      </c>
      <c r="F181" s="4">
        <v>157775.1923</v>
      </c>
      <c r="G181" s="4">
        <v>418104.2597</v>
      </c>
      <c r="H181" s="4">
        <v>65650.257519999999</v>
      </c>
      <c r="I181" s="4">
        <v>65.650257519999997</v>
      </c>
      <c r="J181" s="4">
        <v>6.5650258000000003E-2</v>
      </c>
      <c r="K181" s="4">
        <v>144.73387070000001</v>
      </c>
      <c r="L181" s="4">
        <v>2.1399999999999999E-2</v>
      </c>
      <c r="M181" s="4">
        <v>2.96</v>
      </c>
      <c r="N181" s="4">
        <v>155.41543279999999</v>
      </c>
      <c r="O181" s="4">
        <v>522.3616731288356</v>
      </c>
      <c r="P181" s="4">
        <v>94.399918021206148</v>
      </c>
      <c r="Q181" s="4">
        <v>239.77579177386363</v>
      </c>
      <c r="R181" s="4">
        <v>236939.55109217713</v>
      </c>
      <c r="S181" s="4">
        <v>569429.34653250931</v>
      </c>
      <c r="T181" s="4">
        <v>1508987.7683111497</v>
      </c>
      <c r="U181" s="4">
        <v>358.7</v>
      </c>
      <c r="V181" s="4">
        <v>9.1999999999999998E-2</v>
      </c>
      <c r="W181" s="4">
        <v>0</v>
      </c>
    </row>
    <row r="182" spans="1:23" x14ac:dyDescent="0.25">
      <c r="A182" s="4" t="s">
        <v>27</v>
      </c>
      <c r="B182" s="4" t="s">
        <v>28</v>
      </c>
      <c r="C182" s="4">
        <v>4</v>
      </c>
      <c r="D182" s="4">
        <v>1</v>
      </c>
      <c r="E182" s="4">
        <v>4</v>
      </c>
      <c r="F182" s="4">
        <v>5996.8757509999996</v>
      </c>
      <c r="G182" s="4">
        <v>15891.720740000001</v>
      </c>
      <c r="H182" s="4">
        <v>2495.3000000000002</v>
      </c>
      <c r="I182" s="4">
        <v>2.4952999999999999</v>
      </c>
      <c r="J182" s="4">
        <v>2.4953000000000002E-3</v>
      </c>
      <c r="K182" s="4">
        <v>5.5011882859999996</v>
      </c>
      <c r="L182" s="4">
        <v>1.0999999999999999E-2</v>
      </c>
      <c r="M182" s="4">
        <v>2.9</v>
      </c>
      <c r="N182" s="4">
        <v>70.275424290000004</v>
      </c>
      <c r="O182" s="4">
        <v>2.30886320464082</v>
      </c>
      <c r="P182" s="4">
        <v>20.509244092327101</v>
      </c>
      <c r="Q182" s="4">
        <v>52.093479994510837</v>
      </c>
      <c r="R182" s="4">
        <v>1047.2839784819244</v>
      </c>
      <c r="S182" s="4">
        <v>2516.9045385290178</v>
      </c>
      <c r="T182" s="4">
        <v>6669.7970271018967</v>
      </c>
      <c r="U182" s="4">
        <v>94.6</v>
      </c>
      <c r="V182" s="4">
        <v>0.2</v>
      </c>
      <c r="W182" s="4">
        <v>0</v>
      </c>
    </row>
    <row r="183" spans="1:23" x14ac:dyDescent="0.25">
      <c r="A183" s="4" t="s">
        <v>29</v>
      </c>
      <c r="B183" s="4" t="s">
        <v>30</v>
      </c>
      <c r="C183" s="4">
        <v>4</v>
      </c>
      <c r="D183" s="4">
        <v>7</v>
      </c>
      <c r="E183" s="2">
        <v>28</v>
      </c>
      <c r="F183" s="4">
        <v>32899.059300000001</v>
      </c>
      <c r="G183" s="4">
        <v>87183.557100000005</v>
      </c>
      <c r="H183" s="4">
        <v>13689.298570000001</v>
      </c>
      <c r="I183" s="4">
        <v>13.68929857</v>
      </c>
      <c r="J183" s="4">
        <v>1.3689299E-2</v>
      </c>
      <c r="K183" s="4">
        <v>30.179701420000001</v>
      </c>
      <c r="L183" s="4">
        <v>3.2499999999999999E-3</v>
      </c>
      <c r="M183" s="4">
        <v>3</v>
      </c>
      <c r="N183" s="4">
        <v>161.49755250000001</v>
      </c>
      <c r="O183" s="4">
        <v>178.54946922656171</v>
      </c>
      <c r="P183" s="4">
        <v>114.9953033557312</v>
      </c>
      <c r="Q183" s="4">
        <v>292.08807052355723</v>
      </c>
      <c r="R183" s="4">
        <v>80988.773224665347</v>
      </c>
      <c r="S183" s="4">
        <v>194637.76309700878</v>
      </c>
      <c r="T183" s="4">
        <v>515790.07220707322</v>
      </c>
      <c r="U183" s="4">
        <v>311</v>
      </c>
      <c r="V183" s="4">
        <v>0.1</v>
      </c>
      <c r="W183" s="4">
        <v>0</v>
      </c>
    </row>
    <row r="184" spans="1:23" x14ac:dyDescent="0.25">
      <c r="A184" s="2" t="s">
        <v>31</v>
      </c>
      <c r="B184" s="4" t="s">
        <v>32</v>
      </c>
      <c r="C184" s="4">
        <v>4</v>
      </c>
      <c r="D184" s="4">
        <v>1</v>
      </c>
      <c r="E184" s="4">
        <v>4</v>
      </c>
      <c r="F184" s="4">
        <v>164.56380680000001</v>
      </c>
      <c r="G184" s="4">
        <v>436.094088</v>
      </c>
      <c r="H184" s="4">
        <v>68.475000009479999</v>
      </c>
      <c r="I184" s="4">
        <v>6.8475000009479994E-2</v>
      </c>
      <c r="J184" s="4">
        <v>6.847500000947999E-5</v>
      </c>
      <c r="K184" s="4">
        <v>0.15096135452089976</v>
      </c>
      <c r="L184" s="3">
        <v>1.1599999999999999E-2</v>
      </c>
      <c r="M184" s="3">
        <v>3</v>
      </c>
      <c r="N184" s="4">
        <v>18.072768429706162</v>
      </c>
      <c r="O184" s="4">
        <v>0.58924587416627938</v>
      </c>
      <c r="P184" s="4">
        <v>11.203005678260222</v>
      </c>
      <c r="Q184" s="4">
        <v>28.455634422780964</v>
      </c>
      <c r="R184" s="2">
        <v>267.27775043602952</v>
      </c>
      <c r="S184" s="2">
        <v>642.34018369629791</v>
      </c>
      <c r="T184" s="2">
        <v>1702.2014867951893</v>
      </c>
      <c r="U184" s="2">
        <v>29.172666666666665</v>
      </c>
      <c r="V184" s="2">
        <v>0.92646666666666677</v>
      </c>
      <c r="W184" s="2">
        <v>0</v>
      </c>
    </row>
    <row r="185" spans="1:23" x14ac:dyDescent="0.25">
      <c r="A185" s="4" t="s">
        <v>33</v>
      </c>
      <c r="B185" s="4" t="s">
        <v>34</v>
      </c>
      <c r="C185" s="4">
        <v>4</v>
      </c>
      <c r="D185" s="4">
        <v>2</v>
      </c>
      <c r="E185" s="4">
        <v>8</v>
      </c>
      <c r="F185" s="4">
        <v>1115.2006730000001</v>
      </c>
      <c r="G185" s="4">
        <v>2955.281782</v>
      </c>
      <c r="H185" s="4">
        <v>464.03500000000003</v>
      </c>
      <c r="I185" s="4">
        <v>0.46403499999999998</v>
      </c>
      <c r="J185" s="4">
        <v>4.6403500000000001E-4</v>
      </c>
      <c r="K185" s="4">
        <v>1.023020842</v>
      </c>
      <c r="L185" s="4">
        <v>1.4999999999999999E-2</v>
      </c>
      <c r="M185" s="4">
        <v>3</v>
      </c>
      <c r="N185" s="4">
        <v>31.392060780000001</v>
      </c>
      <c r="O185" s="4">
        <v>3.7249087098461771</v>
      </c>
      <c r="P185" s="4">
        <v>19.013547786676543</v>
      </c>
      <c r="Q185" s="4">
        <v>48.294411378158422</v>
      </c>
      <c r="R185" s="4">
        <v>1689.5921790812824</v>
      </c>
      <c r="S185" s="4">
        <v>4060.5435690489849</v>
      </c>
      <c r="T185" s="4">
        <v>10760.44045797981</v>
      </c>
      <c r="U185" s="4">
        <v>58.9</v>
      </c>
      <c r="V185" s="4">
        <v>0.22</v>
      </c>
      <c r="W185" s="4">
        <v>0.20699999999999999</v>
      </c>
    </row>
    <row r="186" spans="1:23" x14ac:dyDescent="0.25">
      <c r="A186" s="4" t="s">
        <v>35</v>
      </c>
      <c r="B186" s="4" t="s">
        <v>36</v>
      </c>
      <c r="C186" s="4">
        <v>4</v>
      </c>
      <c r="D186" s="4">
        <v>1</v>
      </c>
      <c r="E186" s="4">
        <v>4</v>
      </c>
      <c r="F186" s="4">
        <v>164.56380680000001</v>
      </c>
      <c r="G186" s="4">
        <v>436.094088</v>
      </c>
      <c r="H186" s="4">
        <v>68.475000010000002</v>
      </c>
      <c r="I186" s="4">
        <v>6.8474999999999994E-2</v>
      </c>
      <c r="J186" s="4">
        <v>6.8499999999999998E-5</v>
      </c>
      <c r="K186" s="4">
        <v>0.15096135499999999</v>
      </c>
      <c r="L186" s="4">
        <v>2.1000000000000001E-2</v>
      </c>
      <c r="M186" s="4">
        <v>3</v>
      </c>
      <c r="N186" s="4">
        <v>14.82873994</v>
      </c>
      <c r="O186" s="4">
        <v>0.39220126621395363</v>
      </c>
      <c r="P186" s="4">
        <v>8.025737196769855</v>
      </c>
      <c r="Q186" s="4">
        <v>20.385372479795432</v>
      </c>
      <c r="R186" s="4">
        <v>177.89971342632907</v>
      </c>
      <c r="S186" s="4">
        <v>427.54076766721715</v>
      </c>
      <c r="T186" s="4">
        <v>1132.9830343181254</v>
      </c>
      <c r="U186" s="4">
        <v>21.02</v>
      </c>
      <c r="V186" s="4">
        <v>0.86</v>
      </c>
      <c r="W186" s="4">
        <v>-6.9989999999999997E-2</v>
      </c>
    </row>
    <row r="187" spans="1:23" x14ac:dyDescent="0.25">
      <c r="A187" s="4" t="s">
        <v>37</v>
      </c>
      <c r="B187" s="4" t="s">
        <v>38</v>
      </c>
      <c r="C187" s="4">
        <v>4</v>
      </c>
      <c r="D187" s="4">
        <v>9</v>
      </c>
      <c r="E187" s="4">
        <v>36</v>
      </c>
      <c r="F187" s="4">
        <v>1772515152</v>
      </c>
      <c r="G187" s="4">
        <v>4697165152</v>
      </c>
      <c r="H187" s="4">
        <v>737543554.70000005</v>
      </c>
      <c r="I187" s="4">
        <v>737543.55469999998</v>
      </c>
      <c r="J187" s="4">
        <v>737.54355469999996</v>
      </c>
      <c r="K187" s="4">
        <v>1626003.2720000001</v>
      </c>
      <c r="L187" s="2">
        <v>6.0000000000000001E-3</v>
      </c>
      <c r="M187" s="4">
        <v>3</v>
      </c>
      <c r="N187" s="4">
        <v>1544.9670639999999</v>
      </c>
      <c r="O187" s="4">
        <v>122040.48268768592</v>
      </c>
      <c r="P187" s="4">
        <v>825.73227088868077</v>
      </c>
      <c r="Q187" s="4">
        <v>2097.3599680572493</v>
      </c>
      <c r="R187" s="2">
        <v>55356697.611237273</v>
      </c>
      <c r="S187" s="2">
        <v>133037004.59321623</v>
      </c>
      <c r="T187" s="2">
        <v>352548062.172023</v>
      </c>
      <c r="U187" s="2">
        <v>2097.3599999999997</v>
      </c>
      <c r="V187" s="2">
        <v>0.5</v>
      </c>
      <c r="W187" s="2">
        <v>0</v>
      </c>
    </row>
    <row r="188" spans="1:23" x14ac:dyDescent="0.25">
      <c r="A188" s="4" t="s">
        <v>39</v>
      </c>
      <c r="B188" s="4" t="s">
        <v>40</v>
      </c>
      <c r="C188" s="4">
        <v>4</v>
      </c>
      <c r="D188" s="4">
        <v>2</v>
      </c>
      <c r="E188" s="4">
        <v>8</v>
      </c>
      <c r="F188" s="4">
        <v>14625.69094</v>
      </c>
      <c r="G188" s="4">
        <v>38758.080979999999</v>
      </c>
      <c r="H188" s="4">
        <v>6085.75</v>
      </c>
      <c r="I188" s="4">
        <v>6.08575</v>
      </c>
      <c r="J188" s="4">
        <v>6.08575E-3</v>
      </c>
      <c r="K188" s="4">
        <v>13.416766170000001</v>
      </c>
      <c r="L188" s="4">
        <v>1.2E-2</v>
      </c>
      <c r="M188" s="4">
        <v>3</v>
      </c>
      <c r="N188" s="4">
        <v>79.746375599999993</v>
      </c>
      <c r="O188" s="4">
        <v>17.677639304648796</v>
      </c>
      <c r="P188" s="4">
        <v>34.419353588029985</v>
      </c>
      <c r="Q188" s="4">
        <v>87.425158113596154</v>
      </c>
      <c r="R188" s="4">
        <v>8018.4518441494665</v>
      </c>
      <c r="S188" s="4">
        <v>19270.492295480573</v>
      </c>
      <c r="T188" s="4">
        <v>51066.804583023521</v>
      </c>
      <c r="U188" s="4">
        <v>150.93</v>
      </c>
      <c r="V188" s="4">
        <v>0.11</v>
      </c>
      <c r="W188" s="4">
        <v>0.13</v>
      </c>
    </row>
    <row r="189" spans="1:23" x14ac:dyDescent="0.25">
      <c r="A189" s="4" t="s">
        <v>41</v>
      </c>
      <c r="B189" s="4" t="s">
        <v>42</v>
      </c>
      <c r="C189" s="4">
        <v>4</v>
      </c>
      <c r="D189" s="4">
        <v>4</v>
      </c>
      <c r="E189" s="4">
        <v>16</v>
      </c>
      <c r="F189" s="4">
        <v>8564.4586230000004</v>
      </c>
      <c r="G189" s="4">
        <v>22695.815350000001</v>
      </c>
      <c r="H189" s="4">
        <v>3563.671233</v>
      </c>
      <c r="I189" s="4">
        <v>3.563671233</v>
      </c>
      <c r="J189" s="4">
        <v>3.563671E-3</v>
      </c>
      <c r="K189" s="4">
        <v>7.8565408740000002</v>
      </c>
      <c r="L189" s="4">
        <v>1.34E-2</v>
      </c>
      <c r="M189" s="4">
        <v>3.1</v>
      </c>
      <c r="N189" s="4">
        <v>56.22548003</v>
      </c>
      <c r="O189" s="4">
        <v>22.980883966940183</v>
      </c>
      <c r="P189" s="4">
        <v>31.294332966039004</v>
      </c>
      <c r="Q189" s="4">
        <v>79.487605733739073</v>
      </c>
      <c r="R189" s="4">
        <v>10423.966019967243</v>
      </c>
      <c r="S189" s="4">
        <v>25051.588608428843</v>
      </c>
      <c r="T189" s="4">
        <v>66386.709812336427</v>
      </c>
      <c r="U189" s="4">
        <v>91.5</v>
      </c>
      <c r="V189" s="4">
        <v>0.12690000000000001</v>
      </c>
      <c r="W189" s="4">
        <v>0</v>
      </c>
    </row>
    <row r="190" spans="1:23" x14ac:dyDescent="0.25">
      <c r="A190" s="4" t="s">
        <v>43</v>
      </c>
      <c r="B190" s="4" t="s">
        <v>44</v>
      </c>
      <c r="C190" s="4">
        <v>4</v>
      </c>
      <c r="D190" s="4">
        <v>2</v>
      </c>
      <c r="E190" s="4">
        <v>8</v>
      </c>
      <c r="F190" s="4">
        <v>1115.2006730000001</v>
      </c>
      <c r="G190" s="4">
        <v>2955.281782</v>
      </c>
      <c r="H190" s="4">
        <v>464.03500000000003</v>
      </c>
      <c r="I190" s="4">
        <v>0.46403499999999998</v>
      </c>
      <c r="J190" s="4">
        <v>4.6403500000000001E-4</v>
      </c>
      <c r="K190" s="4">
        <v>1.023020842</v>
      </c>
      <c r="L190" s="4">
        <v>1.44E-2</v>
      </c>
      <c r="M190" s="4">
        <v>3</v>
      </c>
      <c r="N190" s="4">
        <v>31.822142450000001</v>
      </c>
      <c r="O190" s="4">
        <v>3.1531431748360164</v>
      </c>
      <c r="P190" s="4">
        <v>18.232606908582309</v>
      </c>
      <c r="Q190" s="4">
        <v>46.310821547799065</v>
      </c>
      <c r="R190" s="2">
        <v>1430.2433865409987</v>
      </c>
      <c r="S190" s="2">
        <v>3437.2587996659422</v>
      </c>
      <c r="T190" s="2">
        <v>9108.7358191147468</v>
      </c>
      <c r="U190" s="2">
        <v>47.633333333333333</v>
      </c>
      <c r="V190" s="2">
        <v>0.44799999999999995</v>
      </c>
      <c r="W190" s="2">
        <v>0</v>
      </c>
    </row>
    <row r="191" spans="1:23" x14ac:dyDescent="0.25">
      <c r="A191" s="4" t="s">
        <v>45</v>
      </c>
      <c r="B191" s="4" t="s">
        <v>46</v>
      </c>
      <c r="C191" s="4">
        <v>4</v>
      </c>
      <c r="D191" s="4">
        <v>5</v>
      </c>
      <c r="E191" s="4">
        <v>20</v>
      </c>
      <c r="F191" s="4">
        <v>6322.386939</v>
      </c>
      <c r="G191" s="4">
        <v>16754.325390000002</v>
      </c>
      <c r="H191" s="4">
        <v>2630.7452050000002</v>
      </c>
      <c r="I191" s="4">
        <v>2.6307452050000002</v>
      </c>
      <c r="J191" s="4">
        <v>2.6307449999999999E-3</v>
      </c>
      <c r="K191" s="4">
        <v>5.7997934950000003</v>
      </c>
      <c r="L191" s="4">
        <v>3.96E-3</v>
      </c>
      <c r="M191" s="4">
        <v>3.2</v>
      </c>
      <c r="N191" s="4">
        <v>65.99254474</v>
      </c>
      <c r="O191" s="4">
        <v>724.43652437740218</v>
      </c>
      <c r="P191" s="4">
        <v>117.44778991771933</v>
      </c>
      <c r="Q191" s="4">
        <v>298.31738639100712</v>
      </c>
      <c r="R191" s="2">
        <v>328599.2707937886</v>
      </c>
      <c r="S191" s="2">
        <v>789712.25857675704</v>
      </c>
      <c r="T191" s="2">
        <v>2092737.485228406</v>
      </c>
      <c r="U191" s="2">
        <v>300.78571428571428</v>
      </c>
      <c r="V191" s="2">
        <v>0.24014285714285719</v>
      </c>
      <c r="W191" s="2">
        <v>0</v>
      </c>
    </row>
    <row r="192" spans="1:23" x14ac:dyDescent="0.25">
      <c r="A192" s="2" t="s">
        <v>47</v>
      </c>
      <c r="B192" s="4" t="s">
        <v>48</v>
      </c>
      <c r="C192" s="4">
        <v>4</v>
      </c>
      <c r="D192" s="4">
        <v>1</v>
      </c>
      <c r="E192" s="4">
        <v>4</v>
      </c>
      <c r="F192" s="4">
        <v>242.73011299999999</v>
      </c>
      <c r="G192" s="4">
        <v>643.23479940000004</v>
      </c>
      <c r="H192" s="4">
        <v>101.00000001929999</v>
      </c>
      <c r="I192" s="4">
        <v>0.10100000001929998</v>
      </c>
      <c r="J192" s="4">
        <v>1.0100000001929998E-4</v>
      </c>
      <c r="K192" s="4">
        <v>0.22266662004254911</v>
      </c>
      <c r="L192" s="3">
        <v>1.23E-2</v>
      </c>
      <c r="M192" s="3">
        <v>3.2</v>
      </c>
      <c r="N192" s="4">
        <v>16.72072414391199</v>
      </c>
      <c r="O192" s="4">
        <v>2.4627031113161757</v>
      </c>
      <c r="P192" s="4">
        <v>13.950681054760786</v>
      </c>
      <c r="Q192" s="4">
        <v>35.434729879092394</v>
      </c>
      <c r="R192" s="2">
        <v>1117.0646693381061</v>
      </c>
      <c r="S192" s="2">
        <v>2684.606270939933</v>
      </c>
      <c r="T192" s="2">
        <v>7114.2066179908225</v>
      </c>
      <c r="U192" s="2">
        <v>39.200000000000003</v>
      </c>
      <c r="V192" s="2">
        <v>0.58571428571428563</v>
      </c>
      <c r="W192" s="2">
        <v>0</v>
      </c>
    </row>
    <row r="193" spans="1:23" x14ac:dyDescent="0.25">
      <c r="A193" s="2" t="s">
        <v>49</v>
      </c>
      <c r="B193" s="4" t="s">
        <v>50</v>
      </c>
      <c r="C193" s="4">
        <v>4</v>
      </c>
      <c r="D193" s="4">
        <v>1</v>
      </c>
      <c r="E193" s="4">
        <v>4</v>
      </c>
      <c r="F193" s="4">
        <v>1115.2006730000001</v>
      </c>
      <c r="G193" s="4">
        <v>2955.281782</v>
      </c>
      <c r="H193" s="4">
        <v>464.03500003530002</v>
      </c>
      <c r="I193" s="4">
        <v>0.46403500003530002</v>
      </c>
      <c r="J193" s="4">
        <v>4.6403500003530001E-4</v>
      </c>
      <c r="K193" s="4">
        <v>1.023020841777823</v>
      </c>
      <c r="L193" s="3">
        <v>1.2E-2</v>
      </c>
      <c r="M193" s="3">
        <v>3.1</v>
      </c>
      <c r="N193" s="4">
        <v>30.185377428941027</v>
      </c>
      <c r="O193" s="4">
        <v>1.2526815339585728</v>
      </c>
      <c r="P193" s="4">
        <v>12.686325777986404</v>
      </c>
      <c r="Q193" s="4">
        <v>32.223267476085468</v>
      </c>
      <c r="R193" s="2">
        <v>568.20746158456916</v>
      </c>
      <c r="S193" s="2">
        <v>1365.5550626882218</v>
      </c>
      <c r="T193" s="2">
        <v>3618.7209161237879</v>
      </c>
      <c r="U193" s="2">
        <v>54.3</v>
      </c>
      <c r="V193" s="2">
        <v>0.22500000000000001</v>
      </c>
      <c r="W193" s="2">
        <v>0</v>
      </c>
    </row>
    <row r="194" spans="1:23" x14ac:dyDescent="0.25">
      <c r="A194" s="2" t="s">
        <v>51</v>
      </c>
      <c r="B194" s="4" t="s">
        <v>52</v>
      </c>
      <c r="C194" s="4">
        <v>4</v>
      </c>
      <c r="D194" s="4">
        <v>1</v>
      </c>
      <c r="E194" s="4">
        <v>4</v>
      </c>
      <c r="F194" s="4">
        <v>2095.4578219999999</v>
      </c>
      <c r="G194" s="4">
        <v>5552.9632300000003</v>
      </c>
      <c r="H194" s="4">
        <v>871.91999973419991</v>
      </c>
      <c r="I194" s="4">
        <v>0.87191999973419987</v>
      </c>
      <c r="J194" s="4">
        <v>8.7191999973419991E-4</v>
      </c>
      <c r="K194" s="4">
        <v>1.9222522698140116</v>
      </c>
      <c r="L194" s="3">
        <v>1.24E-2</v>
      </c>
      <c r="M194" s="3">
        <v>3.2</v>
      </c>
      <c r="N194" s="4">
        <v>32.711817394436984</v>
      </c>
      <c r="O194" s="4">
        <v>7.6646686250982088E-2</v>
      </c>
      <c r="P194" s="4">
        <v>4.705268320684806</v>
      </c>
      <c r="Q194" s="4">
        <v>11.951381534539408</v>
      </c>
      <c r="R194" s="2">
        <v>34.766393415183607</v>
      </c>
      <c r="S194" s="2">
        <v>83.552976244132694</v>
      </c>
      <c r="T194" s="2">
        <v>221.41538704695162</v>
      </c>
      <c r="U194" s="4">
        <v>20.9</v>
      </c>
      <c r="V194" s="4">
        <v>0.19500000000000001</v>
      </c>
      <c r="W194" s="4">
        <v>-0.35</v>
      </c>
    </row>
    <row r="195" spans="1:23" x14ac:dyDescent="0.25">
      <c r="A195" s="4" t="s">
        <v>53</v>
      </c>
      <c r="B195" s="4" t="s">
        <v>54</v>
      </c>
      <c r="C195" s="4">
        <v>4</v>
      </c>
      <c r="D195" s="4">
        <v>2</v>
      </c>
      <c r="E195" s="4">
        <v>8</v>
      </c>
      <c r="F195" s="4">
        <v>2095.4578219999999</v>
      </c>
      <c r="G195" s="4">
        <v>5552.9632300000003</v>
      </c>
      <c r="H195" s="4">
        <v>871.91999969999995</v>
      </c>
      <c r="I195" s="4">
        <v>0.87192000000000003</v>
      </c>
      <c r="J195" s="4">
        <v>8.7191999999999999E-4</v>
      </c>
      <c r="K195" s="4">
        <v>1.92225227</v>
      </c>
      <c r="L195" s="4">
        <v>1.2E-2</v>
      </c>
      <c r="M195" s="4">
        <v>2.95</v>
      </c>
      <c r="N195" s="4">
        <v>44.45255659</v>
      </c>
      <c r="O195" s="4">
        <v>0.63129036650426562</v>
      </c>
      <c r="P195" s="4">
        <v>11.998782734214256</v>
      </c>
      <c r="Q195" s="4">
        <v>30.476908144904211</v>
      </c>
      <c r="R195" s="4">
        <v>286.34883404136116</v>
      </c>
      <c r="S195" s="4">
        <v>688.17311713857521</v>
      </c>
      <c r="T195" s="4">
        <v>1823.6587604172241</v>
      </c>
      <c r="U195" s="4">
        <v>41</v>
      </c>
      <c r="V195" s="4">
        <v>0.17</v>
      </c>
      <c r="W195" s="4">
        <v>0</v>
      </c>
    </row>
    <row r="196" spans="1:23" x14ac:dyDescent="0.25">
      <c r="A196" s="4" t="s">
        <v>55</v>
      </c>
      <c r="B196" s="4" t="s">
        <v>56</v>
      </c>
      <c r="C196" s="4">
        <v>4</v>
      </c>
      <c r="D196" s="4">
        <v>1</v>
      </c>
      <c r="E196" s="4">
        <v>4</v>
      </c>
      <c r="F196" s="4">
        <v>1113.4342710000001</v>
      </c>
      <c r="G196" s="4">
        <v>2950.600817</v>
      </c>
      <c r="H196" s="4">
        <v>463.3000002</v>
      </c>
      <c r="I196" s="4">
        <v>0.46329999999999999</v>
      </c>
      <c r="J196" s="4">
        <v>4.6329999999999999E-4</v>
      </c>
      <c r="K196" s="4">
        <v>1.0214004459999999</v>
      </c>
      <c r="L196" s="4">
        <v>1.2999999999999999E-2</v>
      </c>
      <c r="M196" s="4">
        <v>3</v>
      </c>
      <c r="N196" s="4">
        <v>32.908365789999998</v>
      </c>
      <c r="O196" s="4">
        <v>3.085080153406305</v>
      </c>
      <c r="P196" s="4">
        <v>18.728201308817106</v>
      </c>
      <c r="Q196" s="4">
        <v>47.569631324395452</v>
      </c>
      <c r="R196" s="4">
        <v>1399.3704826257156</v>
      </c>
      <c r="S196" s="4">
        <v>3363.0629238781917</v>
      </c>
      <c r="T196" s="4">
        <v>8912.1167482772071</v>
      </c>
      <c r="U196" s="4">
        <v>152</v>
      </c>
      <c r="V196" s="4">
        <v>9.6000000000000002E-2</v>
      </c>
      <c r="W196" s="4">
        <v>0.09</v>
      </c>
    </row>
    <row r="197" spans="1:23" x14ac:dyDescent="0.25">
      <c r="A197" s="4" t="s">
        <v>57</v>
      </c>
      <c r="B197" s="4" t="s">
        <v>58</v>
      </c>
      <c r="C197" s="4">
        <v>4</v>
      </c>
      <c r="D197" s="4">
        <v>2</v>
      </c>
      <c r="E197" s="4">
        <v>8</v>
      </c>
      <c r="F197" s="4">
        <v>5681.3266039999999</v>
      </c>
      <c r="G197" s="4">
        <v>15055.5155</v>
      </c>
      <c r="H197" s="4">
        <v>2364</v>
      </c>
      <c r="I197" s="4">
        <v>2.3639999999999999</v>
      </c>
      <c r="J197" s="4">
        <v>2.3640000000000002E-3</v>
      </c>
      <c r="K197" s="4">
        <v>5.2117216800000001</v>
      </c>
      <c r="L197" s="4">
        <v>4.0000000000000001E-3</v>
      </c>
      <c r="M197" s="4">
        <v>3.1</v>
      </c>
      <c r="N197" s="4">
        <v>58.513375859999996</v>
      </c>
      <c r="O197" s="4">
        <v>4.6112699590305661</v>
      </c>
      <c r="P197" s="4">
        <v>27.530880051172087</v>
      </c>
      <c r="Q197" s="4">
        <v>69.928435329977106</v>
      </c>
      <c r="R197" s="4">
        <v>2091.6393569098377</v>
      </c>
      <c r="S197" s="4">
        <v>5026.7708649599563</v>
      </c>
      <c r="T197" s="4">
        <v>13320.942792143884</v>
      </c>
      <c r="U197" s="4">
        <v>72.900000000000006</v>
      </c>
      <c r="V197" s="4">
        <v>0.4</v>
      </c>
      <c r="W197" s="4">
        <v>0</v>
      </c>
    </row>
    <row r="198" spans="1:23" x14ac:dyDescent="0.25">
      <c r="A198" s="4" t="s">
        <v>59</v>
      </c>
      <c r="B198" s="4" t="s">
        <v>60</v>
      </c>
      <c r="C198" s="4">
        <v>4</v>
      </c>
      <c r="D198" s="4">
        <v>2</v>
      </c>
      <c r="E198" s="4">
        <v>8</v>
      </c>
      <c r="F198" s="4">
        <v>2095.4578219999999</v>
      </c>
      <c r="G198" s="4">
        <v>5552.9632300000003</v>
      </c>
      <c r="H198" s="4">
        <v>871.91999969999995</v>
      </c>
      <c r="I198" s="4">
        <v>0.87192000000000003</v>
      </c>
      <c r="J198" s="4">
        <v>8.7191999999999999E-4</v>
      </c>
      <c r="K198" s="4">
        <v>1.92225227</v>
      </c>
      <c r="L198" s="4">
        <v>1.6799999999999999E-2</v>
      </c>
      <c r="M198" s="4">
        <v>3.1</v>
      </c>
      <c r="N198" s="4">
        <v>33.191106310000002</v>
      </c>
      <c r="O198" s="4">
        <v>78.854992162426996</v>
      </c>
      <c r="P198" s="4">
        <v>43.302867908940087</v>
      </c>
      <c r="Q198" s="4">
        <v>109.98928448870782</v>
      </c>
      <c r="R198" s="4">
        <v>35768.065318479828</v>
      </c>
      <c r="S198" s="4">
        <v>85960.262721653038</v>
      </c>
      <c r="T198" s="4">
        <v>227794.69621238054</v>
      </c>
      <c r="U198" s="4">
        <v>263.2</v>
      </c>
      <c r="V198" s="4">
        <v>7.0000000000000007E-2</v>
      </c>
      <c r="W198" s="4">
        <v>0.27</v>
      </c>
    </row>
    <row r="199" spans="1:23" x14ac:dyDescent="0.25">
      <c r="A199" s="4" t="s">
        <v>61</v>
      </c>
      <c r="B199" s="4" t="s">
        <v>62</v>
      </c>
      <c r="C199" s="4">
        <v>4</v>
      </c>
      <c r="D199" s="4">
        <v>1</v>
      </c>
      <c r="E199" s="4">
        <v>4</v>
      </c>
      <c r="F199" s="4">
        <v>197.62076429999999</v>
      </c>
      <c r="G199" s="4">
        <v>523.6950253</v>
      </c>
      <c r="H199" s="4">
        <v>82.230000029999999</v>
      </c>
      <c r="I199" s="4">
        <v>8.2229999999999998E-2</v>
      </c>
      <c r="J199" s="4">
        <v>8.2200000000000006E-5</v>
      </c>
      <c r="K199" s="4">
        <v>0.181285903</v>
      </c>
      <c r="L199" s="4">
        <v>1.2500000000000001E-2</v>
      </c>
      <c r="M199" s="4">
        <v>3</v>
      </c>
      <c r="N199" s="4">
        <v>18.73728916</v>
      </c>
      <c r="O199" s="4">
        <v>0.31503247839267406</v>
      </c>
      <c r="P199" s="4">
        <v>8.8689078263580932</v>
      </c>
      <c r="Q199" s="4">
        <v>22.527025878949555</v>
      </c>
      <c r="R199" s="4">
        <v>142.89649844085332</v>
      </c>
      <c r="S199" s="4">
        <v>343.41864561608588</v>
      </c>
      <c r="T199" s="4">
        <v>910.0594108826275</v>
      </c>
      <c r="U199" s="4">
        <v>33.700000000000003</v>
      </c>
      <c r="V199" s="4">
        <v>0.32</v>
      </c>
      <c r="W199" s="4">
        <v>0.55000000000000004</v>
      </c>
    </row>
    <row r="200" spans="1:23" x14ac:dyDescent="0.25">
      <c r="A200" s="4" t="s">
        <v>63</v>
      </c>
      <c r="B200" s="4" t="s">
        <v>64</v>
      </c>
      <c r="C200" s="4">
        <v>4</v>
      </c>
      <c r="D200" s="4">
        <v>2</v>
      </c>
      <c r="E200" s="4">
        <v>8</v>
      </c>
      <c r="F200" s="4">
        <v>1115.2006730000001</v>
      </c>
      <c r="G200" s="4">
        <v>2955.281782</v>
      </c>
      <c r="H200" s="4">
        <v>464.03500000000003</v>
      </c>
      <c r="I200" s="4">
        <v>0.46403499999999998</v>
      </c>
      <c r="J200" s="4">
        <v>4.6403500000000001E-4</v>
      </c>
      <c r="K200" s="4">
        <v>1.023020842</v>
      </c>
      <c r="L200" s="4">
        <v>1.2E-2</v>
      </c>
      <c r="M200" s="4">
        <v>3.1</v>
      </c>
      <c r="N200" s="4">
        <v>30.185377429999999</v>
      </c>
      <c r="O200" s="4">
        <v>2.741822891893761</v>
      </c>
      <c r="P200" s="4">
        <v>16.333429528885198</v>
      </c>
      <c r="Q200" s="4">
        <v>41.486911003368398</v>
      </c>
      <c r="R200" s="4">
        <v>1243.6714226913305</v>
      </c>
      <c r="S200" s="4">
        <v>2988.8762862084363</v>
      </c>
      <c r="T200" s="4">
        <v>7920.5221584523561</v>
      </c>
      <c r="U200" s="4">
        <v>42.5</v>
      </c>
      <c r="V200" s="4">
        <v>0.47</v>
      </c>
      <c r="W200" s="4">
        <v>0.05</v>
      </c>
    </row>
    <row r="201" spans="1:23" x14ac:dyDescent="0.25">
      <c r="A201" s="4" t="s">
        <v>65</v>
      </c>
      <c r="B201" s="4" t="s">
        <v>66</v>
      </c>
      <c r="C201" s="4">
        <v>4</v>
      </c>
      <c r="D201" s="4">
        <v>3</v>
      </c>
      <c r="E201" s="4">
        <v>12</v>
      </c>
      <c r="F201" s="4">
        <v>3129.99</v>
      </c>
      <c r="G201" s="4">
        <v>8294.48</v>
      </c>
      <c r="H201" s="4">
        <v>1302.388839</v>
      </c>
      <c r="I201" s="4">
        <v>1.302388839</v>
      </c>
      <c r="J201" s="4">
        <v>1.3023889999999999E-3</v>
      </c>
      <c r="K201" s="4">
        <v>2.8712724820000002</v>
      </c>
      <c r="L201" s="4">
        <v>1.2699999999999999E-2</v>
      </c>
      <c r="M201" s="4">
        <v>3.1</v>
      </c>
      <c r="N201" s="4">
        <v>41.345787909999999</v>
      </c>
      <c r="O201" s="4">
        <v>6.2702716901252744</v>
      </c>
      <c r="P201" s="4">
        <v>20.942125878964319</v>
      </c>
      <c r="Q201" s="4">
        <v>53.192999732569369</v>
      </c>
      <c r="R201" s="4">
        <v>2844.150778875849</v>
      </c>
      <c r="S201" s="4">
        <v>6835.2578199371519</v>
      </c>
      <c r="T201" s="4">
        <v>18113.433222833453</v>
      </c>
      <c r="U201" s="4">
        <v>58.5</v>
      </c>
      <c r="V201" s="4">
        <v>0.2</v>
      </c>
      <c r="W201" s="4">
        <v>0</v>
      </c>
    </row>
    <row r="202" spans="1:23" x14ac:dyDescent="0.25">
      <c r="A202" s="4" t="s">
        <v>67</v>
      </c>
      <c r="B202" s="4" t="s">
        <v>68</v>
      </c>
      <c r="C202" s="4">
        <v>4</v>
      </c>
      <c r="D202" s="4">
        <v>1</v>
      </c>
      <c r="E202" s="4">
        <v>4</v>
      </c>
      <c r="F202" s="4">
        <v>230.06</v>
      </c>
      <c r="G202" s="4">
        <v>609.66999999999996</v>
      </c>
      <c r="H202" s="4">
        <v>95.727965999999995</v>
      </c>
      <c r="I202" s="4">
        <v>9.5727965999999998E-2</v>
      </c>
      <c r="J202" s="4">
        <v>9.5699999999999995E-5</v>
      </c>
      <c r="K202" s="4">
        <v>0.21104378800000001</v>
      </c>
      <c r="L202" s="4">
        <v>1.29E-2</v>
      </c>
      <c r="M202" s="4">
        <v>3.05</v>
      </c>
      <c r="N202" s="4">
        <v>18.578032220000001</v>
      </c>
      <c r="O202" s="4">
        <v>0.41167557715465103</v>
      </c>
      <c r="P202" s="4">
        <v>9.1055840579042098</v>
      </c>
      <c r="Q202" s="4">
        <v>23.128183507076695</v>
      </c>
      <c r="R202" s="4">
        <v>186.73312278517432</v>
      </c>
      <c r="S202" s="4">
        <v>448.76982164185131</v>
      </c>
      <c r="T202" s="4">
        <v>1189.2400273509058</v>
      </c>
      <c r="U202" s="4">
        <v>42</v>
      </c>
      <c r="V202" s="4">
        <v>0.2</v>
      </c>
      <c r="W202" s="4">
        <v>0</v>
      </c>
    </row>
    <row r="203" spans="1:23" x14ac:dyDescent="0.25">
      <c r="A203" s="4" t="s">
        <v>69</v>
      </c>
      <c r="B203" s="4" t="s">
        <v>70</v>
      </c>
      <c r="C203" s="4">
        <v>4</v>
      </c>
      <c r="D203" s="4">
        <v>1</v>
      </c>
      <c r="E203" s="4">
        <v>4</v>
      </c>
      <c r="F203" s="4">
        <v>242.73011299999999</v>
      </c>
      <c r="G203" s="4">
        <v>643.23479940000004</v>
      </c>
      <c r="H203" s="4">
        <v>101</v>
      </c>
      <c r="I203" s="4">
        <v>0.10100000000000001</v>
      </c>
      <c r="J203" s="4">
        <v>1.01E-4</v>
      </c>
      <c r="K203" s="4">
        <v>0.22266662000000001</v>
      </c>
      <c r="L203" s="4">
        <v>0.01</v>
      </c>
      <c r="M203" s="4">
        <v>2.9</v>
      </c>
      <c r="N203" s="4">
        <v>24.032584270000001</v>
      </c>
      <c r="O203" s="4">
        <v>0.20557985257407074</v>
      </c>
      <c r="P203" s="4">
        <v>9.2047078742137884</v>
      </c>
      <c r="Q203" s="4">
        <v>23.379958000503024</v>
      </c>
      <c r="R203" s="4">
        <v>93.249563450422627</v>
      </c>
      <c r="S203" s="4">
        <v>224.10373335838173</v>
      </c>
      <c r="T203" s="4">
        <v>593.8748933997116</v>
      </c>
      <c r="U203" s="4">
        <v>37.700000000000003</v>
      </c>
      <c r="V203" s="4">
        <v>0.24199999999999999</v>
      </c>
      <c r="W203" s="4">
        <v>0</v>
      </c>
    </row>
    <row r="204" spans="1:23" x14ac:dyDescent="0.25">
      <c r="A204" s="2" t="s">
        <v>71</v>
      </c>
      <c r="B204" s="4" t="s">
        <v>72</v>
      </c>
      <c r="C204" s="4">
        <v>4</v>
      </c>
      <c r="D204" s="4">
        <v>1</v>
      </c>
      <c r="E204" s="4">
        <v>4</v>
      </c>
      <c r="F204" s="4">
        <v>5.0829127610000002</v>
      </c>
      <c r="G204" s="4">
        <v>13.469718820000001</v>
      </c>
      <c r="H204" s="4">
        <v>2.1149999998521003</v>
      </c>
      <c r="I204" s="4">
        <v>2.1149999998521002E-3</v>
      </c>
      <c r="J204" s="4">
        <v>2.1149999998521001E-6</v>
      </c>
      <c r="K204" s="4">
        <v>4.6627712996739372E-3</v>
      </c>
      <c r="L204" s="3">
        <v>1.0999999999999999E-2</v>
      </c>
      <c r="M204" s="3">
        <v>3.01</v>
      </c>
      <c r="N204" s="4">
        <v>5.738212669774577</v>
      </c>
      <c r="O204" s="4">
        <v>6.778378402677733E-3</v>
      </c>
      <c r="P204" s="4">
        <v>2.558135549575296</v>
      </c>
      <c r="Q204" s="4">
        <v>6.4976642959212523</v>
      </c>
      <c r="R204" s="2">
        <v>3.0746243809262972</v>
      </c>
      <c r="S204" s="2">
        <v>7.3891477551701454</v>
      </c>
      <c r="T204" s="2">
        <v>19.581241551200886</v>
      </c>
      <c r="U204" s="4">
        <v>9</v>
      </c>
      <c r="V204" s="4">
        <v>0.32</v>
      </c>
      <c r="W204" s="4">
        <v>0</v>
      </c>
    </row>
    <row r="205" spans="1:23" x14ac:dyDescent="0.25">
      <c r="A205" s="4" t="s">
        <v>73</v>
      </c>
      <c r="B205" s="4" t="s">
        <v>74</v>
      </c>
      <c r="C205" s="4">
        <v>4</v>
      </c>
      <c r="D205" s="4">
        <v>2</v>
      </c>
      <c r="E205" s="4">
        <v>8</v>
      </c>
      <c r="F205" s="4">
        <v>1115.2006730000001</v>
      </c>
      <c r="G205" s="4">
        <v>2955.281782</v>
      </c>
      <c r="H205" s="4">
        <v>464.03500000000003</v>
      </c>
      <c r="I205" s="4">
        <v>0.46403499999999998</v>
      </c>
      <c r="J205" s="4">
        <v>4.6403500000000001E-4</v>
      </c>
      <c r="K205" s="4">
        <v>1.023020842</v>
      </c>
      <c r="L205" s="4">
        <v>1.4E-2</v>
      </c>
      <c r="M205" s="4">
        <v>2.8</v>
      </c>
      <c r="N205" s="4">
        <v>41.156333680000003</v>
      </c>
      <c r="O205" s="4">
        <v>1.0883077706500881</v>
      </c>
      <c r="P205" s="4">
        <v>16.565265804000447</v>
      </c>
      <c r="Q205" s="4">
        <v>42.075775142161135</v>
      </c>
      <c r="R205" s="4">
        <v>493.64868805058831</v>
      </c>
      <c r="S205" s="4">
        <v>1186.3703149497437</v>
      </c>
      <c r="T205" s="4">
        <v>3143.8813346168208</v>
      </c>
      <c r="U205" s="4">
        <v>43</v>
      </c>
      <c r="V205" s="4">
        <v>0.48</v>
      </c>
      <c r="W205" s="4">
        <v>0</v>
      </c>
    </row>
    <row r="206" spans="1:23" x14ac:dyDescent="0.25">
      <c r="A206" s="4" t="s">
        <v>75</v>
      </c>
      <c r="B206" s="4" t="s">
        <v>76</v>
      </c>
      <c r="C206" s="4">
        <v>4</v>
      </c>
      <c r="D206" s="4">
        <v>2</v>
      </c>
      <c r="E206" s="4">
        <v>8</v>
      </c>
      <c r="F206" s="4">
        <v>1115.2006730000001</v>
      </c>
      <c r="G206" s="4">
        <v>2955.281782</v>
      </c>
      <c r="H206" s="4">
        <v>464.03500000000003</v>
      </c>
      <c r="I206" s="4">
        <v>0.46403499999999998</v>
      </c>
      <c r="J206" s="4">
        <v>4.6403500000000001E-4</v>
      </c>
      <c r="K206" s="4">
        <v>1.023020842</v>
      </c>
      <c r="L206" s="4">
        <v>2.5000000000000001E-3</v>
      </c>
      <c r="M206" s="4">
        <v>3.1</v>
      </c>
      <c r="N206" s="4">
        <v>50.067032159999997</v>
      </c>
      <c r="O206" s="4">
        <v>2.9126728188399946</v>
      </c>
      <c r="P206" s="4">
        <v>27.624924922694959</v>
      </c>
      <c r="Q206" s="4">
        <v>70.167309303645197</v>
      </c>
      <c r="R206" s="4">
        <v>1321.167738131739</v>
      </c>
      <c r="S206" s="4">
        <v>3175.1207357167482</v>
      </c>
      <c r="T206" s="4">
        <v>8414.0699496493817</v>
      </c>
      <c r="U206" s="4">
        <v>122</v>
      </c>
      <c r="V206" s="4">
        <v>0.107</v>
      </c>
      <c r="W206" s="4">
        <v>0</v>
      </c>
    </row>
    <row r="207" spans="1:23" x14ac:dyDescent="0.25">
      <c r="A207" s="4" t="s">
        <v>77</v>
      </c>
      <c r="B207" s="4" t="s">
        <v>78</v>
      </c>
      <c r="C207" s="4">
        <v>4</v>
      </c>
      <c r="D207" s="4">
        <v>3</v>
      </c>
      <c r="E207" s="4">
        <v>12</v>
      </c>
      <c r="F207" s="4">
        <v>155824.3573</v>
      </c>
      <c r="G207" s="4">
        <v>412934.54680000001</v>
      </c>
      <c r="H207" s="4">
        <v>64838.515070000001</v>
      </c>
      <c r="I207" s="4">
        <v>64.83851507</v>
      </c>
      <c r="J207" s="4">
        <v>6.4838514999999999E-2</v>
      </c>
      <c r="K207" s="4">
        <v>142.9442871</v>
      </c>
      <c r="L207" s="4">
        <v>3.5000000000000003E-2</v>
      </c>
      <c r="M207" s="4">
        <v>2.9</v>
      </c>
      <c r="N207" s="4">
        <v>144.9767238</v>
      </c>
      <c r="O207" s="4">
        <v>406.55725291291765</v>
      </c>
      <c r="P207" s="4">
        <v>81.846618383904541</v>
      </c>
      <c r="Q207" s="4">
        <v>207.89041069511754</v>
      </c>
      <c r="R207" s="2">
        <v>184411.48720093153</v>
      </c>
      <c r="S207" s="2">
        <v>443190.30810125335</v>
      </c>
      <c r="T207" s="2">
        <v>1174454.3164683213</v>
      </c>
      <c r="U207" s="4">
        <v>208.40700000000004</v>
      </c>
      <c r="V207" s="4">
        <v>0.5</v>
      </c>
      <c r="W207" s="4">
        <v>0</v>
      </c>
    </row>
    <row r="208" spans="1:23" x14ac:dyDescent="0.25">
      <c r="A208" s="4" t="s">
        <v>79</v>
      </c>
      <c r="B208" s="4" t="s">
        <v>80</v>
      </c>
      <c r="C208" s="4">
        <v>4</v>
      </c>
      <c r="D208" s="4">
        <v>2</v>
      </c>
      <c r="E208" s="4">
        <v>8</v>
      </c>
      <c r="F208" s="4">
        <v>2095.4578219999999</v>
      </c>
      <c r="G208" s="4">
        <v>5552.9632300000003</v>
      </c>
      <c r="H208" s="4">
        <v>871.91999969999995</v>
      </c>
      <c r="I208" s="4">
        <v>0.87192000000000003</v>
      </c>
      <c r="J208" s="4">
        <v>8.7191999999999999E-4</v>
      </c>
      <c r="K208" s="4">
        <v>1.92225227</v>
      </c>
      <c r="L208" s="4">
        <v>3.3999999999999998E-3</v>
      </c>
      <c r="M208" s="4">
        <v>3.2850000000000001</v>
      </c>
      <c r="N208" s="4">
        <v>32.71181739</v>
      </c>
      <c r="O208" s="4">
        <v>1.9521322166409434</v>
      </c>
      <c r="P208" s="4">
        <v>17.529928921449606</v>
      </c>
      <c r="Q208" s="4">
        <v>44.526019460482004</v>
      </c>
      <c r="R208" s="4">
        <v>885.47333174921005</v>
      </c>
      <c r="S208" s="4">
        <v>2128.0301171574383</v>
      </c>
      <c r="T208" s="4">
        <v>5639.2798104672111</v>
      </c>
      <c r="U208" s="4">
        <v>59.9</v>
      </c>
      <c r="V208" s="4">
        <v>0.17</v>
      </c>
      <c r="W208" s="4">
        <v>0</v>
      </c>
    </row>
    <row r="209" spans="1:26" x14ac:dyDescent="0.25">
      <c r="A209" s="4" t="s">
        <v>81</v>
      </c>
      <c r="B209" s="4" t="s">
        <v>82</v>
      </c>
      <c r="C209" s="4">
        <v>4</v>
      </c>
      <c r="D209" s="4">
        <v>2</v>
      </c>
      <c r="E209" s="4">
        <v>8</v>
      </c>
      <c r="F209" s="4">
        <v>1115.2006730000001</v>
      </c>
      <c r="G209" s="4">
        <v>2955.281782</v>
      </c>
      <c r="H209" s="4">
        <v>464.03500000000003</v>
      </c>
      <c r="I209" s="4">
        <v>0.46403499999999998</v>
      </c>
      <c r="J209" s="4">
        <v>4.6403500000000001E-4</v>
      </c>
      <c r="K209" s="4">
        <v>1.023020842</v>
      </c>
      <c r="L209" s="4">
        <v>1.4999999999999999E-2</v>
      </c>
      <c r="M209" s="4">
        <v>3</v>
      </c>
      <c r="N209" s="4">
        <v>31.392060780000001</v>
      </c>
      <c r="O209" s="4">
        <v>16.177214573687809</v>
      </c>
      <c r="P209" s="4">
        <v>31.021243166505155</v>
      </c>
      <c r="Q209" s="4">
        <v>78.79395764292309</v>
      </c>
      <c r="R209" s="4">
        <v>7337.8698250436855</v>
      </c>
      <c r="S209" s="4">
        <v>17634.871004671197</v>
      </c>
      <c r="T209" s="4">
        <v>46732.40816237867</v>
      </c>
      <c r="U209" s="4">
        <v>106</v>
      </c>
      <c r="V209" s="4">
        <v>0.17</v>
      </c>
      <c r="W209" s="4">
        <v>0</v>
      </c>
    </row>
    <row r="210" spans="1:26" x14ac:dyDescent="0.25">
      <c r="A210" s="4" t="s">
        <v>83</v>
      </c>
      <c r="B210" s="4" t="s">
        <v>84</v>
      </c>
      <c r="C210" s="4">
        <v>4</v>
      </c>
      <c r="D210" s="4">
        <v>7</v>
      </c>
      <c r="E210" s="4">
        <v>28</v>
      </c>
      <c r="F210" s="4">
        <v>32899.059300000001</v>
      </c>
      <c r="G210" s="4">
        <v>87183.557100000005</v>
      </c>
      <c r="H210" s="4">
        <v>13689.298570000001</v>
      </c>
      <c r="I210" s="4">
        <v>13.68929857</v>
      </c>
      <c r="J210" s="4">
        <v>1.3689299E-2</v>
      </c>
      <c r="K210" s="4">
        <v>30.179701420000001</v>
      </c>
      <c r="L210" s="4">
        <v>5.4000000000000003E-3</v>
      </c>
      <c r="M210" s="4">
        <v>3</v>
      </c>
      <c r="N210" s="4">
        <v>136.35230329999999</v>
      </c>
      <c r="O210" s="4">
        <v>232.04521740618117</v>
      </c>
      <c r="P210" s="4">
        <v>105.95334115066643</v>
      </c>
      <c r="Q210" s="4">
        <v>269.12148652269275</v>
      </c>
      <c r="R210" s="4">
        <v>105254.06528389525</v>
      </c>
      <c r="S210" s="4">
        <v>252953.77381373526</v>
      </c>
      <c r="T210" s="4">
        <v>670327.50060639845</v>
      </c>
      <c r="U210" s="4">
        <v>280</v>
      </c>
      <c r="V210" s="4">
        <v>0.11600000000000001</v>
      </c>
      <c r="W210" s="4">
        <v>0</v>
      </c>
    </row>
    <row r="211" spans="1:26" x14ac:dyDescent="0.25">
      <c r="A211" s="4" t="s">
        <v>85</v>
      </c>
      <c r="B211" s="4" t="s">
        <v>86</v>
      </c>
      <c r="C211" s="4">
        <v>4</v>
      </c>
      <c r="D211" s="4">
        <v>7</v>
      </c>
      <c r="E211" s="4">
        <v>28</v>
      </c>
      <c r="F211" s="4">
        <v>32899.059300000001</v>
      </c>
      <c r="G211" s="4">
        <v>87183.557100000005</v>
      </c>
      <c r="H211" s="4">
        <v>13689.298570000001</v>
      </c>
      <c r="I211" s="4">
        <v>13.68929857</v>
      </c>
      <c r="J211" s="4">
        <v>1.3689299E-2</v>
      </c>
      <c r="K211" s="4">
        <v>30.179701420000001</v>
      </c>
      <c r="L211" s="4">
        <v>5.2399999999999999E-3</v>
      </c>
      <c r="M211" s="4">
        <v>3.141</v>
      </c>
      <c r="N211" s="4">
        <v>110.4068024</v>
      </c>
      <c r="O211" s="4">
        <v>690.32031978775092</v>
      </c>
      <c r="P211" s="4">
        <v>117.74263604128112</v>
      </c>
      <c r="Q211" s="4">
        <v>299.06629554485403</v>
      </c>
      <c r="R211" s="2">
        <v>313124.40229506715</v>
      </c>
      <c r="S211" s="2">
        <v>752521.99542193499</v>
      </c>
      <c r="T211" s="2">
        <v>1994183.2878681277</v>
      </c>
      <c r="U211" s="4">
        <v>309.24444444444441</v>
      </c>
      <c r="V211" s="4">
        <v>0.13655555555555554</v>
      </c>
      <c r="W211" s="4">
        <v>3</v>
      </c>
    </row>
    <row r="212" spans="1:26" x14ac:dyDescent="0.25">
      <c r="A212" s="4" t="s">
        <v>87</v>
      </c>
      <c r="B212" s="4" t="s">
        <v>88</v>
      </c>
      <c r="C212" s="4">
        <v>4</v>
      </c>
      <c r="D212" s="4">
        <v>2</v>
      </c>
      <c r="E212" s="4">
        <v>8</v>
      </c>
      <c r="F212" s="4">
        <v>1115.2006730000001</v>
      </c>
      <c r="G212" s="4">
        <v>2955.281782</v>
      </c>
      <c r="H212" s="4">
        <v>464.03500000000003</v>
      </c>
      <c r="I212" s="4">
        <v>0.46403499999999998</v>
      </c>
      <c r="J212" s="4">
        <v>4.6403500000000001E-4</v>
      </c>
      <c r="K212" s="4">
        <v>1.023020842</v>
      </c>
      <c r="L212" s="4">
        <v>6.0000000000000001E-3</v>
      </c>
      <c r="M212" s="4">
        <v>3.1</v>
      </c>
      <c r="N212" s="4">
        <v>37.748792209999998</v>
      </c>
      <c r="O212" s="4">
        <v>0.19710451025168274</v>
      </c>
      <c r="P212" s="4">
        <v>8.7370247031795163</v>
      </c>
      <c r="Q212" s="4">
        <v>22.19204274607597</v>
      </c>
      <c r="R212" s="4">
        <v>89.405208267947643</v>
      </c>
      <c r="S212" s="4">
        <v>214.86471585663935</v>
      </c>
      <c r="T212" s="4">
        <v>569.39149702009422</v>
      </c>
      <c r="U212" s="4">
        <v>40.299999999999997</v>
      </c>
      <c r="V212" s="4">
        <v>0.1</v>
      </c>
      <c r="W212" s="4">
        <v>0</v>
      </c>
    </row>
    <row r="213" spans="1:26" x14ac:dyDescent="0.25">
      <c r="A213" s="4" t="s">
        <v>89</v>
      </c>
      <c r="B213" s="4" t="s">
        <v>90</v>
      </c>
      <c r="C213" s="4">
        <v>4</v>
      </c>
      <c r="D213" s="4">
        <v>8</v>
      </c>
      <c r="E213" s="4">
        <v>32</v>
      </c>
      <c r="F213" s="4">
        <v>31200</v>
      </c>
      <c r="G213" s="4">
        <v>83000</v>
      </c>
      <c r="H213" s="4">
        <v>12982.32</v>
      </c>
      <c r="I213" s="4">
        <v>12.98232</v>
      </c>
      <c r="J213" s="4">
        <v>1.298232E-2</v>
      </c>
      <c r="K213" s="4">
        <v>28.621082319999999</v>
      </c>
      <c r="L213" s="2">
        <v>0.05</v>
      </c>
      <c r="M213" s="2">
        <v>3.2</v>
      </c>
      <c r="N213" s="4">
        <v>147.5685182</v>
      </c>
      <c r="O213" s="4">
        <v>421.56841489071059</v>
      </c>
      <c r="P213" s="4">
        <v>44.897032050618499</v>
      </c>
      <c r="Q213" s="4">
        <v>114.038461408571</v>
      </c>
      <c r="R213" s="4">
        <v>191220.44383644828</v>
      </c>
      <c r="S213" s="4">
        <v>459554.05872734508</v>
      </c>
      <c r="T213" s="4">
        <v>1217818.2556274645</v>
      </c>
      <c r="U213" s="4">
        <v>114.3</v>
      </c>
      <c r="V213" s="4">
        <v>0.19</v>
      </c>
      <c r="W213" s="4">
        <v>0</v>
      </c>
    </row>
    <row r="214" spans="1:26" x14ac:dyDescent="0.25">
      <c r="A214" s="4" t="s">
        <v>91</v>
      </c>
      <c r="B214" s="4" t="s">
        <v>92</v>
      </c>
      <c r="C214" s="4">
        <v>4</v>
      </c>
      <c r="D214" s="4">
        <v>2</v>
      </c>
      <c r="E214" s="4">
        <v>8</v>
      </c>
      <c r="F214" s="4">
        <v>1115.2006730000001</v>
      </c>
      <c r="G214" s="4">
        <v>2955.281782</v>
      </c>
      <c r="H214" s="4">
        <v>464.03500000000003</v>
      </c>
      <c r="I214" s="4">
        <v>0.46403499999999998</v>
      </c>
      <c r="J214" s="4">
        <v>4.6403500000000001E-4</v>
      </c>
      <c r="K214" s="4">
        <v>1.023020842</v>
      </c>
      <c r="L214" s="4">
        <v>1.2999999999999999E-2</v>
      </c>
      <c r="M214" s="4">
        <v>3</v>
      </c>
      <c r="N214" s="4">
        <v>32.925759030000002</v>
      </c>
      <c r="O214" s="4">
        <v>2.9819490538137954</v>
      </c>
      <c r="P214" s="4">
        <v>18.517143466723102</v>
      </c>
      <c r="Q214" s="4">
        <v>47.033544405476675</v>
      </c>
      <c r="R214" s="4">
        <v>1352.5909471082523</v>
      </c>
      <c r="S214" s="4">
        <v>3250.6391422933243</v>
      </c>
      <c r="T214" s="4">
        <v>8614.1937270773087</v>
      </c>
      <c r="U214" s="4">
        <v>60.2</v>
      </c>
      <c r="V214" s="4">
        <v>0.19</v>
      </c>
      <c r="W214" s="4">
        <v>0</v>
      </c>
    </row>
    <row r="215" spans="1:26" x14ac:dyDescent="0.25">
      <c r="A215" s="4" t="s">
        <v>93</v>
      </c>
      <c r="B215" s="4" t="s">
        <v>94</v>
      </c>
      <c r="C215" s="4">
        <v>4</v>
      </c>
      <c r="D215" s="4">
        <v>9</v>
      </c>
      <c r="E215" s="4">
        <v>36</v>
      </c>
      <c r="F215" s="4">
        <v>1772515152</v>
      </c>
      <c r="G215" s="4">
        <v>4697165152</v>
      </c>
      <c r="H215" s="4">
        <v>737543554.70000005</v>
      </c>
      <c r="I215" s="4">
        <v>737543.55469999998</v>
      </c>
      <c r="J215" s="4">
        <v>737.54355469999996</v>
      </c>
      <c r="K215" s="4">
        <v>1626003.2720000001</v>
      </c>
      <c r="L215" s="2">
        <v>1.7000000000000001E-2</v>
      </c>
      <c r="M215" s="4">
        <v>3</v>
      </c>
      <c r="N215" s="4">
        <v>1544.9670639999999</v>
      </c>
      <c r="O215" s="4">
        <v>149168.38395033302</v>
      </c>
      <c r="P215" s="4">
        <v>623.92299228224999</v>
      </c>
      <c r="Q215" s="4">
        <v>1584.7644003969149</v>
      </c>
      <c r="R215" s="2">
        <v>67661721.271844134</v>
      </c>
      <c r="S215" s="2">
        <v>162609279.6727809</v>
      </c>
      <c r="T215" s="2">
        <v>430914591.13286936</v>
      </c>
      <c r="U215" s="4">
        <v>1584.96</v>
      </c>
      <c r="V215" s="2">
        <v>0.25</v>
      </c>
      <c r="W215" s="4">
        <v>0</v>
      </c>
    </row>
    <row r="216" spans="1:26" x14ac:dyDescent="0.25">
      <c r="A216" s="4" t="s">
        <v>95</v>
      </c>
      <c r="B216" s="2" t="s">
        <v>96</v>
      </c>
      <c r="C216" s="4">
        <v>4</v>
      </c>
      <c r="D216" s="4">
        <v>2</v>
      </c>
      <c r="E216" s="4">
        <v>8</v>
      </c>
      <c r="F216" s="4">
        <v>1115.2006730000001</v>
      </c>
      <c r="G216" s="4">
        <v>2955.281782</v>
      </c>
      <c r="H216" s="4">
        <v>464.03500000000003</v>
      </c>
      <c r="I216" s="4">
        <v>0.46403499999999998</v>
      </c>
      <c r="J216" s="4">
        <v>4.6403500000000001E-4</v>
      </c>
      <c r="K216" s="4">
        <v>1.023020842</v>
      </c>
      <c r="L216" s="4">
        <v>0.01</v>
      </c>
      <c r="M216" s="4">
        <v>3</v>
      </c>
      <c r="N216" s="4">
        <v>32.51414389</v>
      </c>
      <c r="O216" s="4">
        <v>28.192142685908323</v>
      </c>
      <c r="P216" s="4">
        <v>42.733099823908219</v>
      </c>
      <c r="Q216" s="4">
        <v>108.54207355272688</v>
      </c>
      <c r="R216" s="4">
        <v>12787.756024125845</v>
      </c>
      <c r="S216" s="4">
        <v>30732.410536231298</v>
      </c>
      <c r="T216" s="4">
        <v>81440.887921012938</v>
      </c>
      <c r="U216" s="4">
        <v>136</v>
      </c>
      <c r="V216" s="4">
        <v>0.2</v>
      </c>
      <c r="W216" s="4">
        <v>0</v>
      </c>
    </row>
    <row r="217" spans="1:26" x14ac:dyDescent="0.25">
      <c r="A217" s="4" t="s">
        <v>97</v>
      </c>
      <c r="B217" s="4" t="s">
        <v>98</v>
      </c>
      <c r="C217" s="4">
        <v>4</v>
      </c>
      <c r="D217" s="4">
        <v>2</v>
      </c>
      <c r="E217" s="4">
        <v>8</v>
      </c>
      <c r="F217" s="4">
        <v>27051.979729999999</v>
      </c>
      <c r="G217" s="4">
        <v>71687.746289999995</v>
      </c>
      <c r="H217" s="4">
        <v>11256.32877</v>
      </c>
      <c r="I217" s="4">
        <v>11.25632877</v>
      </c>
      <c r="J217" s="4">
        <v>1.1256329000000001E-2</v>
      </c>
      <c r="K217" s="4">
        <v>24.815927519999999</v>
      </c>
      <c r="L217" s="2">
        <v>6.5000000000000002E-2</v>
      </c>
      <c r="M217" s="4">
        <v>3</v>
      </c>
      <c r="N217" s="4">
        <v>82.563657669999998</v>
      </c>
      <c r="O217" s="4">
        <v>1.8696037656083082</v>
      </c>
      <c r="P217" s="4">
        <v>9.2683076569412108</v>
      </c>
      <c r="Q217" s="4">
        <v>23.541501448630676</v>
      </c>
      <c r="R217" s="4">
        <v>848.03901153410027</v>
      </c>
      <c r="S217" s="4">
        <v>2038.0653966212451</v>
      </c>
      <c r="T217" s="4">
        <v>5400.8733010462993</v>
      </c>
      <c r="U217" s="4">
        <v>23.6</v>
      </c>
      <c r="V217" s="4">
        <v>0.75</v>
      </c>
      <c r="W217" s="4">
        <v>0</v>
      </c>
      <c r="X217" s="7"/>
      <c r="Z217" s="7"/>
    </row>
    <row r="218" spans="1:26" x14ac:dyDescent="0.25">
      <c r="A218" s="4" t="s">
        <v>99</v>
      </c>
      <c r="B218" s="4" t="s">
        <v>100</v>
      </c>
      <c r="C218" s="4">
        <v>4</v>
      </c>
      <c r="D218" s="4">
        <v>2</v>
      </c>
      <c r="E218" s="4">
        <v>8</v>
      </c>
      <c r="F218" s="4">
        <v>1115.2006730000001</v>
      </c>
      <c r="G218" s="4">
        <v>2955.281782</v>
      </c>
      <c r="H218" s="4">
        <v>464.03500000000003</v>
      </c>
      <c r="I218" s="4">
        <v>0.46403499999999998</v>
      </c>
      <c r="J218" s="4">
        <v>4.6403500000000001E-4</v>
      </c>
      <c r="K218" s="4">
        <v>1.023020842</v>
      </c>
      <c r="L218" s="4">
        <v>1.4999999999999999E-2</v>
      </c>
      <c r="M218" s="4">
        <v>3.1</v>
      </c>
      <c r="N218" s="4">
        <v>28.088937770000001</v>
      </c>
      <c r="O218" s="4">
        <v>1.4619718504402728</v>
      </c>
      <c r="P218" s="4">
        <v>12.40849726660206</v>
      </c>
      <c r="Q218" s="4">
        <v>31.517583057169233</v>
      </c>
      <c r="R218" s="4">
        <v>663.1400651542092</v>
      </c>
      <c r="S218" s="4">
        <v>1593.7035932569313</v>
      </c>
      <c r="T218" s="4">
        <v>4223.3145221308678</v>
      </c>
      <c r="U218" s="4">
        <v>42.4</v>
      </c>
      <c r="V218" s="4">
        <v>0.17</v>
      </c>
      <c r="W218" s="4">
        <v>0</v>
      </c>
    </row>
    <row r="219" spans="1:26" x14ac:dyDescent="0.25">
      <c r="A219" s="4" t="s">
        <v>101</v>
      </c>
      <c r="B219" s="4" t="s">
        <v>102</v>
      </c>
      <c r="C219" s="4">
        <v>4</v>
      </c>
      <c r="D219" s="4">
        <v>2</v>
      </c>
      <c r="E219" s="4">
        <v>8</v>
      </c>
      <c r="F219" s="4">
        <v>1115.2006730000001</v>
      </c>
      <c r="G219" s="4">
        <v>2955.281782</v>
      </c>
      <c r="H219" s="4">
        <v>464.03500000000003</v>
      </c>
      <c r="I219" s="4">
        <v>0.46403499999999998</v>
      </c>
      <c r="J219" s="4">
        <v>4.6403500000000001E-4</v>
      </c>
      <c r="K219" s="4">
        <v>1.023020842</v>
      </c>
      <c r="L219" s="4">
        <v>1.2E-2</v>
      </c>
      <c r="M219" s="4">
        <v>3.1</v>
      </c>
      <c r="N219" s="4">
        <v>30.185377429999999</v>
      </c>
      <c r="O219" s="4">
        <v>10.977986601158317</v>
      </c>
      <c r="P219" s="4">
        <v>25.552113868040497</v>
      </c>
      <c r="Q219" s="4">
        <v>64.902369224822863</v>
      </c>
      <c r="R219" s="2">
        <v>4979.5368821648708</v>
      </c>
      <c r="S219" s="2">
        <v>11967.163860045352</v>
      </c>
      <c r="T219" s="2">
        <v>31712.984229120182</v>
      </c>
      <c r="U219" s="4">
        <v>150.03333333333333</v>
      </c>
      <c r="V219" s="4">
        <v>0.11333333333333334</v>
      </c>
      <c r="W219" s="4">
        <v>3</v>
      </c>
    </row>
    <row r="220" spans="1:26" x14ac:dyDescent="0.25">
      <c r="A220" s="4" t="s">
        <v>103</v>
      </c>
      <c r="B220" s="4" t="s">
        <v>104</v>
      </c>
      <c r="C220" s="4">
        <v>4</v>
      </c>
      <c r="D220" s="4">
        <v>1</v>
      </c>
      <c r="E220" s="4">
        <v>4</v>
      </c>
      <c r="F220" s="4">
        <v>444.0038452</v>
      </c>
      <c r="G220" s="4">
        <v>1176.6101900000001</v>
      </c>
      <c r="H220" s="4">
        <v>184.75</v>
      </c>
      <c r="I220" s="4">
        <v>0.18475</v>
      </c>
      <c r="J220" s="4">
        <v>1.8474999999999999E-4</v>
      </c>
      <c r="K220" s="4">
        <v>0.40730354499999999</v>
      </c>
      <c r="L220" s="4">
        <v>1.2999999999999999E-2</v>
      </c>
      <c r="M220" s="4">
        <v>2.8</v>
      </c>
      <c r="N220" s="4">
        <v>30.414879859999999</v>
      </c>
      <c r="O220" s="4">
        <v>0.53679755384626038</v>
      </c>
      <c r="P220" s="4">
        <v>13.215119078825925</v>
      </c>
      <c r="Q220" s="4">
        <v>33.566402460217851</v>
      </c>
      <c r="R220" s="4">
        <v>243.48756422705969</v>
      </c>
      <c r="S220" s="4">
        <v>585.16597987757677</v>
      </c>
      <c r="T220" s="4">
        <v>1550.6898466755783</v>
      </c>
      <c r="U220" s="4">
        <v>65.400000000000006</v>
      </c>
      <c r="V220" s="4">
        <v>0.18</v>
      </c>
      <c r="W220" s="4">
        <v>0</v>
      </c>
    </row>
    <row r="221" spans="1:26" x14ac:dyDescent="0.25">
      <c r="A221" s="2" t="s">
        <v>105</v>
      </c>
      <c r="B221" s="4" t="s">
        <v>700</v>
      </c>
      <c r="C221" s="4">
        <v>4</v>
      </c>
      <c r="D221" s="4">
        <v>3</v>
      </c>
      <c r="E221" s="4">
        <v>12</v>
      </c>
      <c r="F221" s="4">
        <v>3129.99</v>
      </c>
      <c r="G221" s="4">
        <v>8294.48</v>
      </c>
      <c r="H221" s="4">
        <v>1302.388839</v>
      </c>
      <c r="I221" s="4">
        <v>1.302388839</v>
      </c>
      <c r="J221" s="4">
        <v>1.3023888389999999E-3</v>
      </c>
      <c r="K221" s="4">
        <v>2.8704650011560005</v>
      </c>
      <c r="L221" s="3">
        <v>1.2699999999999999E-2</v>
      </c>
      <c r="M221" s="3">
        <v>3.1</v>
      </c>
      <c r="N221" s="4">
        <v>41.345787911509852</v>
      </c>
      <c r="O221" s="4">
        <v>33.400319547634069</v>
      </c>
      <c r="P221" s="4">
        <v>35.922295099970704</v>
      </c>
      <c r="Q221" s="4">
        <v>91.242629553925596</v>
      </c>
      <c r="R221" s="2">
        <v>15150.148119691406</v>
      </c>
      <c r="S221" s="2">
        <v>36409.872914422995</v>
      </c>
      <c r="T221" s="2">
        <v>96486.163223220938</v>
      </c>
      <c r="U221" s="4">
        <v>109.97499999999999</v>
      </c>
      <c r="V221" s="4">
        <v>0.14750000000000002</v>
      </c>
      <c r="W221" s="4">
        <v>0</v>
      </c>
    </row>
    <row r="222" spans="1:26" x14ac:dyDescent="0.25">
      <c r="A222" s="4" t="s">
        <v>107</v>
      </c>
      <c r="B222" s="4" t="s">
        <v>108</v>
      </c>
      <c r="C222" s="4">
        <v>4</v>
      </c>
      <c r="D222" s="4">
        <v>5</v>
      </c>
      <c r="E222" s="4">
        <v>20</v>
      </c>
      <c r="F222" s="4">
        <v>6322.386939</v>
      </c>
      <c r="G222" s="4">
        <v>16754.325390000002</v>
      </c>
      <c r="H222" s="4">
        <v>2630.7452050000002</v>
      </c>
      <c r="I222" s="4">
        <v>2.6307452050000002</v>
      </c>
      <c r="J222" s="4">
        <v>2.6307449999999999E-3</v>
      </c>
      <c r="K222" s="4">
        <v>5.7997934950000003</v>
      </c>
      <c r="L222" s="4">
        <v>3.5999999999999999E-3</v>
      </c>
      <c r="M222" s="4">
        <v>3</v>
      </c>
      <c r="N222" s="4">
        <v>90.072474830000004</v>
      </c>
      <c r="O222" s="4">
        <v>15.019925025100203</v>
      </c>
      <c r="P222" s="4">
        <v>48.697887689013136</v>
      </c>
      <c r="Q222" s="4">
        <v>123.69263473009337</v>
      </c>
      <c r="R222" s="4">
        <v>6812.9314916403746</v>
      </c>
      <c r="S222" s="4">
        <v>16373.303272387346</v>
      </c>
      <c r="T222" s="4">
        <v>43389.253671826467</v>
      </c>
      <c r="U222" s="4">
        <v>124</v>
      </c>
      <c r="V222" s="4">
        <v>0.3</v>
      </c>
      <c r="W222" s="4">
        <v>0</v>
      </c>
    </row>
    <row r="223" spans="1:26" x14ac:dyDescent="0.25">
      <c r="A223" s="4" t="s">
        <v>109</v>
      </c>
      <c r="B223" s="4" t="s">
        <v>110</v>
      </c>
      <c r="C223" s="4">
        <v>4</v>
      </c>
      <c r="D223" s="4">
        <v>5</v>
      </c>
      <c r="E223" s="4">
        <v>20</v>
      </c>
      <c r="F223" s="4">
        <v>6322.386939</v>
      </c>
      <c r="G223" s="4">
        <v>16754.325390000002</v>
      </c>
      <c r="H223" s="4">
        <v>2630.7452050000002</v>
      </c>
      <c r="I223" s="4">
        <v>2.6307452050000002</v>
      </c>
      <c r="J223" s="4">
        <v>2.6307449999999999E-3</v>
      </c>
      <c r="K223" s="4">
        <v>5.7997934950000003</v>
      </c>
      <c r="L223" s="4">
        <v>4.3E-3</v>
      </c>
      <c r="M223" s="4">
        <v>3.1</v>
      </c>
      <c r="N223" s="4">
        <v>73.561147309999996</v>
      </c>
      <c r="O223" s="4">
        <v>95.526310440334015</v>
      </c>
      <c r="P223" s="4">
        <v>71.49933904529405</v>
      </c>
      <c r="Q223" s="4">
        <v>181.60832117504688</v>
      </c>
      <c r="R223" s="4">
        <v>43330.05708028323</v>
      </c>
      <c r="S223" s="4">
        <v>104133.75890479027</v>
      </c>
      <c r="T223" s="4">
        <v>275954.46109769423</v>
      </c>
      <c r="U223" s="4">
        <v>267</v>
      </c>
      <c r="V223" s="4">
        <v>5.7000000000000002E-2</v>
      </c>
      <c r="W223" s="4">
        <v>0</v>
      </c>
    </row>
    <row r="224" spans="1:26" x14ac:dyDescent="0.25">
      <c r="A224" s="4" t="s">
        <v>111</v>
      </c>
      <c r="B224" s="4" t="s">
        <v>112</v>
      </c>
      <c r="C224" s="4">
        <v>4</v>
      </c>
      <c r="D224" s="4">
        <v>2</v>
      </c>
      <c r="E224" s="4">
        <v>8</v>
      </c>
      <c r="F224" s="4">
        <v>1115.2006730000001</v>
      </c>
      <c r="G224" s="4">
        <v>2955.281782</v>
      </c>
      <c r="H224" s="4">
        <v>464.03500000000003</v>
      </c>
      <c r="I224" s="4">
        <v>0.46403499999999998</v>
      </c>
      <c r="J224" s="4">
        <v>4.6403500000000001E-4</v>
      </c>
      <c r="K224" s="4">
        <v>1.023020842</v>
      </c>
      <c r="L224" s="4">
        <v>1.2200000000000001E-2</v>
      </c>
      <c r="M224" s="4">
        <v>2.9</v>
      </c>
      <c r="N224" s="4">
        <v>37.964368059999998</v>
      </c>
      <c r="O224" s="4">
        <v>9.4040269322969028</v>
      </c>
      <c r="P224" s="4">
        <v>32.118813011334275</v>
      </c>
      <c r="Q224" s="4">
        <v>81.581785048789058</v>
      </c>
      <c r="R224" s="4">
        <v>4265.5999366316655</v>
      </c>
      <c r="S224" s="4">
        <v>10251.381727064805</v>
      </c>
      <c r="T224" s="4">
        <v>27166.161576721734</v>
      </c>
      <c r="U224" s="4">
        <v>113</v>
      </c>
      <c r="V224" s="4">
        <v>0.16</v>
      </c>
      <c r="W224" s="4">
        <v>0</v>
      </c>
    </row>
    <row r="225" spans="1:23" x14ac:dyDescent="0.25">
      <c r="A225" s="4" t="s">
        <v>113</v>
      </c>
      <c r="B225" s="4" t="s">
        <v>114</v>
      </c>
      <c r="C225" s="4">
        <v>4</v>
      </c>
      <c r="D225" s="4">
        <v>2</v>
      </c>
      <c r="E225" s="4">
        <v>8</v>
      </c>
      <c r="F225" s="4">
        <v>2095.4578219999999</v>
      </c>
      <c r="G225" s="4">
        <v>5552.9632300000003</v>
      </c>
      <c r="H225" s="4">
        <v>871.91999969999995</v>
      </c>
      <c r="I225" s="4">
        <v>0.87192000000000003</v>
      </c>
      <c r="J225" s="4">
        <v>8.7191999999999999E-4</v>
      </c>
      <c r="K225" s="4">
        <v>1.92225227</v>
      </c>
      <c r="L225" s="4">
        <v>1.2E-2</v>
      </c>
      <c r="M225" s="4">
        <v>3.05</v>
      </c>
      <c r="N225" s="4">
        <v>39.252501789999997</v>
      </c>
      <c r="O225" s="4">
        <v>11.477149554816396</v>
      </c>
      <c r="P225" s="4">
        <v>27.763077911182179</v>
      </c>
      <c r="Q225" s="4">
        <v>70.518217894402738</v>
      </c>
      <c r="R225" s="4">
        <v>5205.9536585971264</v>
      </c>
      <c r="S225" s="4">
        <v>12511.304154282927</v>
      </c>
      <c r="T225" s="4">
        <v>33154.956008849753</v>
      </c>
      <c r="U225" s="4">
        <v>85.9</v>
      </c>
      <c r="V225" s="4">
        <v>0.215</v>
      </c>
      <c r="W225" s="4">
        <v>0</v>
      </c>
    </row>
    <row r="226" spans="1:23" x14ac:dyDescent="0.25">
      <c r="A226" s="4" t="s">
        <v>115</v>
      </c>
      <c r="B226" s="4" t="s">
        <v>116</v>
      </c>
      <c r="C226" s="4">
        <v>4</v>
      </c>
      <c r="D226" s="4">
        <v>7</v>
      </c>
      <c r="E226" s="4">
        <v>28</v>
      </c>
      <c r="F226" s="4">
        <v>9236050.2909999993</v>
      </c>
      <c r="G226" s="4">
        <v>24475533.27</v>
      </c>
      <c r="H226" s="4">
        <v>3843120.5260000001</v>
      </c>
      <c r="I226" s="4">
        <v>3843.1205260000002</v>
      </c>
      <c r="J226" s="4">
        <v>3.8431205259999999</v>
      </c>
      <c r="K226" s="4">
        <v>8472.6203740000001</v>
      </c>
      <c r="L226" s="2">
        <v>1.4999999999999999E-2</v>
      </c>
      <c r="M226" s="4">
        <v>3</v>
      </c>
      <c r="N226" s="4">
        <v>727.04507169999999</v>
      </c>
      <c r="O226" s="4">
        <v>662.04706866566141</v>
      </c>
      <c r="P226" s="4">
        <v>106.90242862968566</v>
      </c>
      <c r="Q226" s="4">
        <v>271.53216871940157</v>
      </c>
      <c r="R226" s="2">
        <v>300299.85605939408</v>
      </c>
      <c r="S226" s="2">
        <v>721701.16813120421</v>
      </c>
      <c r="T226" s="2">
        <v>1912508.095547691</v>
      </c>
      <c r="U226" s="4">
        <v>271.77999999999997</v>
      </c>
      <c r="V226" s="4">
        <v>0.25</v>
      </c>
      <c r="W226" s="4">
        <v>0</v>
      </c>
    </row>
    <row r="227" spans="1:23" x14ac:dyDescent="0.25">
      <c r="A227" s="4" t="s">
        <v>117</v>
      </c>
      <c r="B227" s="4" t="s">
        <v>118</v>
      </c>
      <c r="C227" s="4">
        <v>4</v>
      </c>
      <c r="D227" s="4">
        <v>2</v>
      </c>
      <c r="E227" s="4">
        <v>8</v>
      </c>
      <c r="F227" s="4">
        <v>1115.2006730000001</v>
      </c>
      <c r="G227" s="4">
        <v>2955.281782</v>
      </c>
      <c r="H227" s="4">
        <v>464.03500000000003</v>
      </c>
      <c r="I227" s="4">
        <v>0.46403499999999998</v>
      </c>
      <c r="J227" s="4">
        <v>4.6403500000000001E-4</v>
      </c>
      <c r="K227" s="4">
        <v>1.023020842</v>
      </c>
      <c r="L227" s="4">
        <v>1.4999999999999999E-2</v>
      </c>
      <c r="M227" s="4">
        <v>3</v>
      </c>
      <c r="N227" s="4">
        <v>31.392060780000001</v>
      </c>
      <c r="O227" s="4">
        <v>2.1658827756575767</v>
      </c>
      <c r="P227" s="4">
        <v>15.869732215204481</v>
      </c>
      <c r="Q227" s="4">
        <v>40.30911982661938</v>
      </c>
      <c r="R227" s="4">
        <v>982.42906970705906</v>
      </c>
      <c r="S227" s="4">
        <v>2361.0407827614972</v>
      </c>
      <c r="T227" s="4">
        <v>6256.7580743179678</v>
      </c>
      <c r="U227" s="4">
        <v>73.2</v>
      </c>
      <c r="V227" s="4">
        <v>0.1</v>
      </c>
      <c r="W227" s="4">
        <v>0</v>
      </c>
    </row>
    <row r="228" spans="1:23" x14ac:dyDescent="0.25">
      <c r="A228" s="4" t="s">
        <v>119</v>
      </c>
      <c r="B228" s="4" t="s">
        <v>120</v>
      </c>
      <c r="C228" s="4">
        <v>4</v>
      </c>
      <c r="D228" s="4">
        <v>3</v>
      </c>
      <c r="E228" s="4">
        <v>12</v>
      </c>
      <c r="F228" s="4">
        <v>157775.1923</v>
      </c>
      <c r="G228" s="4">
        <v>418104.2597</v>
      </c>
      <c r="H228" s="4">
        <v>65650.257519999999</v>
      </c>
      <c r="I228" s="4">
        <v>65.650257519999997</v>
      </c>
      <c r="J228" s="4">
        <v>6.5650258000000003E-2</v>
      </c>
      <c r="K228" s="4">
        <v>144.73387070000001</v>
      </c>
      <c r="L228" s="4">
        <v>2.1399999999999999E-2</v>
      </c>
      <c r="M228" s="4">
        <v>2.96</v>
      </c>
      <c r="N228" s="4">
        <v>155.41543279999999</v>
      </c>
      <c r="O228" s="4">
        <v>75.562059885577497</v>
      </c>
      <c r="P228" s="4">
        <v>49.12472804954573</v>
      </c>
      <c r="Q228" s="4">
        <v>124.77680924584615</v>
      </c>
      <c r="R228" s="2">
        <v>34274.414586449137</v>
      </c>
      <c r="S228" s="2">
        <v>82370.619049385103</v>
      </c>
      <c r="T228" s="2">
        <v>218282.14048087053</v>
      </c>
      <c r="U228" s="4">
        <v>133.76666666666668</v>
      </c>
      <c r="V228" s="4">
        <v>0.3</v>
      </c>
      <c r="W228" s="4">
        <v>3</v>
      </c>
    </row>
    <row r="229" spans="1:23" x14ac:dyDescent="0.25">
      <c r="A229" s="4" t="s">
        <v>121</v>
      </c>
      <c r="B229" s="4" t="s">
        <v>122</v>
      </c>
      <c r="C229" s="4">
        <v>4</v>
      </c>
      <c r="D229" s="4">
        <v>7</v>
      </c>
      <c r="E229" s="4">
        <v>28</v>
      </c>
      <c r="F229" s="4">
        <v>9236050.2909999993</v>
      </c>
      <c r="G229" s="4">
        <v>24475533.27</v>
      </c>
      <c r="H229" s="4">
        <v>3843120.5260000001</v>
      </c>
      <c r="I229" s="4">
        <v>3843.1205260000002</v>
      </c>
      <c r="J229" s="4">
        <v>3.8431205259999999</v>
      </c>
      <c r="K229" s="4">
        <v>8472.6203740000001</v>
      </c>
      <c r="L229" s="2">
        <v>1E-3</v>
      </c>
      <c r="M229" s="4">
        <v>3</v>
      </c>
      <c r="N229" s="4">
        <v>727.04507169999999</v>
      </c>
      <c r="O229" s="4">
        <v>39349.462814606537</v>
      </c>
      <c r="P229" s="4">
        <v>1028.8876911928273</v>
      </c>
      <c r="Q229" s="4">
        <v>2613.3747356297813</v>
      </c>
      <c r="R229" s="2">
        <v>17848637.322806895</v>
      </c>
      <c r="S229" s="2">
        <v>42895066.865673862</v>
      </c>
      <c r="T229" s="2">
        <v>113671927.19403574</v>
      </c>
      <c r="U229" s="4">
        <v>2615.7600000000002</v>
      </c>
      <c r="V229" s="4">
        <v>0.25</v>
      </c>
      <c r="W229" s="4">
        <v>0</v>
      </c>
    </row>
    <row r="230" spans="1:23" x14ac:dyDescent="0.25">
      <c r="A230" s="4" t="s">
        <v>123</v>
      </c>
      <c r="B230" s="4" t="s">
        <v>124</v>
      </c>
      <c r="C230" s="4">
        <v>4</v>
      </c>
      <c r="D230" s="4">
        <v>2</v>
      </c>
      <c r="E230" s="4">
        <v>8</v>
      </c>
      <c r="F230" s="4">
        <v>1115.2006730000001</v>
      </c>
      <c r="G230" s="4">
        <v>2955.281782</v>
      </c>
      <c r="H230" s="4">
        <v>464.03500000000003</v>
      </c>
      <c r="I230" s="4">
        <v>0.46403499999999998</v>
      </c>
      <c r="J230" s="4">
        <v>4.6403500000000001E-4</v>
      </c>
      <c r="K230" s="4">
        <v>1.023020842</v>
      </c>
      <c r="L230" s="4">
        <v>9.4999999999999998E-3</v>
      </c>
      <c r="M230" s="4">
        <v>3.1</v>
      </c>
      <c r="N230" s="4">
        <v>32.548043049999997</v>
      </c>
      <c r="O230" s="4">
        <v>11.295113320542761</v>
      </c>
      <c r="P230" s="4">
        <v>27.806398935326168</v>
      </c>
      <c r="Q230" s="4">
        <v>70.62825329572847</v>
      </c>
      <c r="R230" s="4">
        <v>5123.38331347024</v>
      </c>
      <c r="S230" s="4">
        <v>12312.865449339677</v>
      </c>
      <c r="T230" s="4">
        <v>32629.093440750145</v>
      </c>
      <c r="U230" s="4">
        <v>111</v>
      </c>
      <c r="V230" s="4">
        <v>0.13</v>
      </c>
      <c r="W230" s="4">
        <v>0.22</v>
      </c>
    </row>
    <row r="231" spans="1:23" x14ac:dyDescent="0.25">
      <c r="A231" s="4" t="s">
        <v>125</v>
      </c>
      <c r="B231" s="4" t="s">
        <v>126</v>
      </c>
      <c r="C231" s="4">
        <v>4</v>
      </c>
      <c r="D231" s="4">
        <v>1</v>
      </c>
      <c r="E231" s="4">
        <v>4</v>
      </c>
      <c r="F231" s="4">
        <v>1839.701994</v>
      </c>
      <c r="G231" s="4">
        <v>4875.2102850000001</v>
      </c>
      <c r="H231" s="4">
        <v>765.49999969999999</v>
      </c>
      <c r="I231" s="4">
        <v>0.76549999999999996</v>
      </c>
      <c r="J231" s="4">
        <v>7.6550000000000001E-4</v>
      </c>
      <c r="K231" s="4">
        <v>1.6876366089999999</v>
      </c>
      <c r="L231" s="4">
        <v>1.4999999999999999E-2</v>
      </c>
      <c r="M231" s="4">
        <v>2.9</v>
      </c>
      <c r="N231" s="4">
        <v>42.014375139999999</v>
      </c>
      <c r="O231" s="4">
        <v>2.0377748823399293</v>
      </c>
      <c r="P231" s="4">
        <v>17.652155015414586</v>
      </c>
      <c r="Q231" s="4">
        <v>44.83647373915305</v>
      </c>
      <c r="R231" s="4">
        <v>924.32023765543681</v>
      </c>
      <c r="S231" s="4">
        <v>2221.3896603110716</v>
      </c>
      <c r="T231" s="4">
        <v>5886.6825998243394</v>
      </c>
      <c r="U231" s="4">
        <v>136</v>
      </c>
      <c r="V231" s="4">
        <v>0.1</v>
      </c>
      <c r="W231" s="4">
        <v>0</v>
      </c>
    </row>
    <row r="232" spans="1:23" x14ac:dyDescent="0.25">
      <c r="A232" s="4" t="s">
        <v>127</v>
      </c>
      <c r="B232" s="4" t="s">
        <v>128</v>
      </c>
      <c r="C232" s="4">
        <v>4</v>
      </c>
      <c r="D232" s="4">
        <v>2</v>
      </c>
      <c r="E232" s="4">
        <v>8</v>
      </c>
      <c r="F232" s="4">
        <v>2095.4578219999999</v>
      </c>
      <c r="G232" s="4">
        <v>5552.9632300000003</v>
      </c>
      <c r="H232" s="4">
        <v>871.91999969999995</v>
      </c>
      <c r="I232" s="4">
        <v>0.87192000000000003</v>
      </c>
      <c r="J232" s="4">
        <v>8.7191999999999999E-4</v>
      </c>
      <c r="K232" s="4">
        <v>1.92225227</v>
      </c>
      <c r="L232" s="4">
        <v>1.4E-2</v>
      </c>
      <c r="M232" s="4">
        <v>3</v>
      </c>
      <c r="N232" s="4">
        <v>39.638407790000002</v>
      </c>
      <c r="O232" s="4">
        <v>7.2949700542076634</v>
      </c>
      <c r="P232" s="4">
        <v>24.341846998397887</v>
      </c>
      <c r="Q232" s="4">
        <v>61.828291375930633</v>
      </c>
      <c r="R232" s="4">
        <v>3308.9466911339205</v>
      </c>
      <c r="S232" s="4">
        <v>7952.287169271619</v>
      </c>
      <c r="T232" s="4">
        <v>21073.560998569788</v>
      </c>
      <c r="U232" s="4">
        <v>62.2</v>
      </c>
      <c r="V232" s="4">
        <v>0.64</v>
      </c>
      <c r="W232" s="4">
        <v>0</v>
      </c>
    </row>
    <row r="233" spans="1:23" x14ac:dyDescent="0.25">
      <c r="A233" s="4" t="s">
        <v>129</v>
      </c>
      <c r="B233" s="4" t="s">
        <v>130</v>
      </c>
      <c r="C233" s="4">
        <v>4</v>
      </c>
      <c r="D233" s="4">
        <v>2</v>
      </c>
      <c r="E233" s="4">
        <v>8</v>
      </c>
      <c r="F233" s="4">
        <v>1115.2006730000001</v>
      </c>
      <c r="G233" s="4">
        <v>2955.281782</v>
      </c>
      <c r="H233" s="4">
        <v>464.03500000000003</v>
      </c>
      <c r="I233" s="4">
        <v>0.46403499999999998</v>
      </c>
      <c r="J233" s="4">
        <v>4.6403500000000001E-4</v>
      </c>
      <c r="K233" s="4">
        <v>1.023020842</v>
      </c>
      <c r="L233" s="4">
        <v>1.2500000000000001E-2</v>
      </c>
      <c r="M233" s="4">
        <v>2.88</v>
      </c>
      <c r="N233" s="4">
        <v>38.608311409999999</v>
      </c>
      <c r="O233" s="4">
        <v>1.6931421322324676</v>
      </c>
      <c r="P233" s="4">
        <v>18.105995814243027</v>
      </c>
      <c r="Q233" s="4">
        <v>45.989229368177291</v>
      </c>
      <c r="R233" s="4">
        <v>767.99726584738755</v>
      </c>
      <c r="S233" s="4">
        <v>1845.703594922825</v>
      </c>
      <c r="T233" s="4">
        <v>4891.1145265454861</v>
      </c>
      <c r="U233" s="4">
        <v>158</v>
      </c>
      <c r="V233" s="4">
        <v>4.2999999999999997E-2</v>
      </c>
      <c r="W233" s="4">
        <v>0</v>
      </c>
    </row>
    <row r="234" spans="1:23" x14ac:dyDescent="0.25">
      <c r="A234" s="4" t="s">
        <v>131</v>
      </c>
      <c r="B234" s="4" t="s">
        <v>132</v>
      </c>
      <c r="C234" s="4">
        <v>4</v>
      </c>
      <c r="D234" s="4">
        <v>2</v>
      </c>
      <c r="E234" s="4">
        <v>8</v>
      </c>
      <c r="F234" s="4">
        <v>2095.4578219999999</v>
      </c>
      <c r="G234" s="4">
        <v>5552.9632300000003</v>
      </c>
      <c r="H234" s="4">
        <v>871.91999969999995</v>
      </c>
      <c r="I234" s="4">
        <v>0.87192000000000003</v>
      </c>
      <c r="J234" s="4">
        <v>8.7191999999999999E-4</v>
      </c>
      <c r="K234" s="4">
        <v>1.92225227</v>
      </c>
      <c r="L234" s="4">
        <v>1.4E-2</v>
      </c>
      <c r="M234" s="4">
        <v>2.9</v>
      </c>
      <c r="N234" s="4">
        <v>45.001154579999998</v>
      </c>
      <c r="O234" s="4">
        <v>1.0451784700884894</v>
      </c>
      <c r="P234" s="4">
        <v>14.359578396710337</v>
      </c>
      <c r="Q234" s="4">
        <v>36.473329127644256</v>
      </c>
      <c r="R234" s="4">
        <v>474.0855431269286</v>
      </c>
      <c r="S234" s="4">
        <v>1139.3548260680811</v>
      </c>
      <c r="T234" s="4">
        <v>3019.2902890804148</v>
      </c>
      <c r="U234" s="4">
        <v>45.7</v>
      </c>
      <c r="V234" s="4">
        <v>0.2</v>
      </c>
      <c r="W234" s="4">
        <v>0</v>
      </c>
    </row>
    <row r="235" spans="1:23" x14ac:dyDescent="0.25">
      <c r="A235" s="4" t="s">
        <v>133</v>
      </c>
      <c r="B235" s="4" t="s">
        <v>134</v>
      </c>
      <c r="C235" s="4">
        <v>4</v>
      </c>
      <c r="D235" s="4">
        <v>3</v>
      </c>
      <c r="E235" s="4">
        <v>12</v>
      </c>
      <c r="F235" s="4">
        <v>3129.99</v>
      </c>
      <c r="G235" s="4">
        <v>8294.48</v>
      </c>
      <c r="H235" s="4">
        <v>1302.388839</v>
      </c>
      <c r="I235" s="4">
        <v>1.302388839</v>
      </c>
      <c r="J235" s="4">
        <v>1.3023889999999999E-3</v>
      </c>
      <c r="K235" s="4">
        <v>2.8712724820000002</v>
      </c>
      <c r="L235" s="4">
        <v>1.2699999999999999E-2</v>
      </c>
      <c r="M235" s="4">
        <v>3.1</v>
      </c>
      <c r="N235" s="4">
        <v>41.345787909999999</v>
      </c>
      <c r="O235" s="4">
        <v>21.930454529672875</v>
      </c>
      <c r="P235" s="4">
        <v>31.363724347247629</v>
      </c>
      <c r="Q235" s="4">
        <v>79.663859842008975</v>
      </c>
      <c r="R235" s="4">
        <v>9947.4986753603225</v>
      </c>
      <c r="S235" s="4">
        <v>23906.509674021447</v>
      </c>
      <c r="T235" s="4">
        <v>63352.25063615683</v>
      </c>
      <c r="U235" s="4">
        <v>114</v>
      </c>
      <c r="V235" s="4">
        <v>0.1</v>
      </c>
      <c r="W235" s="4">
        <v>0</v>
      </c>
    </row>
    <row r="236" spans="1:23" x14ac:dyDescent="0.25">
      <c r="A236" s="4" t="s">
        <v>135</v>
      </c>
      <c r="B236" s="4" t="s">
        <v>136</v>
      </c>
      <c r="C236" s="4">
        <v>4</v>
      </c>
      <c r="D236" s="4">
        <v>2</v>
      </c>
      <c r="E236" s="4">
        <v>8</v>
      </c>
      <c r="F236" s="4">
        <v>2095.4578219999999</v>
      </c>
      <c r="G236" s="4">
        <v>5552.9632300000003</v>
      </c>
      <c r="H236" s="4">
        <v>871.91999969999995</v>
      </c>
      <c r="I236" s="4">
        <v>0.87192000000000003</v>
      </c>
      <c r="J236" s="4">
        <v>8.7191999999999999E-4</v>
      </c>
      <c r="K236" s="4">
        <v>1.92225227</v>
      </c>
      <c r="L236" s="4">
        <v>1.2E-2</v>
      </c>
      <c r="M236" s="4">
        <v>3</v>
      </c>
      <c r="N236" s="4">
        <v>41.728406249999999</v>
      </c>
      <c r="O236" s="4">
        <v>0.95915927150425351</v>
      </c>
      <c r="P236" s="4">
        <v>13.030413475204041</v>
      </c>
      <c r="Q236" s="4">
        <v>33.097250227018264</v>
      </c>
      <c r="R236" s="4">
        <v>435.06784457378302</v>
      </c>
      <c r="S236" s="4">
        <v>1045.5848223354553</v>
      </c>
      <c r="T236" s="4">
        <v>2770.7997791889566</v>
      </c>
      <c r="U236" s="4">
        <v>60.5</v>
      </c>
      <c r="V236" s="4">
        <v>9.9000000000000005E-2</v>
      </c>
      <c r="W236" s="4">
        <v>0</v>
      </c>
    </row>
    <row r="237" spans="1:23" x14ac:dyDescent="0.25">
      <c r="A237" s="4" t="s">
        <v>137</v>
      </c>
      <c r="B237" s="4" t="s">
        <v>138</v>
      </c>
      <c r="C237" s="4">
        <v>4</v>
      </c>
      <c r="D237" s="4">
        <v>1</v>
      </c>
      <c r="E237" s="4">
        <v>4</v>
      </c>
      <c r="F237" s="4">
        <v>871.90579170000001</v>
      </c>
      <c r="G237" s="4">
        <v>2310.5503480000002</v>
      </c>
      <c r="H237" s="4">
        <v>362.79999989999999</v>
      </c>
      <c r="I237" s="4">
        <v>0.36280000000000001</v>
      </c>
      <c r="J237" s="4">
        <v>3.6279999999999998E-4</v>
      </c>
      <c r="K237" s="4">
        <v>0.79983613600000003</v>
      </c>
      <c r="L237" s="4">
        <v>1.2500000000000001E-2</v>
      </c>
      <c r="M237" s="4">
        <v>2.82</v>
      </c>
      <c r="N237" s="4">
        <v>38.241774589999999</v>
      </c>
      <c r="O237" s="4">
        <v>0.72362605313298989</v>
      </c>
      <c r="P237" s="4">
        <v>14.530597075190434</v>
      </c>
      <c r="Q237" s="4">
        <v>36.907716570983702</v>
      </c>
      <c r="R237" s="4">
        <v>328.23164678402168</v>
      </c>
      <c r="S237" s="4">
        <v>788.8287593944284</v>
      </c>
      <c r="T237" s="4">
        <v>2090.3962123952351</v>
      </c>
      <c r="U237" s="4">
        <v>50</v>
      </c>
      <c r="V237" s="4">
        <v>0.33500000000000002</v>
      </c>
      <c r="W237" s="4">
        <v>0</v>
      </c>
    </row>
    <row r="238" spans="1:23" x14ac:dyDescent="0.25">
      <c r="A238" s="4" t="s">
        <v>21</v>
      </c>
      <c r="B238" s="4" t="s">
        <v>22</v>
      </c>
      <c r="C238" s="4">
        <v>5</v>
      </c>
      <c r="D238" s="4">
        <v>1</v>
      </c>
      <c r="E238" s="4">
        <v>5</v>
      </c>
      <c r="F238" s="4">
        <v>206.1043018</v>
      </c>
      <c r="G238" s="4">
        <v>546.17639980000001</v>
      </c>
      <c r="H238" s="4">
        <v>85.759999980000003</v>
      </c>
      <c r="I238" s="4">
        <v>8.5760000000000003E-2</v>
      </c>
      <c r="J238" s="4">
        <v>8.5799999999999998E-5</v>
      </c>
      <c r="K238" s="4">
        <v>0.18906821100000001</v>
      </c>
      <c r="L238" s="4">
        <v>1.6E-2</v>
      </c>
      <c r="M238" s="4">
        <v>3</v>
      </c>
      <c r="N238" s="4">
        <v>17.500680240000001</v>
      </c>
      <c r="O238" s="4">
        <v>4.0280475686274811E-2</v>
      </c>
      <c r="P238" s="4">
        <v>4.1150953732100373</v>
      </c>
      <c r="Q238" s="4">
        <v>10.452342247953496</v>
      </c>
      <c r="R238" s="4">
        <v>18.270938159988937</v>
      </c>
      <c r="S238" s="4">
        <v>43.909969142006574</v>
      </c>
      <c r="T238" s="4">
        <v>116.36141822631741</v>
      </c>
      <c r="U238" s="4">
        <v>11</v>
      </c>
      <c r="V238" s="4">
        <v>0.6</v>
      </c>
      <c r="W238" s="4">
        <v>0</v>
      </c>
    </row>
    <row r="239" spans="1:23" x14ac:dyDescent="0.25">
      <c r="A239" s="4" t="s">
        <v>23</v>
      </c>
      <c r="B239" s="4" t="s">
        <v>24</v>
      </c>
      <c r="C239" s="4">
        <v>5</v>
      </c>
      <c r="D239" s="4">
        <v>3</v>
      </c>
      <c r="E239" s="4">
        <v>15</v>
      </c>
      <c r="F239" s="4">
        <v>174502.53330000001</v>
      </c>
      <c r="G239" s="4">
        <v>462431.7133</v>
      </c>
      <c r="H239" s="4">
        <v>72610.504109999994</v>
      </c>
      <c r="I239" s="4">
        <v>72.610504109999994</v>
      </c>
      <c r="J239" s="4">
        <v>7.2610504000000006E-2</v>
      </c>
      <c r="K239" s="4">
        <v>160.07856960000001</v>
      </c>
      <c r="L239" s="4">
        <v>2.5999999999999999E-2</v>
      </c>
      <c r="M239" s="4">
        <v>3</v>
      </c>
      <c r="N239" s="4">
        <v>204.3636362</v>
      </c>
      <c r="O239" s="4">
        <v>965.81444043025897</v>
      </c>
      <c r="P239" s="4">
        <v>100.93190832717249</v>
      </c>
      <c r="Q239" s="4">
        <v>256.36704715101814</v>
      </c>
      <c r="R239" s="4">
        <v>438086.58200971549</v>
      </c>
      <c r="S239" s="4">
        <v>1052839.6587592296</v>
      </c>
      <c r="T239" s="4">
        <v>2790025.0957119581</v>
      </c>
      <c r="U239" s="4">
        <v>330</v>
      </c>
      <c r="V239" s="4">
        <v>0.1</v>
      </c>
      <c r="W239" s="4">
        <v>0</v>
      </c>
    </row>
    <row r="240" spans="1:23" x14ac:dyDescent="0.25">
      <c r="A240" s="4" t="s">
        <v>25</v>
      </c>
      <c r="B240" s="4" t="s">
        <v>26</v>
      </c>
      <c r="C240" s="4">
        <v>5</v>
      </c>
      <c r="D240" s="4">
        <v>3</v>
      </c>
      <c r="E240" s="4">
        <v>15</v>
      </c>
      <c r="F240" s="4">
        <v>174502.53330000001</v>
      </c>
      <c r="G240" s="4">
        <v>462431.7133</v>
      </c>
      <c r="H240" s="4">
        <v>72610.504109999994</v>
      </c>
      <c r="I240" s="4">
        <v>72.610504109999994</v>
      </c>
      <c r="J240" s="4">
        <v>7.2610504000000006E-2</v>
      </c>
      <c r="K240" s="4">
        <v>160.07856960000001</v>
      </c>
      <c r="L240" s="4">
        <v>2.1399999999999999E-2</v>
      </c>
      <c r="M240" s="4">
        <v>2.96</v>
      </c>
      <c r="N240" s="4">
        <v>160.79737159999999</v>
      </c>
      <c r="O240" s="4">
        <v>729.83588810113429</v>
      </c>
      <c r="P240" s="4">
        <v>105.69243032183674</v>
      </c>
      <c r="Q240" s="4">
        <v>268.45877301746532</v>
      </c>
      <c r="R240" s="4">
        <v>331048.38389433746</v>
      </c>
      <c r="S240" s="4">
        <v>795598.13480975106</v>
      </c>
      <c r="T240" s="4">
        <v>2108335.0572458403</v>
      </c>
      <c r="U240" s="4">
        <v>358.7</v>
      </c>
      <c r="V240" s="4">
        <v>9.1999999999999998E-2</v>
      </c>
      <c r="W240" s="4">
        <v>0</v>
      </c>
    </row>
    <row r="241" spans="1:23" x14ac:dyDescent="0.25">
      <c r="A241" s="4" t="s">
        <v>27</v>
      </c>
      <c r="B241" s="4" t="s">
        <v>28</v>
      </c>
      <c r="C241" s="4">
        <v>5</v>
      </c>
      <c r="D241" s="4">
        <v>1</v>
      </c>
      <c r="E241" s="4">
        <v>5</v>
      </c>
      <c r="F241" s="4">
        <v>7692.14131</v>
      </c>
      <c r="G241" s="4">
        <v>20384.174470000002</v>
      </c>
      <c r="H241" s="4">
        <v>3200.6999989999999</v>
      </c>
      <c r="I241" s="4">
        <v>3.2006999989999998</v>
      </c>
      <c r="J241" s="4">
        <v>3.2006999999999999E-3</v>
      </c>
      <c r="K241" s="4">
        <v>7.0563272320000001</v>
      </c>
      <c r="L241" s="4">
        <v>1.0999999999999999E-2</v>
      </c>
      <c r="M241" s="4">
        <v>2.9</v>
      </c>
      <c r="N241" s="4">
        <v>76.574998100000002</v>
      </c>
      <c r="O241" s="4">
        <v>3.4445340186513107</v>
      </c>
      <c r="P241" s="4">
        <v>23.54275782093762</v>
      </c>
      <c r="Q241" s="4">
        <v>59.798604865181552</v>
      </c>
      <c r="R241" s="4">
        <v>1562.4162071700841</v>
      </c>
      <c r="S241" s="4">
        <v>3754.9055687817449</v>
      </c>
      <c r="T241" s="4">
        <v>9950.4997572716238</v>
      </c>
      <c r="U241" s="4">
        <v>94.6</v>
      </c>
      <c r="V241" s="4">
        <v>0.2</v>
      </c>
      <c r="W241" s="4">
        <v>0</v>
      </c>
    </row>
    <row r="242" spans="1:23" x14ac:dyDescent="0.25">
      <c r="A242" s="4" t="s">
        <v>29</v>
      </c>
      <c r="B242" s="4" t="s">
        <v>30</v>
      </c>
      <c r="C242" s="4">
        <v>5</v>
      </c>
      <c r="D242" s="4">
        <v>7</v>
      </c>
      <c r="E242" s="2">
        <v>35</v>
      </c>
      <c r="F242" s="4">
        <v>43204.537799999998</v>
      </c>
      <c r="G242" s="4">
        <v>114492.325</v>
      </c>
      <c r="H242" s="4">
        <v>17977.408179999999</v>
      </c>
      <c r="I242" s="4">
        <v>17.977408180000001</v>
      </c>
      <c r="J242" s="4">
        <v>1.7977408E-2</v>
      </c>
      <c r="K242" s="4">
        <v>39.633353620000001</v>
      </c>
      <c r="L242" s="4">
        <v>3.2499999999999999E-3</v>
      </c>
      <c r="M242" s="4">
        <v>3</v>
      </c>
      <c r="N242" s="4">
        <v>176.85387209999999</v>
      </c>
      <c r="O242" s="4">
        <v>196.58407150030726</v>
      </c>
      <c r="P242" s="4">
        <v>118.74354872270037</v>
      </c>
      <c r="Q242" s="4">
        <v>301.60861375565895</v>
      </c>
      <c r="R242" s="4">
        <v>89169.140940528188</v>
      </c>
      <c r="S242" s="4">
        <v>214297.38269773658</v>
      </c>
      <c r="T242" s="4">
        <v>567888.06414900196</v>
      </c>
      <c r="U242" s="4">
        <v>311</v>
      </c>
      <c r="V242" s="4">
        <v>0.1</v>
      </c>
      <c r="W242" s="4">
        <v>0</v>
      </c>
    </row>
    <row r="243" spans="1:23" x14ac:dyDescent="0.25">
      <c r="A243" s="2" t="s">
        <v>31</v>
      </c>
      <c r="B243" s="4" t="s">
        <v>32</v>
      </c>
      <c r="C243" s="4">
        <v>5</v>
      </c>
      <c r="D243" s="4">
        <v>1</v>
      </c>
      <c r="E243" s="4">
        <v>5</v>
      </c>
      <c r="F243" s="4">
        <v>206.1043018</v>
      </c>
      <c r="G243" s="4">
        <v>546.17639980000001</v>
      </c>
      <c r="H243" s="4">
        <v>85.759999978980019</v>
      </c>
      <c r="I243" s="4">
        <v>8.5759999978980025E-2</v>
      </c>
      <c r="J243" s="4">
        <v>8.5759999978980022E-5</v>
      </c>
      <c r="K243" s="4">
        <v>0.18906821115365893</v>
      </c>
      <c r="L243" s="3">
        <v>1.1599999999999999E-2</v>
      </c>
      <c r="M243" s="3">
        <v>3</v>
      </c>
      <c r="N243" s="4">
        <v>19.480895992192735</v>
      </c>
      <c r="O243" s="4">
        <v>0.61656422900631602</v>
      </c>
      <c r="P243" s="4">
        <v>11.373526598035458</v>
      </c>
      <c r="Q243" s="4">
        <v>28.888757559010063</v>
      </c>
      <c r="R243" s="2">
        <v>279.66916248891692</v>
      </c>
      <c r="S243" s="2">
        <v>672.12007327305196</v>
      </c>
      <c r="T243" s="2">
        <v>1781.1181941735877</v>
      </c>
      <c r="U243" s="2">
        <v>29.172666666666665</v>
      </c>
      <c r="V243" s="2">
        <v>0.92646666666666677</v>
      </c>
      <c r="W243" s="2">
        <v>0</v>
      </c>
    </row>
    <row r="244" spans="1:23" x14ac:dyDescent="0.25">
      <c r="A244" s="4" t="s">
        <v>33</v>
      </c>
      <c r="B244" s="4" t="s">
        <v>34</v>
      </c>
      <c r="C244" s="4">
        <v>5</v>
      </c>
      <c r="D244" s="4">
        <v>2</v>
      </c>
      <c r="E244" s="4">
        <v>10</v>
      </c>
      <c r="F244" s="4">
        <v>1550.4325879999999</v>
      </c>
      <c r="G244" s="4">
        <v>4108.6463590000003</v>
      </c>
      <c r="H244" s="4">
        <v>645.13499990000003</v>
      </c>
      <c r="I244" s="4">
        <v>0.64513500000000001</v>
      </c>
      <c r="J244" s="4">
        <v>6.4513500000000002E-4</v>
      </c>
      <c r="K244" s="4">
        <v>1.422277523</v>
      </c>
      <c r="L244" s="4">
        <v>1.4999999999999999E-2</v>
      </c>
      <c r="M244" s="4">
        <v>3</v>
      </c>
      <c r="N244" s="4">
        <v>35.036424660000002</v>
      </c>
      <c r="O244" s="4">
        <v>4.668507847038887</v>
      </c>
      <c r="P244" s="4">
        <v>20.499848291538999</v>
      </c>
      <c r="Q244" s="4">
        <v>52.06961466050906</v>
      </c>
      <c r="R244" s="4">
        <v>2117.6020570614833</v>
      </c>
      <c r="S244" s="4">
        <v>5089.166202983617</v>
      </c>
      <c r="T244" s="4">
        <v>13486.290437906584</v>
      </c>
      <c r="U244" s="4">
        <v>58.9</v>
      </c>
      <c r="V244" s="4">
        <v>0.22</v>
      </c>
      <c r="W244" s="4">
        <v>0.20699999999999999</v>
      </c>
    </row>
    <row r="245" spans="1:23" x14ac:dyDescent="0.25">
      <c r="A245" s="4" t="s">
        <v>35</v>
      </c>
      <c r="B245" s="4" t="s">
        <v>36</v>
      </c>
      <c r="C245" s="4">
        <v>5</v>
      </c>
      <c r="D245" s="4">
        <v>1</v>
      </c>
      <c r="E245" s="4">
        <v>5</v>
      </c>
      <c r="F245" s="4">
        <v>206.1043018</v>
      </c>
      <c r="G245" s="4">
        <v>546.17639980000001</v>
      </c>
      <c r="H245" s="4">
        <v>85.759999980000003</v>
      </c>
      <c r="I245" s="4">
        <v>8.5760000000000003E-2</v>
      </c>
      <c r="J245" s="4">
        <v>8.5799999999999998E-5</v>
      </c>
      <c r="K245" s="4">
        <v>0.18906821100000001</v>
      </c>
      <c r="L245" s="4">
        <v>2.1000000000000001E-2</v>
      </c>
      <c r="M245" s="4">
        <v>3</v>
      </c>
      <c r="N245" s="4">
        <v>15.98411121</v>
      </c>
      <c r="O245" s="4">
        <v>0.41371223377968153</v>
      </c>
      <c r="P245" s="4">
        <v>8.1698620854543638</v>
      </c>
      <c r="Q245" s="4">
        <v>20.751449697054085</v>
      </c>
      <c r="R245" s="4">
        <v>187.65693578924328</v>
      </c>
      <c r="S245" s="4">
        <v>450.98999228368967</v>
      </c>
      <c r="T245" s="4">
        <v>1195.1234795517776</v>
      </c>
      <c r="U245" s="4">
        <v>21.02</v>
      </c>
      <c r="V245" s="4">
        <v>0.86</v>
      </c>
      <c r="W245" s="4">
        <v>-6.9989999999999997E-2</v>
      </c>
    </row>
    <row r="246" spans="1:23" x14ac:dyDescent="0.25">
      <c r="A246" s="4" t="s">
        <v>37</v>
      </c>
      <c r="B246" s="4" t="s">
        <v>38</v>
      </c>
      <c r="C246" s="4">
        <v>5</v>
      </c>
      <c r="D246" s="4">
        <v>9</v>
      </c>
      <c r="E246" s="4">
        <v>45</v>
      </c>
      <c r="F246" s="4">
        <v>1772528355</v>
      </c>
      <c r="G246" s="4">
        <v>4697200141</v>
      </c>
      <c r="H246" s="4">
        <v>737549048.5</v>
      </c>
      <c r="I246" s="4">
        <v>737549.04850000003</v>
      </c>
      <c r="J246" s="4">
        <v>737.54904850000003</v>
      </c>
      <c r="K246" s="4">
        <v>1626015.3829999999</v>
      </c>
      <c r="L246" s="2">
        <v>6.0000000000000001E-3</v>
      </c>
      <c r="M246" s="4">
        <v>3</v>
      </c>
      <c r="N246" s="4">
        <v>1544.9709</v>
      </c>
      <c r="O246" s="4">
        <v>122040.4882017644</v>
      </c>
      <c r="P246" s="4">
        <v>825.73228332486144</v>
      </c>
      <c r="Q246" s="4">
        <v>2097.359999645148</v>
      </c>
      <c r="R246" s="2">
        <v>55356700.11238417</v>
      </c>
      <c r="S246" s="2">
        <v>133037010.60414363</v>
      </c>
      <c r="T246" s="2">
        <v>352548078.10098064</v>
      </c>
      <c r="U246" s="2">
        <v>2097.3599999999997</v>
      </c>
      <c r="V246" s="2">
        <v>0.5</v>
      </c>
      <c r="W246" s="2">
        <v>0</v>
      </c>
    </row>
    <row r="247" spans="1:23" x14ac:dyDescent="0.25">
      <c r="A247" s="4" t="s">
        <v>39</v>
      </c>
      <c r="B247" s="4" t="s">
        <v>40</v>
      </c>
      <c r="C247" s="4">
        <v>5</v>
      </c>
      <c r="D247" s="4">
        <v>2</v>
      </c>
      <c r="E247" s="4">
        <v>10</v>
      </c>
      <c r="F247" s="4">
        <v>23666.30617</v>
      </c>
      <c r="G247" s="4">
        <v>62715.711360000001</v>
      </c>
      <c r="H247" s="4">
        <v>9847.5499970000001</v>
      </c>
      <c r="I247" s="4">
        <v>9.8475499969999998</v>
      </c>
      <c r="J247" s="4">
        <v>9.8475500000000001E-3</v>
      </c>
      <c r="K247" s="4">
        <v>21.710105680000002</v>
      </c>
      <c r="L247" s="4">
        <v>1.2E-2</v>
      </c>
      <c r="M247" s="4">
        <v>3</v>
      </c>
      <c r="N247" s="4">
        <v>93.622948879999996</v>
      </c>
      <c r="O247" s="4">
        <v>26.428599951476155</v>
      </c>
      <c r="P247" s="4">
        <v>39.356760088396037</v>
      </c>
      <c r="Q247" s="4">
        <v>99.96617062452593</v>
      </c>
      <c r="R247" s="4">
        <v>11987.825544300675</v>
      </c>
      <c r="S247" s="4">
        <v>28809.962855805512</v>
      </c>
      <c r="T247" s="4">
        <v>76346.401567884604</v>
      </c>
      <c r="U247" s="4">
        <v>150.93</v>
      </c>
      <c r="V247" s="4">
        <v>0.11</v>
      </c>
      <c r="W247" s="4">
        <v>0.13</v>
      </c>
    </row>
    <row r="248" spans="1:23" x14ac:dyDescent="0.25">
      <c r="A248" s="4" t="s">
        <v>41</v>
      </c>
      <c r="B248" s="4" t="s">
        <v>42</v>
      </c>
      <c r="C248" s="4">
        <v>5</v>
      </c>
      <c r="D248" s="4">
        <v>4</v>
      </c>
      <c r="E248" s="4">
        <v>20</v>
      </c>
      <c r="F248" s="4">
        <v>12752.861699999999</v>
      </c>
      <c r="G248" s="4">
        <v>33795.083509999997</v>
      </c>
      <c r="H248" s="4">
        <v>5306.4657530000004</v>
      </c>
      <c r="I248" s="4">
        <v>5.3064657530000003</v>
      </c>
      <c r="J248" s="4">
        <v>5.3064660000000001E-3</v>
      </c>
      <c r="K248" s="4">
        <v>11.69874053</v>
      </c>
      <c r="L248" s="4">
        <v>1.34E-2</v>
      </c>
      <c r="M248" s="4">
        <v>3.1</v>
      </c>
      <c r="N248" s="4">
        <v>63.930758990000001</v>
      </c>
      <c r="O248" s="4">
        <v>27.543129144945357</v>
      </c>
      <c r="P248" s="4">
        <v>33.176880876304679</v>
      </c>
      <c r="Q248" s="4">
        <v>84.269277425813883</v>
      </c>
      <c r="R248" s="4">
        <v>12493.368083817328</v>
      </c>
      <c r="S248" s="4">
        <v>30024.917288674184</v>
      </c>
      <c r="T248" s="4">
        <v>79566.030814986589</v>
      </c>
      <c r="U248" s="4">
        <v>91.5</v>
      </c>
      <c r="V248" s="4">
        <v>0.12690000000000001</v>
      </c>
      <c r="W248" s="4">
        <v>0</v>
      </c>
    </row>
    <row r="249" spans="1:23" x14ac:dyDescent="0.25">
      <c r="A249" s="4" t="s">
        <v>43</v>
      </c>
      <c r="B249" s="4" t="s">
        <v>44</v>
      </c>
      <c r="C249" s="4">
        <v>5</v>
      </c>
      <c r="D249" s="4">
        <v>2</v>
      </c>
      <c r="E249" s="4">
        <v>10</v>
      </c>
      <c r="F249" s="4">
        <v>1550.4325879999999</v>
      </c>
      <c r="G249" s="4">
        <v>4108.6463590000003</v>
      </c>
      <c r="H249" s="4">
        <v>645.13499990000003</v>
      </c>
      <c r="I249" s="4">
        <v>0.64513500000000001</v>
      </c>
      <c r="J249" s="4">
        <v>6.4513500000000002E-4</v>
      </c>
      <c r="K249" s="4">
        <v>1.422277523</v>
      </c>
      <c r="L249" s="4">
        <v>1.44E-2</v>
      </c>
      <c r="M249" s="4">
        <v>3</v>
      </c>
      <c r="N249" s="4">
        <v>35.51643533</v>
      </c>
      <c r="O249" s="4">
        <v>3.3157267116091043</v>
      </c>
      <c r="P249" s="4">
        <v>18.540742160130975</v>
      </c>
      <c r="Q249" s="4">
        <v>47.093485086732677</v>
      </c>
      <c r="R249" s="2">
        <v>1503.9901260122399</v>
      </c>
      <c r="S249" s="2">
        <v>3614.4920115651048</v>
      </c>
      <c r="T249" s="2">
        <v>9578.4038306475268</v>
      </c>
      <c r="U249" s="2">
        <v>47.633333333333333</v>
      </c>
      <c r="V249" s="2">
        <v>0.44799999999999995</v>
      </c>
      <c r="W249" s="2">
        <v>0</v>
      </c>
    </row>
    <row r="250" spans="1:23" x14ac:dyDescent="0.25">
      <c r="A250" s="4" t="s">
        <v>45</v>
      </c>
      <c r="B250" s="4" t="s">
        <v>46</v>
      </c>
      <c r="C250" s="4">
        <v>5</v>
      </c>
      <c r="D250" s="4">
        <v>5</v>
      </c>
      <c r="E250" s="4">
        <v>25</v>
      </c>
      <c r="F250" s="4">
        <v>7003.1900919999998</v>
      </c>
      <c r="G250" s="4">
        <v>18558.453740000001</v>
      </c>
      <c r="H250" s="4">
        <v>2914.0273969999998</v>
      </c>
      <c r="I250" s="4">
        <v>2.9140273969999999</v>
      </c>
      <c r="J250" s="4">
        <v>2.914027E-3</v>
      </c>
      <c r="K250" s="4">
        <v>6.4243230809999998</v>
      </c>
      <c r="L250" s="4">
        <v>3.96E-3</v>
      </c>
      <c r="M250" s="4">
        <v>3.2</v>
      </c>
      <c r="N250" s="4">
        <v>68.135667350000006</v>
      </c>
      <c r="O250" s="4">
        <v>737.93004883363142</v>
      </c>
      <c r="P250" s="4">
        <v>118.12708624174343</v>
      </c>
      <c r="Q250" s="4">
        <v>300.04279905402831</v>
      </c>
      <c r="R250" s="2">
        <v>334719.83781043056</v>
      </c>
      <c r="S250" s="2">
        <v>804421.62415388261</v>
      </c>
      <c r="T250" s="2">
        <v>2131717.3040077887</v>
      </c>
      <c r="U250" s="2">
        <v>300.78571428571428</v>
      </c>
      <c r="V250" s="2">
        <v>0.24014285714285719</v>
      </c>
      <c r="W250" s="2">
        <v>0</v>
      </c>
    </row>
    <row r="251" spans="1:23" x14ac:dyDescent="0.25">
      <c r="A251" s="2" t="s">
        <v>47</v>
      </c>
      <c r="B251" s="4" t="s">
        <v>48</v>
      </c>
      <c r="C251" s="4">
        <v>5</v>
      </c>
      <c r="D251" s="4">
        <v>1</v>
      </c>
      <c r="E251" s="4">
        <v>5</v>
      </c>
      <c r="F251" s="4">
        <v>254.74645520000001</v>
      </c>
      <c r="G251" s="4">
        <v>675.07810619999998</v>
      </c>
      <c r="H251" s="4">
        <v>106.00000000872002</v>
      </c>
      <c r="I251" s="4">
        <v>0.10600000000872002</v>
      </c>
      <c r="J251" s="4">
        <v>1.0600000000872002E-4</v>
      </c>
      <c r="K251" s="4">
        <v>0.23368972001922431</v>
      </c>
      <c r="L251" s="3">
        <v>1.23E-2</v>
      </c>
      <c r="M251" s="3">
        <v>3.2</v>
      </c>
      <c r="N251" s="4">
        <v>16.975115407979288</v>
      </c>
      <c r="O251" s="4">
        <v>2.8535096232610093</v>
      </c>
      <c r="P251" s="4">
        <v>14.607812493572116</v>
      </c>
      <c r="Q251" s="4">
        <v>37.103843733673173</v>
      </c>
      <c r="R251" s="2">
        <v>1294.3317321175573</v>
      </c>
      <c r="S251" s="2">
        <v>3110.6266092707456</v>
      </c>
      <c r="T251" s="2">
        <v>8243.1605145674748</v>
      </c>
      <c r="U251" s="2">
        <v>39.200000000000003</v>
      </c>
      <c r="V251" s="2">
        <v>0.58571428571428563</v>
      </c>
      <c r="W251" s="2">
        <v>0</v>
      </c>
    </row>
    <row r="252" spans="1:23" x14ac:dyDescent="0.25">
      <c r="A252" s="2" t="s">
        <v>49</v>
      </c>
      <c r="B252" s="4" t="s">
        <v>50</v>
      </c>
      <c r="C252" s="4">
        <v>5</v>
      </c>
      <c r="D252" s="4">
        <v>1</v>
      </c>
      <c r="E252" s="4">
        <v>5</v>
      </c>
      <c r="F252" s="4">
        <v>1550.4325879999999</v>
      </c>
      <c r="G252" s="4">
        <v>4108.6463590000003</v>
      </c>
      <c r="H252" s="4">
        <v>645.13499986679994</v>
      </c>
      <c r="I252" s="4">
        <v>0.6451349998667999</v>
      </c>
      <c r="J252" s="4">
        <v>6.4513499986679993E-4</v>
      </c>
      <c r="K252" s="4">
        <v>1.4222775234063443</v>
      </c>
      <c r="L252" s="3">
        <v>1.2E-2</v>
      </c>
      <c r="M252" s="3">
        <v>3.1</v>
      </c>
      <c r="N252" s="4">
        <v>33.570503685170742</v>
      </c>
      <c r="O252" s="4">
        <v>1.8703769643042842</v>
      </c>
      <c r="P252" s="4">
        <v>14.437547646630552</v>
      </c>
      <c r="Q252" s="4">
        <v>36.671371022441605</v>
      </c>
      <c r="R252" s="2">
        <v>848.38972898017994</v>
      </c>
      <c r="S252" s="2">
        <v>2038.9082647925497</v>
      </c>
      <c r="T252" s="2">
        <v>5403.1069017002565</v>
      </c>
      <c r="U252" s="2">
        <v>54.3</v>
      </c>
      <c r="V252" s="2">
        <v>0.22500000000000001</v>
      </c>
      <c r="W252" s="2">
        <v>0</v>
      </c>
    </row>
    <row r="253" spans="1:23" x14ac:dyDescent="0.25">
      <c r="A253" s="2" t="s">
        <v>51</v>
      </c>
      <c r="B253" s="4" t="s">
        <v>52</v>
      </c>
      <c r="C253" s="4">
        <v>5</v>
      </c>
      <c r="D253" s="4">
        <v>1</v>
      </c>
      <c r="E253" s="4">
        <v>5</v>
      </c>
      <c r="F253" s="4">
        <v>2636.890171</v>
      </c>
      <c r="G253" s="4">
        <v>6987.7589529999996</v>
      </c>
      <c r="H253" s="4">
        <v>1097.2100001530998</v>
      </c>
      <c r="I253" s="4">
        <v>1.0972100001530998</v>
      </c>
      <c r="J253" s="4">
        <v>1.0972100001530997E-3</v>
      </c>
      <c r="K253" s="4">
        <v>2.4189311105375264</v>
      </c>
      <c r="L253" s="3">
        <v>1.24E-2</v>
      </c>
      <c r="M253" s="3">
        <v>3.2</v>
      </c>
      <c r="N253" s="4">
        <v>35.147648337383011</v>
      </c>
      <c r="O253" s="4">
        <v>0.11418347013324644</v>
      </c>
      <c r="P253" s="4">
        <v>5.3294356633460485</v>
      </c>
      <c r="Q253" s="4">
        <v>13.536766584898963</v>
      </c>
      <c r="R253" s="2">
        <v>51.792812427196722</v>
      </c>
      <c r="S253" s="2">
        <v>124.47203178850451</v>
      </c>
      <c r="T253" s="2">
        <v>329.85088423953692</v>
      </c>
      <c r="U253" s="4">
        <v>20.9</v>
      </c>
      <c r="V253" s="4">
        <v>0.19500000000000001</v>
      </c>
      <c r="W253" s="4">
        <v>-0.35</v>
      </c>
    </row>
    <row r="254" spans="1:23" x14ac:dyDescent="0.25">
      <c r="A254" s="4" t="s">
        <v>53</v>
      </c>
      <c r="B254" s="4" t="s">
        <v>54</v>
      </c>
      <c r="C254" s="4">
        <v>5</v>
      </c>
      <c r="D254" s="4">
        <v>2</v>
      </c>
      <c r="E254" s="4">
        <v>10</v>
      </c>
      <c r="F254" s="4">
        <v>2636.890171</v>
      </c>
      <c r="G254" s="4">
        <v>6987.7589529999996</v>
      </c>
      <c r="H254" s="4">
        <v>1097.21</v>
      </c>
      <c r="I254" s="4">
        <v>1.09721</v>
      </c>
      <c r="J254" s="4">
        <v>1.0972099999999999E-3</v>
      </c>
      <c r="K254" s="4">
        <v>2.418931111</v>
      </c>
      <c r="L254" s="4">
        <v>1.2E-2</v>
      </c>
      <c r="M254" s="4">
        <v>2.95</v>
      </c>
      <c r="N254" s="4">
        <v>48.054238410000004</v>
      </c>
      <c r="O254" s="4">
        <v>0.83517717152534021</v>
      </c>
      <c r="P254" s="4">
        <v>13.192903745605465</v>
      </c>
      <c r="Q254" s="4">
        <v>33.50997551383788</v>
      </c>
      <c r="R254" s="4">
        <v>378.83044312640737</v>
      </c>
      <c r="S254" s="4">
        <v>910.43125000338216</v>
      </c>
      <c r="T254" s="4">
        <v>2412.6428125089628</v>
      </c>
      <c r="U254" s="4">
        <v>41</v>
      </c>
      <c r="V254" s="4">
        <v>0.17</v>
      </c>
      <c r="W254" s="4">
        <v>0</v>
      </c>
    </row>
    <row r="255" spans="1:23" x14ac:dyDescent="0.25">
      <c r="A255" s="4" t="s">
        <v>55</v>
      </c>
      <c r="B255" s="4" t="s">
        <v>56</v>
      </c>
      <c r="C255" s="4">
        <v>5</v>
      </c>
      <c r="D255" s="4">
        <v>1</v>
      </c>
      <c r="E255" s="4">
        <v>5</v>
      </c>
      <c r="F255" s="4">
        <v>2142.0331649999998</v>
      </c>
      <c r="G255" s="4">
        <v>5676.3878869999999</v>
      </c>
      <c r="H255" s="4">
        <v>891.3</v>
      </c>
      <c r="I255" s="4">
        <v>0.89129999999999998</v>
      </c>
      <c r="J255" s="4">
        <v>8.9130000000000003E-4</v>
      </c>
      <c r="K255" s="4">
        <v>1.964977806</v>
      </c>
      <c r="L255" s="4">
        <v>1.2999999999999999E-2</v>
      </c>
      <c r="M255" s="4">
        <v>3</v>
      </c>
      <c r="N255" s="4">
        <v>40.928596409999997</v>
      </c>
      <c r="O255" s="4">
        <v>5.3436950694669401</v>
      </c>
      <c r="P255" s="4">
        <v>22.491640895049091</v>
      </c>
      <c r="Q255" s="4">
        <v>57.128767873424692</v>
      </c>
      <c r="R255" s="4">
        <v>2423.8621936963923</v>
      </c>
      <c r="S255" s="4">
        <v>5825.1915253458119</v>
      </c>
      <c r="T255" s="4">
        <v>15436.757542166401</v>
      </c>
      <c r="U255" s="4">
        <v>152</v>
      </c>
      <c r="V255" s="4">
        <v>9.6000000000000002E-2</v>
      </c>
      <c r="W255" s="4">
        <v>0.09</v>
      </c>
    </row>
    <row r="256" spans="1:23" x14ac:dyDescent="0.25">
      <c r="A256" s="4" t="s">
        <v>57</v>
      </c>
      <c r="B256" s="4" t="s">
        <v>58</v>
      </c>
      <c r="C256" s="4">
        <v>5</v>
      </c>
      <c r="D256" s="4">
        <v>2</v>
      </c>
      <c r="E256" s="4">
        <v>10</v>
      </c>
      <c r="F256" s="4">
        <v>6717.4957940000004</v>
      </c>
      <c r="G256" s="4">
        <v>17801.363850000002</v>
      </c>
      <c r="H256" s="4">
        <v>2795.15</v>
      </c>
      <c r="I256" s="4">
        <v>2.79515</v>
      </c>
      <c r="J256" s="4">
        <v>2.7951500000000002E-3</v>
      </c>
      <c r="K256" s="4">
        <v>6.1622435930000004</v>
      </c>
      <c r="L256" s="4">
        <v>4.0000000000000001E-3</v>
      </c>
      <c r="M256" s="4">
        <v>3.1</v>
      </c>
      <c r="N256" s="4">
        <v>61.873930319999999</v>
      </c>
      <c r="O256" s="4">
        <v>4.9540670098420607</v>
      </c>
      <c r="P256" s="4">
        <v>28.17511414370523</v>
      </c>
      <c r="Q256" s="4">
        <v>71.564789925011283</v>
      </c>
      <c r="R256" s="4">
        <v>2247.12966853338</v>
      </c>
      <c r="S256" s="4">
        <v>5400.4558244012987</v>
      </c>
      <c r="T256" s="4">
        <v>14311.207934663442</v>
      </c>
      <c r="U256" s="4">
        <v>72.900000000000006</v>
      </c>
      <c r="V256" s="4">
        <v>0.4</v>
      </c>
      <c r="W256" s="4">
        <v>0</v>
      </c>
    </row>
    <row r="257" spans="1:23" x14ac:dyDescent="0.25">
      <c r="A257" s="4" t="s">
        <v>59</v>
      </c>
      <c r="B257" s="4" t="s">
        <v>60</v>
      </c>
      <c r="C257" s="4">
        <v>5</v>
      </c>
      <c r="D257" s="4">
        <v>2</v>
      </c>
      <c r="E257" s="4">
        <v>10</v>
      </c>
      <c r="F257" s="4">
        <v>2636.890171</v>
      </c>
      <c r="G257" s="4">
        <v>6987.7589529999996</v>
      </c>
      <c r="H257" s="4">
        <v>1097.21</v>
      </c>
      <c r="I257" s="4">
        <v>1.09721</v>
      </c>
      <c r="J257" s="4">
        <v>1.0972099999999999E-3</v>
      </c>
      <c r="K257" s="4">
        <v>2.418931111</v>
      </c>
      <c r="L257" s="4">
        <v>1.6799999999999999E-2</v>
      </c>
      <c r="M257" s="4">
        <v>3.1</v>
      </c>
      <c r="N257" s="4">
        <v>35.745346249999997</v>
      </c>
      <c r="O257" s="4">
        <v>132.40952428635586</v>
      </c>
      <c r="P257" s="4">
        <v>51.183071936580546</v>
      </c>
      <c r="Q257" s="4">
        <v>130.0050027189146</v>
      </c>
      <c r="R257" s="4">
        <v>60060.021358037149</v>
      </c>
      <c r="S257" s="4">
        <v>144340.3541409208</v>
      </c>
      <c r="T257" s="4">
        <v>382501.93847344012</v>
      </c>
      <c r="U257" s="4">
        <v>263.2</v>
      </c>
      <c r="V257" s="4">
        <v>7.0000000000000007E-2</v>
      </c>
      <c r="W257" s="4">
        <v>0.27</v>
      </c>
    </row>
    <row r="258" spans="1:23" x14ac:dyDescent="0.25">
      <c r="A258" s="4" t="s">
        <v>61</v>
      </c>
      <c r="B258" s="4" t="s">
        <v>62</v>
      </c>
      <c r="C258" s="4">
        <v>5</v>
      </c>
      <c r="D258" s="4">
        <v>1</v>
      </c>
      <c r="E258" s="4">
        <v>5</v>
      </c>
      <c r="F258" s="4">
        <v>286.37346789999998</v>
      </c>
      <c r="G258" s="4">
        <v>758.88968990000001</v>
      </c>
      <c r="H258" s="4">
        <v>119.16</v>
      </c>
      <c r="I258" s="4">
        <v>0.11916</v>
      </c>
      <c r="J258" s="4">
        <v>1.1916E-4</v>
      </c>
      <c r="K258" s="4">
        <v>0.26270251900000002</v>
      </c>
      <c r="L258" s="4">
        <v>1.2500000000000001E-2</v>
      </c>
      <c r="M258" s="4">
        <v>3</v>
      </c>
      <c r="N258" s="4">
        <v>21.203464490000002</v>
      </c>
      <c r="O258" s="4">
        <v>0.46162510404551982</v>
      </c>
      <c r="P258" s="4">
        <v>10.073525827066911</v>
      </c>
      <c r="Q258" s="4">
        <v>25.586755600749953</v>
      </c>
      <c r="R258" s="4">
        <v>209.38987401253723</v>
      </c>
      <c r="S258" s="4">
        <v>503.22007693472062</v>
      </c>
      <c r="T258" s="4">
        <v>1333.5332038770096</v>
      </c>
      <c r="U258" s="4">
        <v>33.700000000000003</v>
      </c>
      <c r="V258" s="4">
        <v>0.32</v>
      </c>
      <c r="W258" s="4">
        <v>0.55000000000000004</v>
      </c>
    </row>
    <row r="259" spans="1:23" x14ac:dyDescent="0.25">
      <c r="A259" s="4" t="s">
        <v>63</v>
      </c>
      <c r="B259" s="4" t="s">
        <v>64</v>
      </c>
      <c r="C259" s="4">
        <v>5</v>
      </c>
      <c r="D259" s="4">
        <v>2</v>
      </c>
      <c r="E259" s="4">
        <v>10</v>
      </c>
      <c r="F259" s="4">
        <v>1550.4325879999999</v>
      </c>
      <c r="G259" s="4">
        <v>4108.6463590000003</v>
      </c>
      <c r="H259" s="4">
        <v>645.13499990000003</v>
      </c>
      <c r="I259" s="4">
        <v>0.64513500000000001</v>
      </c>
      <c r="J259" s="4">
        <v>6.4513500000000002E-4</v>
      </c>
      <c r="K259" s="4">
        <v>1.422277523</v>
      </c>
      <c r="L259" s="4">
        <v>1.2E-2</v>
      </c>
      <c r="M259" s="4">
        <v>3.1</v>
      </c>
      <c r="N259" s="4">
        <v>33.570503690000002</v>
      </c>
      <c r="O259" s="4">
        <v>2.870289386316494</v>
      </c>
      <c r="P259" s="4">
        <v>16.576480015047345</v>
      </c>
      <c r="Q259" s="4">
        <v>42.104259238220259</v>
      </c>
      <c r="R259" s="4">
        <v>1301.9429136615354</v>
      </c>
      <c r="S259" s="4">
        <v>3128.9183217052046</v>
      </c>
      <c r="T259" s="4">
        <v>8291.6335525187915</v>
      </c>
      <c r="U259" s="4">
        <v>42.5</v>
      </c>
      <c r="V259" s="4">
        <v>0.47</v>
      </c>
      <c r="W259" s="4">
        <v>0.05</v>
      </c>
    </row>
    <row r="260" spans="1:23" x14ac:dyDescent="0.25">
      <c r="A260" s="4" t="s">
        <v>65</v>
      </c>
      <c r="B260" s="4" t="s">
        <v>66</v>
      </c>
      <c r="C260" s="4">
        <v>5</v>
      </c>
      <c r="D260" s="4">
        <v>3</v>
      </c>
      <c r="E260" s="4">
        <v>15</v>
      </c>
      <c r="F260" s="4">
        <v>7000</v>
      </c>
      <c r="G260" s="4">
        <v>18550</v>
      </c>
      <c r="H260" s="4">
        <v>2912.7</v>
      </c>
      <c r="I260" s="4">
        <v>2.9127000000000001</v>
      </c>
      <c r="J260" s="4">
        <v>2.9126999999999998E-3</v>
      </c>
      <c r="K260" s="4">
        <v>6.4213966740000004</v>
      </c>
      <c r="L260" s="4">
        <v>1.2699999999999999E-2</v>
      </c>
      <c r="M260" s="4">
        <v>3.1</v>
      </c>
      <c r="N260" s="4">
        <v>53.603232339999998</v>
      </c>
      <c r="O260" s="4">
        <v>7.187296345346331</v>
      </c>
      <c r="P260" s="4">
        <v>21.884825393889749</v>
      </c>
      <c r="Q260" s="4">
        <v>55.587456500479959</v>
      </c>
      <c r="R260" s="4">
        <v>3260.1066602617825</v>
      </c>
      <c r="S260" s="4">
        <v>7834.9114642196164</v>
      </c>
      <c r="T260" s="4">
        <v>20762.515380181983</v>
      </c>
      <c r="U260" s="4">
        <v>58.5</v>
      </c>
      <c r="V260" s="4">
        <v>0.2</v>
      </c>
      <c r="W260" s="4">
        <v>0</v>
      </c>
    </row>
    <row r="261" spans="1:23" x14ac:dyDescent="0.25">
      <c r="A261" s="4" t="s">
        <v>67</v>
      </c>
      <c r="B261" s="4" t="s">
        <v>68</v>
      </c>
      <c r="C261" s="4">
        <v>5</v>
      </c>
      <c r="D261" s="4">
        <v>1</v>
      </c>
      <c r="E261" s="4">
        <v>5</v>
      </c>
      <c r="F261" s="4">
        <v>437.81</v>
      </c>
      <c r="G261" s="4">
        <v>1160.21</v>
      </c>
      <c r="H261" s="4">
        <v>182.172741</v>
      </c>
      <c r="I261" s="4">
        <v>0.182172741</v>
      </c>
      <c r="J261" s="4">
        <v>1.8217299999999999E-4</v>
      </c>
      <c r="K261" s="4">
        <v>0.40162166799999999</v>
      </c>
      <c r="L261" s="4">
        <v>1.29E-2</v>
      </c>
      <c r="M261" s="4">
        <v>3.05</v>
      </c>
      <c r="N261" s="4">
        <v>22.941450830000001</v>
      </c>
      <c r="O261" s="4">
        <v>0.62700864797761546</v>
      </c>
      <c r="P261" s="4">
        <v>10.452387193228118</v>
      </c>
      <c r="Q261" s="4">
        <v>26.549063470799421</v>
      </c>
      <c r="R261" s="4">
        <v>284.40667687747344</v>
      </c>
      <c r="S261" s="4">
        <v>683.50559211120753</v>
      </c>
      <c r="T261" s="4">
        <v>1811.2898190946999</v>
      </c>
      <c r="U261" s="4">
        <v>42</v>
      </c>
      <c r="V261" s="4">
        <v>0.2</v>
      </c>
      <c r="W261" s="4">
        <v>0</v>
      </c>
    </row>
    <row r="262" spans="1:23" x14ac:dyDescent="0.25">
      <c r="A262" s="4" t="s">
        <v>69</v>
      </c>
      <c r="B262" s="4" t="s">
        <v>70</v>
      </c>
      <c r="C262" s="4">
        <v>5</v>
      </c>
      <c r="D262" s="4">
        <v>1</v>
      </c>
      <c r="E262" s="4">
        <v>5</v>
      </c>
      <c r="F262" s="4">
        <v>254.74645520000001</v>
      </c>
      <c r="G262" s="4">
        <v>675.07810619999998</v>
      </c>
      <c r="H262" s="4">
        <v>106</v>
      </c>
      <c r="I262" s="4">
        <v>0.106</v>
      </c>
      <c r="J262" s="4">
        <v>1.06E-4</v>
      </c>
      <c r="K262" s="4">
        <v>0.23368971999999999</v>
      </c>
      <c r="L262" s="4">
        <v>0.01</v>
      </c>
      <c r="M262" s="4">
        <v>2.9</v>
      </c>
      <c r="N262" s="4">
        <v>24.43635948</v>
      </c>
      <c r="O262" s="4">
        <v>0.29427088552397013</v>
      </c>
      <c r="P262" s="4">
        <v>10.416520695076082</v>
      </c>
      <c r="Q262" s="4">
        <v>26.457962565493247</v>
      </c>
      <c r="R262" s="4">
        <v>133.47918712701969</v>
      </c>
      <c r="S262" s="4">
        <v>320.7863184980045</v>
      </c>
      <c r="T262" s="4">
        <v>850.08374401971196</v>
      </c>
      <c r="U262" s="4">
        <v>37.700000000000003</v>
      </c>
      <c r="V262" s="4">
        <v>0.24199999999999999</v>
      </c>
      <c r="W262" s="4">
        <v>0</v>
      </c>
    </row>
    <row r="263" spans="1:23" x14ac:dyDescent="0.25">
      <c r="A263" s="2" t="s">
        <v>71</v>
      </c>
      <c r="B263" s="4" t="s">
        <v>72</v>
      </c>
      <c r="C263" s="4">
        <v>5</v>
      </c>
      <c r="D263" s="4">
        <v>1</v>
      </c>
      <c r="E263" s="4">
        <v>5</v>
      </c>
      <c r="F263" s="4">
        <v>5.0949291030000001</v>
      </c>
      <c r="G263" s="4">
        <v>13.501562119999999</v>
      </c>
      <c r="H263" s="4">
        <v>2.1199999997583001</v>
      </c>
      <c r="I263" s="4">
        <v>2.1199999997583E-3</v>
      </c>
      <c r="J263" s="4">
        <v>2.1199999997583E-6</v>
      </c>
      <c r="K263" s="4">
        <v>4.6737943994671427E-3</v>
      </c>
      <c r="L263" s="3">
        <v>1.0999999999999999E-2</v>
      </c>
      <c r="M263" s="3">
        <v>3.01</v>
      </c>
      <c r="N263" s="4">
        <v>5.7427159324658712</v>
      </c>
      <c r="O263" s="4">
        <v>9.1663110452539654E-3</v>
      </c>
      <c r="P263" s="4">
        <v>2.8279257236409849</v>
      </c>
      <c r="Q263" s="4">
        <v>7.1829313380481015</v>
      </c>
      <c r="R263" s="2">
        <v>4.1577736958087854</v>
      </c>
      <c r="S263" s="2">
        <v>9.9922463249430074</v>
      </c>
      <c r="T263" s="2">
        <v>26.479452761098969</v>
      </c>
      <c r="U263" s="4">
        <v>9</v>
      </c>
      <c r="V263" s="4">
        <v>0.32</v>
      </c>
      <c r="W263" s="4">
        <v>0</v>
      </c>
    </row>
    <row r="264" spans="1:23" x14ac:dyDescent="0.25">
      <c r="A264" s="4" t="s">
        <v>73</v>
      </c>
      <c r="B264" s="4" t="s">
        <v>74</v>
      </c>
      <c r="C264" s="4">
        <v>5</v>
      </c>
      <c r="D264" s="4">
        <v>2</v>
      </c>
      <c r="E264" s="4">
        <v>10</v>
      </c>
      <c r="F264" s="4">
        <v>1550.4325879999999</v>
      </c>
      <c r="G264" s="4">
        <v>4108.6463590000003</v>
      </c>
      <c r="H264" s="4">
        <v>645.13499990000003</v>
      </c>
      <c r="I264" s="4">
        <v>0.64513500000000001</v>
      </c>
      <c r="J264" s="4">
        <v>6.4513500000000002E-4</v>
      </c>
      <c r="K264" s="4">
        <v>1.422277523</v>
      </c>
      <c r="L264" s="4">
        <v>1.4E-2</v>
      </c>
      <c r="M264" s="4">
        <v>2.8</v>
      </c>
      <c r="N264" s="4">
        <v>46.296032510000003</v>
      </c>
      <c r="O264" s="4">
        <v>1.13011977039518</v>
      </c>
      <c r="P264" s="4">
        <v>16.789811368855172</v>
      </c>
      <c r="Q264" s="4">
        <v>42.646120876892141</v>
      </c>
      <c r="R264" s="4">
        <v>512.61431466428678</v>
      </c>
      <c r="S264" s="4">
        <v>1231.9498069317153</v>
      </c>
      <c r="T264" s="4">
        <v>3264.6669883690456</v>
      </c>
      <c r="U264" s="4">
        <v>43</v>
      </c>
      <c r="V264" s="4">
        <v>0.48</v>
      </c>
      <c r="W264" s="4">
        <v>0</v>
      </c>
    </row>
    <row r="265" spans="1:23" x14ac:dyDescent="0.25">
      <c r="A265" s="4" t="s">
        <v>75</v>
      </c>
      <c r="B265" s="4" t="s">
        <v>76</v>
      </c>
      <c r="C265" s="4">
        <v>5</v>
      </c>
      <c r="D265" s="4">
        <v>2</v>
      </c>
      <c r="E265" s="4">
        <v>10</v>
      </c>
      <c r="F265" s="4">
        <v>1550.4325879999999</v>
      </c>
      <c r="G265" s="4">
        <v>4108.6463590000003</v>
      </c>
      <c r="H265" s="4">
        <v>645.13499990000003</v>
      </c>
      <c r="I265" s="4">
        <v>0.64513500000000001</v>
      </c>
      <c r="J265" s="4">
        <v>6.4513500000000002E-4</v>
      </c>
      <c r="K265" s="4">
        <v>1.422277523</v>
      </c>
      <c r="L265" s="4">
        <v>2.5000000000000001E-3</v>
      </c>
      <c r="M265" s="4">
        <v>3.1</v>
      </c>
      <c r="N265" s="4">
        <v>55.681778100000002</v>
      </c>
      <c r="O265" s="4">
        <v>4.3997137170161444</v>
      </c>
      <c r="P265" s="4">
        <v>31.556283809022755</v>
      </c>
      <c r="Q265" s="4">
        <v>80.152960874917795</v>
      </c>
      <c r="R265" s="4">
        <v>1995.6789455852456</v>
      </c>
      <c r="S265" s="4">
        <v>4796.1522364461562</v>
      </c>
      <c r="T265" s="4">
        <v>12709.803426582313</v>
      </c>
      <c r="U265" s="4">
        <v>122</v>
      </c>
      <c r="V265" s="4">
        <v>0.107</v>
      </c>
      <c r="W265" s="4">
        <v>0</v>
      </c>
    </row>
    <row r="266" spans="1:23" x14ac:dyDescent="0.25">
      <c r="A266" s="4" t="s">
        <v>77</v>
      </c>
      <c r="B266" s="4" t="s">
        <v>78</v>
      </c>
      <c r="C266" s="4">
        <v>5</v>
      </c>
      <c r="D266" s="4">
        <v>3</v>
      </c>
      <c r="E266" s="4">
        <v>15</v>
      </c>
      <c r="F266" s="4">
        <v>171800.33780000001</v>
      </c>
      <c r="G266" s="4">
        <v>455270.89510000002</v>
      </c>
      <c r="H266" s="4">
        <v>71486.120559999996</v>
      </c>
      <c r="I266" s="4">
        <v>71.486120560000003</v>
      </c>
      <c r="J266" s="4">
        <v>7.1486121E-2</v>
      </c>
      <c r="K266" s="4">
        <v>157.59973110000001</v>
      </c>
      <c r="L266" s="4">
        <v>3.5000000000000003E-2</v>
      </c>
      <c r="M266" s="4">
        <v>2.9</v>
      </c>
      <c r="N266" s="4">
        <v>149.93915659999999</v>
      </c>
      <c r="O266" s="4">
        <v>408.83746436511427</v>
      </c>
      <c r="P266" s="4">
        <v>82.00461942742939</v>
      </c>
      <c r="Q266" s="4">
        <v>208.29173334567065</v>
      </c>
      <c r="R266" s="2">
        <v>185445.77494766185</v>
      </c>
      <c r="S266" s="2">
        <v>445675.97920610878</v>
      </c>
      <c r="T266" s="2">
        <v>1181041.3448961882</v>
      </c>
      <c r="U266" s="4">
        <v>208.40700000000004</v>
      </c>
      <c r="V266" s="4">
        <v>0.5</v>
      </c>
      <c r="W266" s="4">
        <v>0</v>
      </c>
    </row>
    <row r="267" spans="1:23" x14ac:dyDescent="0.25">
      <c r="A267" s="4" t="s">
        <v>79</v>
      </c>
      <c r="B267" s="4" t="s">
        <v>80</v>
      </c>
      <c r="C267" s="4">
        <v>5</v>
      </c>
      <c r="D267" s="4">
        <v>2</v>
      </c>
      <c r="E267" s="4">
        <v>10</v>
      </c>
      <c r="F267" s="4">
        <v>2636.890171</v>
      </c>
      <c r="G267" s="4">
        <v>6987.7589529999996</v>
      </c>
      <c r="H267" s="4">
        <v>1097.21</v>
      </c>
      <c r="I267" s="4">
        <v>1.09721</v>
      </c>
      <c r="J267" s="4">
        <v>1.0972099999999999E-3</v>
      </c>
      <c r="K267" s="4">
        <v>2.418931111</v>
      </c>
      <c r="L267" s="4">
        <v>3.3999999999999998E-3</v>
      </c>
      <c r="M267" s="4">
        <v>3.2850000000000001</v>
      </c>
      <c r="N267" s="4">
        <v>35.147648340000003</v>
      </c>
      <c r="O267" s="4">
        <v>2.666009883957372</v>
      </c>
      <c r="P267" s="4">
        <v>19.274510594189447</v>
      </c>
      <c r="Q267" s="4">
        <v>48.957256909241195</v>
      </c>
      <c r="R267" s="4">
        <v>1209.2831798483965</v>
      </c>
      <c r="S267" s="4">
        <v>2906.2321073020826</v>
      </c>
      <c r="T267" s="4">
        <v>7701.5150843505189</v>
      </c>
      <c r="U267" s="4">
        <v>59.9</v>
      </c>
      <c r="V267" s="4">
        <v>0.17</v>
      </c>
      <c r="W267" s="4">
        <v>0</v>
      </c>
    </row>
    <row r="268" spans="1:23" x14ac:dyDescent="0.25">
      <c r="A268" s="4" t="s">
        <v>81</v>
      </c>
      <c r="B268" s="4" t="s">
        <v>82</v>
      </c>
      <c r="C268" s="4">
        <v>5</v>
      </c>
      <c r="D268" s="4">
        <v>2</v>
      </c>
      <c r="E268" s="4">
        <v>10</v>
      </c>
      <c r="F268" s="4">
        <v>1550.4325879999999</v>
      </c>
      <c r="G268" s="4">
        <v>4108.6463590000003</v>
      </c>
      <c r="H268" s="4">
        <v>645.13499990000003</v>
      </c>
      <c r="I268" s="4">
        <v>0.64513500000000001</v>
      </c>
      <c r="J268" s="4">
        <v>6.4513500000000002E-4</v>
      </c>
      <c r="K268" s="4">
        <v>1.422277523</v>
      </c>
      <c r="L268" s="4">
        <v>1.4999999999999999E-2</v>
      </c>
      <c r="M268" s="4">
        <v>3</v>
      </c>
      <c r="N268" s="4">
        <v>35.036424660000002</v>
      </c>
      <c r="O268" s="4">
        <v>21.503708248125271</v>
      </c>
      <c r="P268" s="4">
        <v>34.108482854492181</v>
      </c>
      <c r="Q268" s="4">
        <v>86.635546450410132</v>
      </c>
      <c r="R268" s="4">
        <v>9753.9295879223046</v>
      </c>
      <c r="S268" s="4">
        <v>23441.3111942377</v>
      </c>
      <c r="T268" s="4">
        <v>62119.474664729903</v>
      </c>
      <c r="U268" s="4">
        <v>106</v>
      </c>
      <c r="V268" s="4">
        <v>0.17</v>
      </c>
      <c r="W268" s="4">
        <v>0</v>
      </c>
    </row>
    <row r="269" spans="1:23" x14ac:dyDescent="0.25">
      <c r="A269" s="4" t="s">
        <v>83</v>
      </c>
      <c r="B269" s="4" t="s">
        <v>84</v>
      </c>
      <c r="C269" s="4">
        <v>5</v>
      </c>
      <c r="D269" s="4">
        <v>7</v>
      </c>
      <c r="E269" s="4">
        <v>35</v>
      </c>
      <c r="F269" s="4">
        <v>43204.537799999998</v>
      </c>
      <c r="G269" s="4">
        <v>114492.325</v>
      </c>
      <c r="H269" s="4">
        <v>17977.408179999999</v>
      </c>
      <c r="I269" s="4">
        <v>17.977408180000001</v>
      </c>
      <c r="J269" s="4">
        <v>1.7977408E-2</v>
      </c>
      <c r="K269" s="4">
        <v>39.633353620000001</v>
      </c>
      <c r="L269" s="4">
        <v>5.4000000000000003E-3</v>
      </c>
      <c r="M269" s="4">
        <v>3</v>
      </c>
      <c r="N269" s="4">
        <v>149.3176363</v>
      </c>
      <c r="O269" s="4">
        <v>248.04590102666805</v>
      </c>
      <c r="P269" s="4">
        <v>108.33475379830827</v>
      </c>
      <c r="Q269" s="4">
        <v>275.17027464770302</v>
      </c>
      <c r="R269" s="4">
        <v>112511.86192027108</v>
      </c>
      <c r="S269" s="4">
        <v>270396.20745078364</v>
      </c>
      <c r="T269" s="4">
        <v>716549.94974457659</v>
      </c>
      <c r="U269" s="4">
        <v>280</v>
      </c>
      <c r="V269" s="4">
        <v>0.11600000000000001</v>
      </c>
      <c r="W269" s="4">
        <v>0</v>
      </c>
    </row>
    <row r="270" spans="1:23" x14ac:dyDescent="0.25">
      <c r="A270" s="4" t="s">
        <v>85</v>
      </c>
      <c r="B270" s="4" t="s">
        <v>86</v>
      </c>
      <c r="C270" s="4">
        <v>5</v>
      </c>
      <c r="D270" s="4">
        <v>7</v>
      </c>
      <c r="E270" s="4">
        <v>35</v>
      </c>
      <c r="F270" s="4">
        <v>43204.537799999998</v>
      </c>
      <c r="G270" s="4">
        <v>114492.325</v>
      </c>
      <c r="H270" s="4">
        <v>17977.408179999999</v>
      </c>
      <c r="I270" s="4">
        <v>17.977408180000001</v>
      </c>
      <c r="J270" s="4">
        <v>1.7977408E-2</v>
      </c>
      <c r="K270" s="4">
        <v>39.633353620000001</v>
      </c>
      <c r="L270" s="4">
        <v>5.2399999999999999E-3</v>
      </c>
      <c r="M270" s="4">
        <v>3.141</v>
      </c>
      <c r="N270" s="4">
        <v>120.4130632</v>
      </c>
      <c r="O270" s="4">
        <v>732.43834267098998</v>
      </c>
      <c r="P270" s="4">
        <v>119.98373069649152</v>
      </c>
      <c r="Q270" s="4">
        <v>304.75867596908847</v>
      </c>
      <c r="R270" s="2">
        <v>332228.83883435238</v>
      </c>
      <c r="S270" s="2">
        <v>798435.08491793415</v>
      </c>
      <c r="T270" s="2">
        <v>2115852.9750325256</v>
      </c>
      <c r="U270" s="4">
        <v>309.24444444444441</v>
      </c>
      <c r="V270" s="4">
        <v>0.13655555555555554</v>
      </c>
      <c r="W270" s="4">
        <v>4</v>
      </c>
    </row>
    <row r="271" spans="1:23" x14ac:dyDescent="0.25">
      <c r="A271" s="4" t="s">
        <v>87</v>
      </c>
      <c r="B271" s="4" t="s">
        <v>88</v>
      </c>
      <c r="C271" s="4">
        <v>5</v>
      </c>
      <c r="D271" s="4">
        <v>2</v>
      </c>
      <c r="E271" s="4">
        <v>10</v>
      </c>
      <c r="F271" s="4">
        <v>1550.4325879999999</v>
      </c>
      <c r="G271" s="4">
        <v>4108.6463590000003</v>
      </c>
      <c r="H271" s="4">
        <v>645.13499990000003</v>
      </c>
      <c r="I271" s="4">
        <v>0.64513500000000001</v>
      </c>
      <c r="J271" s="4">
        <v>6.4513500000000002E-4</v>
      </c>
      <c r="K271" s="4">
        <v>1.422277523</v>
      </c>
      <c r="L271" s="4">
        <v>6.0000000000000001E-3</v>
      </c>
      <c r="M271" s="4">
        <v>3.1</v>
      </c>
      <c r="N271" s="4">
        <v>41.982114379999999</v>
      </c>
      <c r="O271" s="4">
        <v>0.3022806685210826</v>
      </c>
      <c r="P271" s="4">
        <v>10.029314378264123</v>
      </c>
      <c r="Q271" s="4">
        <v>25.474458520790872</v>
      </c>
      <c r="R271" s="4">
        <v>137.11236790062804</v>
      </c>
      <c r="S271" s="4">
        <v>329.51782720650812</v>
      </c>
      <c r="T271" s="4">
        <v>873.22224209724652</v>
      </c>
      <c r="U271" s="4">
        <v>40.299999999999997</v>
      </c>
      <c r="V271" s="4">
        <v>0.1</v>
      </c>
      <c r="W271" s="4">
        <v>0</v>
      </c>
    </row>
    <row r="272" spans="1:23" x14ac:dyDescent="0.25">
      <c r="A272" s="4" t="s">
        <v>89</v>
      </c>
      <c r="B272" s="4" t="s">
        <v>90</v>
      </c>
      <c r="C272" s="4">
        <v>5</v>
      </c>
      <c r="D272" s="4">
        <v>8</v>
      </c>
      <c r="E272" s="4">
        <v>40</v>
      </c>
      <c r="F272" s="4">
        <v>40855</v>
      </c>
      <c r="G272" s="4">
        <v>109000</v>
      </c>
      <c r="H272" s="4">
        <v>16999.765500000001</v>
      </c>
      <c r="I272" s="4">
        <v>16.999765499999999</v>
      </c>
      <c r="J272" s="4">
        <v>1.6999765999999999E-2</v>
      </c>
      <c r="K272" s="4">
        <v>37.478023020000002</v>
      </c>
      <c r="L272" s="2">
        <v>0.05</v>
      </c>
      <c r="M272" s="2">
        <v>3.2</v>
      </c>
      <c r="N272" s="4">
        <v>161.4254301</v>
      </c>
      <c r="O272" s="4">
        <v>423.99038879103455</v>
      </c>
      <c r="P272" s="4">
        <v>44.977479685495176</v>
      </c>
      <c r="Q272" s="4">
        <v>114.24279840115774</v>
      </c>
      <c r="R272" s="4">
        <v>192319.0340244734</v>
      </c>
      <c r="S272" s="4">
        <v>462194.26586030622</v>
      </c>
      <c r="T272" s="4">
        <v>1224814.8045298115</v>
      </c>
      <c r="U272" s="4">
        <v>114.3</v>
      </c>
      <c r="V272" s="4">
        <v>0.19</v>
      </c>
      <c r="W272" s="4">
        <v>0</v>
      </c>
    </row>
    <row r="273" spans="1:33" x14ac:dyDescent="0.25">
      <c r="A273" s="4" t="s">
        <v>91</v>
      </c>
      <c r="B273" s="4" t="s">
        <v>92</v>
      </c>
      <c r="C273" s="4">
        <v>5</v>
      </c>
      <c r="D273" s="4">
        <v>2</v>
      </c>
      <c r="E273" s="4">
        <v>10</v>
      </c>
      <c r="F273" s="4">
        <v>1550.4325879999999</v>
      </c>
      <c r="G273" s="4">
        <v>4108.6463590000003</v>
      </c>
      <c r="H273" s="4">
        <v>645.13499990000003</v>
      </c>
      <c r="I273" s="4">
        <v>0.64513500000000001</v>
      </c>
      <c r="J273" s="4">
        <v>6.4513500000000002E-4</v>
      </c>
      <c r="K273" s="4">
        <v>1.422277523</v>
      </c>
      <c r="L273" s="4">
        <v>1.2999999999999999E-2</v>
      </c>
      <c r="M273" s="4">
        <v>3</v>
      </c>
      <c r="N273" s="4">
        <v>36.748172850000003</v>
      </c>
      <c r="O273" s="4">
        <v>3.8457796820652996</v>
      </c>
      <c r="P273" s="4">
        <v>20.155893355432035</v>
      </c>
      <c r="Q273" s="4">
        <v>51.195969122797372</v>
      </c>
      <c r="R273" s="4">
        <v>1744.4183950364686</v>
      </c>
      <c r="S273" s="4">
        <v>4192.3056838175162</v>
      </c>
      <c r="T273" s="4">
        <v>11109.610062116417</v>
      </c>
      <c r="U273" s="4">
        <v>60.2</v>
      </c>
      <c r="V273" s="4">
        <v>0.19</v>
      </c>
      <c r="W273" s="4">
        <v>0</v>
      </c>
    </row>
    <row r="274" spans="1:33" x14ac:dyDescent="0.25">
      <c r="A274" s="4" t="s">
        <v>93</v>
      </c>
      <c r="B274" s="4" t="s">
        <v>94</v>
      </c>
      <c r="C274" s="4">
        <v>5</v>
      </c>
      <c r="D274" s="4">
        <v>9</v>
      </c>
      <c r="E274" s="4">
        <v>45</v>
      </c>
      <c r="F274" s="4">
        <v>1772528355</v>
      </c>
      <c r="G274" s="4">
        <v>4697200141</v>
      </c>
      <c r="H274" s="4">
        <v>737549048.5</v>
      </c>
      <c r="I274" s="4">
        <v>737549.04850000003</v>
      </c>
      <c r="J274" s="4">
        <v>737.54904850000003</v>
      </c>
      <c r="K274" s="4">
        <v>1626015.3829999999</v>
      </c>
      <c r="L274" s="2">
        <v>1.7000000000000001E-2</v>
      </c>
      <c r="M274" s="4">
        <v>3</v>
      </c>
      <c r="N274" s="4">
        <v>1544.9709</v>
      </c>
      <c r="O274" s="4">
        <v>149217.80119469736</v>
      </c>
      <c r="P274" s="4">
        <v>623.99188344626384</v>
      </c>
      <c r="Q274" s="4">
        <v>1584.9393839535103</v>
      </c>
      <c r="R274" s="2">
        <v>67684136.583491653</v>
      </c>
      <c r="S274" s="2">
        <v>162663149.68395016</v>
      </c>
      <c r="T274" s="2">
        <v>431057346.6624679</v>
      </c>
      <c r="U274" s="4">
        <v>1584.96</v>
      </c>
      <c r="V274" s="2">
        <v>0.25</v>
      </c>
      <c r="W274" s="4">
        <v>0</v>
      </c>
    </row>
    <row r="275" spans="1:33" x14ac:dyDescent="0.25">
      <c r="A275" s="4" t="s">
        <v>95</v>
      </c>
      <c r="B275" s="2" t="s">
        <v>96</v>
      </c>
      <c r="C275" s="4">
        <v>5</v>
      </c>
      <c r="D275" s="4">
        <v>2</v>
      </c>
      <c r="E275" s="4">
        <v>10</v>
      </c>
      <c r="F275" s="4">
        <v>1550.4325879999999</v>
      </c>
      <c r="G275" s="4">
        <v>4108.6463590000003</v>
      </c>
      <c r="H275" s="4">
        <v>645.13499990000003</v>
      </c>
      <c r="I275" s="4">
        <v>0.64513500000000001</v>
      </c>
      <c r="J275" s="4">
        <v>6.4513500000000002E-4</v>
      </c>
      <c r="K275" s="4">
        <v>1.422277523</v>
      </c>
      <c r="L275" s="4">
        <v>0.01</v>
      </c>
      <c r="M275" s="4">
        <v>3</v>
      </c>
      <c r="N275" s="4">
        <v>36.288772530000003</v>
      </c>
      <c r="O275" s="4">
        <v>35.850373201594643</v>
      </c>
      <c r="P275" s="4">
        <v>46.297008456622315</v>
      </c>
      <c r="Q275" s="4">
        <v>117.59440147982068</v>
      </c>
      <c r="R275" s="4">
        <v>16261.475084864802</v>
      </c>
      <c r="S275" s="4">
        <v>39080.689941996628</v>
      </c>
      <c r="T275" s="4">
        <v>103563.82834629106</v>
      </c>
      <c r="U275" s="4">
        <v>136</v>
      </c>
      <c r="V275" s="4">
        <v>0.2</v>
      </c>
      <c r="W275" s="4">
        <v>0</v>
      </c>
    </row>
    <row r="276" spans="1:33" x14ac:dyDescent="0.25">
      <c r="A276" s="4" t="s">
        <v>97</v>
      </c>
      <c r="B276" s="4" t="s">
        <v>98</v>
      </c>
      <c r="C276" s="4">
        <v>5</v>
      </c>
      <c r="D276" s="4">
        <v>2</v>
      </c>
      <c r="E276" s="4">
        <v>10</v>
      </c>
      <c r="F276" s="4">
        <v>27162.319380000001</v>
      </c>
      <c r="G276" s="4">
        <v>71980.146370000002</v>
      </c>
      <c r="H276" s="4">
        <v>11302.24109</v>
      </c>
      <c r="I276" s="4">
        <v>11.302241090000001</v>
      </c>
      <c r="J276" s="4">
        <v>1.1302240999999999E-2</v>
      </c>
      <c r="K276" s="4">
        <v>24.917146760000001</v>
      </c>
      <c r="L276" s="2">
        <v>6.5000000000000002E-2</v>
      </c>
      <c r="M276" s="4">
        <v>3</v>
      </c>
      <c r="N276" s="4">
        <v>82.675758979999998</v>
      </c>
      <c r="O276" s="4">
        <v>1.8804522272772768</v>
      </c>
      <c r="P276" s="4">
        <v>9.2861996885293365</v>
      </c>
      <c r="Q276" s="4">
        <v>23.586947208864515</v>
      </c>
      <c r="R276" s="4">
        <v>852.95979682542873</v>
      </c>
      <c r="S276" s="4">
        <v>2049.8913646369351</v>
      </c>
      <c r="T276" s="4">
        <v>5432.2121162878775</v>
      </c>
      <c r="U276" s="4">
        <v>23.6</v>
      </c>
      <c r="V276" s="4">
        <v>0.75</v>
      </c>
      <c r="W276" s="4">
        <v>0</v>
      </c>
      <c r="AA276" s="8"/>
      <c r="AB276" s="8"/>
      <c r="AC276" s="8"/>
      <c r="AD276" s="8"/>
      <c r="AE276" s="8"/>
      <c r="AF276" s="8"/>
      <c r="AG276" s="9"/>
    </row>
    <row r="277" spans="1:33" x14ac:dyDescent="0.25">
      <c r="A277" s="4" t="s">
        <v>99</v>
      </c>
      <c r="B277" s="4" t="s">
        <v>100</v>
      </c>
      <c r="C277" s="4">
        <v>5</v>
      </c>
      <c r="D277" s="4">
        <v>2</v>
      </c>
      <c r="E277" s="4">
        <v>10</v>
      </c>
      <c r="F277" s="4">
        <v>1550.4325879999999</v>
      </c>
      <c r="G277" s="4">
        <v>4108.6463590000003</v>
      </c>
      <c r="H277" s="4">
        <v>645.13499990000003</v>
      </c>
      <c r="I277" s="4">
        <v>0.64513500000000001</v>
      </c>
      <c r="J277" s="4">
        <v>6.4513500000000002E-4</v>
      </c>
      <c r="K277" s="4">
        <v>1.422277523</v>
      </c>
      <c r="L277" s="4">
        <v>1.4999999999999999E-2</v>
      </c>
      <c r="M277" s="4">
        <v>3.1</v>
      </c>
      <c r="N277" s="4">
        <v>31.238959699999999</v>
      </c>
      <c r="O277" s="4">
        <v>1.9618642084198317</v>
      </c>
      <c r="P277" s="4">
        <v>13.643393141796873</v>
      </c>
      <c r="Q277" s="4">
        <v>34.654218580164056</v>
      </c>
      <c r="R277" s="4">
        <v>889.88769421479969</v>
      </c>
      <c r="S277" s="4">
        <v>2138.6390151761589</v>
      </c>
      <c r="T277" s="4">
        <v>5667.393390216821</v>
      </c>
      <c r="U277" s="4">
        <v>42.4</v>
      </c>
      <c r="V277" s="4">
        <v>0.17</v>
      </c>
      <c r="W277" s="4">
        <v>0</v>
      </c>
    </row>
    <row r="278" spans="1:33" x14ac:dyDescent="0.25">
      <c r="A278" s="4" t="s">
        <v>101</v>
      </c>
      <c r="B278" s="4" t="s">
        <v>102</v>
      </c>
      <c r="C278" s="4">
        <v>5</v>
      </c>
      <c r="D278" s="4">
        <v>2</v>
      </c>
      <c r="E278" s="4">
        <v>10</v>
      </c>
      <c r="F278" s="4">
        <v>1550.4325879999999</v>
      </c>
      <c r="G278" s="4">
        <v>4108.6463590000003</v>
      </c>
      <c r="H278" s="4">
        <v>645.13499990000003</v>
      </c>
      <c r="I278" s="4">
        <v>0.64513500000000001</v>
      </c>
      <c r="J278" s="4">
        <v>6.4513500000000002E-4</v>
      </c>
      <c r="K278" s="4">
        <v>1.422277523</v>
      </c>
      <c r="L278" s="4">
        <v>1.2E-2</v>
      </c>
      <c r="M278" s="4">
        <v>3.1</v>
      </c>
      <c r="N278" s="4">
        <v>33.570503690000002</v>
      </c>
      <c r="O278" s="4">
        <v>16.503194668098537</v>
      </c>
      <c r="P278" s="4">
        <v>29.143266632053564</v>
      </c>
      <c r="Q278" s="4">
        <v>74.023897245416052</v>
      </c>
      <c r="R278" s="2">
        <v>7485.7320844855512</v>
      </c>
      <c r="S278" s="2">
        <v>17990.223707006851</v>
      </c>
      <c r="T278" s="2">
        <v>47674.092823568157</v>
      </c>
      <c r="U278" s="4">
        <v>150.03333333333333</v>
      </c>
      <c r="V278" s="4">
        <v>0.11333333333333334</v>
      </c>
      <c r="W278" s="4">
        <v>4</v>
      </c>
    </row>
    <row r="279" spans="1:33" x14ac:dyDescent="0.25">
      <c r="A279" s="4" t="s">
        <v>103</v>
      </c>
      <c r="B279" s="4" t="s">
        <v>104</v>
      </c>
      <c r="C279" s="4">
        <v>5</v>
      </c>
      <c r="D279" s="4">
        <v>1</v>
      </c>
      <c r="E279" s="4">
        <v>5</v>
      </c>
      <c r="F279" s="4">
        <v>826.58014939999998</v>
      </c>
      <c r="G279" s="4">
        <v>2190.4373959999998</v>
      </c>
      <c r="H279" s="4">
        <v>343.94000019999999</v>
      </c>
      <c r="I279" s="4">
        <v>0.34394000000000002</v>
      </c>
      <c r="J279" s="4">
        <v>3.4393999999999999E-4</v>
      </c>
      <c r="K279" s="4">
        <v>0.75825700299999998</v>
      </c>
      <c r="L279" s="4">
        <v>1.2999999999999999E-2</v>
      </c>
      <c r="M279" s="4">
        <v>2.8</v>
      </c>
      <c r="N279" s="4">
        <v>37.973299429999997</v>
      </c>
      <c r="O279" s="4">
        <v>0.80599079389768036</v>
      </c>
      <c r="P279" s="4">
        <v>15.279663091718431</v>
      </c>
      <c r="Q279" s="4">
        <v>38.810344252964818</v>
      </c>
      <c r="R279" s="4">
        <v>365.59170918238988</v>
      </c>
      <c r="S279" s="4">
        <v>878.61501846284534</v>
      </c>
      <c r="T279" s="4">
        <v>2328.3297989265402</v>
      </c>
      <c r="U279" s="4">
        <v>65.400000000000006</v>
      </c>
      <c r="V279" s="4">
        <v>0.18</v>
      </c>
      <c r="W279" s="4">
        <v>0</v>
      </c>
    </row>
    <row r="280" spans="1:33" x14ac:dyDescent="0.25">
      <c r="A280" s="2" t="s">
        <v>105</v>
      </c>
      <c r="B280" s="4" t="s">
        <v>700</v>
      </c>
      <c r="C280" s="4">
        <v>5</v>
      </c>
      <c r="D280" s="4">
        <v>3</v>
      </c>
      <c r="E280" s="4">
        <v>15</v>
      </c>
      <c r="F280" s="4">
        <v>7000</v>
      </c>
      <c r="G280" s="4">
        <v>18550</v>
      </c>
      <c r="H280" s="4">
        <v>2912.7</v>
      </c>
      <c r="I280" s="4">
        <v>2.9126999999999996</v>
      </c>
      <c r="J280" s="4">
        <v>2.9126999999999998E-3</v>
      </c>
      <c r="K280" s="4">
        <v>6.4195907999999999</v>
      </c>
      <c r="L280" s="3">
        <v>1.2699999999999999E-2</v>
      </c>
      <c r="M280" s="3">
        <v>3.1</v>
      </c>
      <c r="N280" s="4">
        <v>53.603232342129658</v>
      </c>
      <c r="O280" s="4">
        <v>41.603004137939209</v>
      </c>
      <c r="P280" s="4">
        <v>38.559367847215825</v>
      </c>
      <c r="Q280" s="4">
        <v>97.940794331928203</v>
      </c>
      <c r="R280" s="2">
        <v>18870.827688190802</v>
      </c>
      <c r="S280" s="2">
        <v>45351.664715671242</v>
      </c>
      <c r="T280" s="2">
        <v>120181.91149652879</v>
      </c>
      <c r="U280" s="4">
        <v>109.97499999999999</v>
      </c>
      <c r="V280" s="4">
        <v>0.14750000000000002</v>
      </c>
      <c r="W280" s="4">
        <v>0</v>
      </c>
    </row>
    <row r="281" spans="1:33" x14ac:dyDescent="0.25">
      <c r="A281" s="4" t="s">
        <v>107</v>
      </c>
      <c r="B281" s="4" t="s">
        <v>108</v>
      </c>
      <c r="C281" s="4">
        <v>5</v>
      </c>
      <c r="D281" s="4">
        <v>5</v>
      </c>
      <c r="E281" s="4">
        <v>25</v>
      </c>
      <c r="F281" s="4">
        <v>7003.1900919999998</v>
      </c>
      <c r="G281" s="4">
        <v>18558.453740000001</v>
      </c>
      <c r="H281" s="4">
        <v>2914.0273969999998</v>
      </c>
      <c r="I281" s="4">
        <v>2.9140273969999999</v>
      </c>
      <c r="J281" s="4">
        <v>2.914027E-3</v>
      </c>
      <c r="K281" s="4">
        <v>6.4243230809999998</v>
      </c>
      <c r="L281" s="4">
        <v>3.5999999999999999E-3</v>
      </c>
      <c r="M281" s="4">
        <v>3</v>
      </c>
      <c r="N281" s="4">
        <v>93.195950769999996</v>
      </c>
      <c r="O281" s="4">
        <v>15.107078829506749</v>
      </c>
      <c r="P281" s="4">
        <v>48.791896668543963</v>
      </c>
      <c r="Q281" s="4">
        <v>123.93141753810167</v>
      </c>
      <c r="R281" s="4">
        <v>6852.4638393495243</v>
      </c>
      <c r="S281" s="4">
        <v>16468.310116196884</v>
      </c>
      <c r="T281" s="4">
        <v>43641.021807921745</v>
      </c>
      <c r="U281" s="4">
        <v>124</v>
      </c>
      <c r="V281" s="4">
        <v>0.3</v>
      </c>
      <c r="W281" s="4">
        <v>0</v>
      </c>
    </row>
    <row r="282" spans="1:33" x14ac:dyDescent="0.25">
      <c r="A282" s="4" t="s">
        <v>109</v>
      </c>
      <c r="B282" s="4" t="s">
        <v>110</v>
      </c>
      <c r="C282" s="4">
        <v>5</v>
      </c>
      <c r="D282" s="4">
        <v>5</v>
      </c>
      <c r="E282" s="4">
        <v>25</v>
      </c>
      <c r="F282" s="4">
        <v>7003.1900919999998</v>
      </c>
      <c r="G282" s="4">
        <v>18558.453740000001</v>
      </c>
      <c r="H282" s="4">
        <v>2914.0273969999998</v>
      </c>
      <c r="I282" s="4">
        <v>2.9140273969999999</v>
      </c>
      <c r="J282" s="4">
        <v>2.914027E-3</v>
      </c>
      <c r="K282" s="4">
        <v>6.4243230809999998</v>
      </c>
      <c r="L282" s="4">
        <v>4.3E-3</v>
      </c>
      <c r="M282" s="4">
        <v>3.1</v>
      </c>
      <c r="N282" s="4">
        <v>76.02840209</v>
      </c>
      <c r="O282" s="4">
        <v>134.46467885214014</v>
      </c>
      <c r="P282" s="4">
        <v>79.836315087941998</v>
      </c>
      <c r="Q282" s="4">
        <v>202.78424032337267</v>
      </c>
      <c r="R282" s="4">
        <v>60992.224896871179</v>
      </c>
      <c r="S282" s="4">
        <v>146580.68949019746</v>
      </c>
      <c r="T282" s="4">
        <v>388438.82714902324</v>
      </c>
      <c r="U282" s="4">
        <v>267</v>
      </c>
      <c r="V282" s="4">
        <v>5.7000000000000002E-2</v>
      </c>
      <c r="W282" s="4">
        <v>0</v>
      </c>
    </row>
    <row r="283" spans="1:33" x14ac:dyDescent="0.25">
      <c r="A283" s="4" t="s">
        <v>111</v>
      </c>
      <c r="B283" s="4" t="s">
        <v>112</v>
      </c>
      <c r="C283" s="4">
        <v>5</v>
      </c>
      <c r="D283" s="4">
        <v>2</v>
      </c>
      <c r="E283" s="4">
        <v>10</v>
      </c>
      <c r="F283" s="4">
        <v>1550.4325879999999</v>
      </c>
      <c r="G283" s="4">
        <v>4108.6463590000003</v>
      </c>
      <c r="H283" s="4">
        <v>645.13499990000003</v>
      </c>
      <c r="I283" s="4">
        <v>0.64513500000000001</v>
      </c>
      <c r="J283" s="4">
        <v>6.4513500000000002E-4</v>
      </c>
      <c r="K283" s="4">
        <v>1.422277523</v>
      </c>
      <c r="L283" s="4">
        <v>1.2200000000000001E-2</v>
      </c>
      <c r="M283" s="4">
        <v>2.9</v>
      </c>
      <c r="N283" s="4">
        <v>42.532504469999999</v>
      </c>
      <c r="O283" s="4">
        <v>12.577454528700933</v>
      </c>
      <c r="P283" s="4">
        <v>35.506178530159033</v>
      </c>
      <c r="Q283" s="4">
        <v>90.185693466603951</v>
      </c>
      <c r="R283" s="4">
        <v>5705.0441929679191</v>
      </c>
      <c r="S283" s="4">
        <v>13710.752686777021</v>
      </c>
      <c r="T283" s="4">
        <v>36333.494619959107</v>
      </c>
      <c r="U283" s="4">
        <v>113</v>
      </c>
      <c r="V283" s="4">
        <v>0.16</v>
      </c>
      <c r="W283" s="4">
        <v>0</v>
      </c>
    </row>
    <row r="284" spans="1:33" x14ac:dyDescent="0.25">
      <c r="A284" s="4" t="s">
        <v>113</v>
      </c>
      <c r="B284" s="4" t="s">
        <v>114</v>
      </c>
      <c r="C284" s="4">
        <v>5</v>
      </c>
      <c r="D284" s="4">
        <v>2</v>
      </c>
      <c r="E284" s="4">
        <v>10</v>
      </c>
      <c r="F284" s="4">
        <v>2636.890171</v>
      </c>
      <c r="G284" s="4">
        <v>6987.7589529999996</v>
      </c>
      <c r="H284" s="4">
        <v>1097.21</v>
      </c>
      <c r="I284" s="4">
        <v>1.09721</v>
      </c>
      <c r="J284" s="4">
        <v>1.0972099999999999E-3</v>
      </c>
      <c r="K284" s="4">
        <v>2.418931111</v>
      </c>
      <c r="L284" s="4">
        <v>1.2E-2</v>
      </c>
      <c r="M284" s="4">
        <v>3.05</v>
      </c>
      <c r="N284" s="4">
        <v>42.32460897</v>
      </c>
      <c r="O284" s="4">
        <v>14.359783075897388</v>
      </c>
      <c r="P284" s="4">
        <v>29.879531829628586</v>
      </c>
      <c r="Q284" s="4">
        <v>75.89401084725661</v>
      </c>
      <c r="R284" s="4">
        <v>6513.4957842609556</v>
      </c>
      <c r="S284" s="4">
        <v>15653.678885510588</v>
      </c>
      <c r="T284" s="4">
        <v>41482.249046603058</v>
      </c>
      <c r="U284" s="4">
        <v>85.9</v>
      </c>
      <c r="V284" s="4">
        <v>0.215</v>
      </c>
      <c r="W284" s="4">
        <v>0</v>
      </c>
    </row>
    <row r="285" spans="1:33" x14ac:dyDescent="0.25">
      <c r="A285" s="4" t="s">
        <v>115</v>
      </c>
      <c r="B285" s="4" t="s">
        <v>116</v>
      </c>
      <c r="C285" s="4">
        <v>5</v>
      </c>
      <c r="D285" s="4">
        <v>7</v>
      </c>
      <c r="E285" s="4">
        <v>35</v>
      </c>
      <c r="F285" s="4">
        <v>9236054.7949999999</v>
      </c>
      <c r="G285" s="4">
        <v>24475545.210000001</v>
      </c>
      <c r="H285" s="4">
        <v>3843122.4</v>
      </c>
      <c r="I285" s="4">
        <v>3843.1224000000002</v>
      </c>
      <c r="J285" s="4">
        <v>3.8431223999999999</v>
      </c>
      <c r="K285" s="4">
        <v>8472.6245060000001</v>
      </c>
      <c r="L285" s="2">
        <v>1.4999999999999999E-2</v>
      </c>
      <c r="M285" s="4">
        <v>3</v>
      </c>
      <c r="N285" s="4">
        <v>727.04518989999997</v>
      </c>
      <c r="O285" s="4">
        <v>663.54596399184982</v>
      </c>
      <c r="P285" s="4">
        <v>106.98304463821259</v>
      </c>
      <c r="Q285" s="4">
        <v>271.73693338106</v>
      </c>
      <c r="R285" s="2">
        <v>300979.74435133935</v>
      </c>
      <c r="S285" s="2">
        <v>723335.12220941915</v>
      </c>
      <c r="T285" s="2">
        <v>1916838.0738549607</v>
      </c>
      <c r="U285" s="4">
        <v>271.77999999999997</v>
      </c>
      <c r="V285" s="4">
        <v>0.25</v>
      </c>
      <c r="W285" s="4">
        <v>0</v>
      </c>
    </row>
    <row r="286" spans="1:33" x14ac:dyDescent="0.25">
      <c r="A286" s="4" t="s">
        <v>117</v>
      </c>
      <c r="B286" s="4" t="s">
        <v>118</v>
      </c>
      <c r="C286" s="4">
        <v>5</v>
      </c>
      <c r="D286" s="4">
        <v>2</v>
      </c>
      <c r="E286" s="4">
        <v>10</v>
      </c>
      <c r="F286" s="4">
        <v>1550.4325879999999</v>
      </c>
      <c r="G286" s="4">
        <v>4108.6463590000003</v>
      </c>
      <c r="H286" s="4">
        <v>645.13499990000003</v>
      </c>
      <c r="I286" s="4">
        <v>0.64513500000000001</v>
      </c>
      <c r="J286" s="4">
        <v>6.4513500000000002E-4</v>
      </c>
      <c r="K286" s="4">
        <v>1.422277523</v>
      </c>
      <c r="L286" s="4">
        <v>1.4999999999999999E-2</v>
      </c>
      <c r="M286" s="4">
        <v>3</v>
      </c>
      <c r="N286" s="4">
        <v>35.036424660000002</v>
      </c>
      <c r="O286" s="4">
        <v>3.2761063483325983</v>
      </c>
      <c r="P286" s="4">
        <v>18.217017679626149</v>
      </c>
      <c r="Q286" s="4">
        <v>46.271224906250424</v>
      </c>
      <c r="R286" s="4">
        <v>1486.0186101607526</v>
      </c>
      <c r="S286" s="4">
        <v>3571.3016346088743</v>
      </c>
      <c r="T286" s="4">
        <v>9463.9493317135166</v>
      </c>
      <c r="U286" s="4">
        <v>73.2</v>
      </c>
      <c r="V286" s="4">
        <v>0.1</v>
      </c>
      <c r="W286" s="4">
        <v>0</v>
      </c>
    </row>
    <row r="287" spans="1:33" x14ac:dyDescent="0.25">
      <c r="A287" s="4" t="s">
        <v>119</v>
      </c>
      <c r="B287" s="4" t="s">
        <v>120</v>
      </c>
      <c r="C287" s="4">
        <v>5</v>
      </c>
      <c r="D287" s="4">
        <v>3</v>
      </c>
      <c r="E287" s="4">
        <v>15</v>
      </c>
      <c r="F287" s="4">
        <v>174502.53330000001</v>
      </c>
      <c r="G287" s="4">
        <v>462431.7133</v>
      </c>
      <c r="H287" s="4">
        <v>72610.504109999994</v>
      </c>
      <c r="I287" s="4">
        <v>72.610504109999994</v>
      </c>
      <c r="J287" s="4">
        <v>7.2610504000000006E-2</v>
      </c>
      <c r="K287" s="4">
        <v>160.07856960000001</v>
      </c>
      <c r="L287" s="4">
        <v>2.1399999999999999E-2</v>
      </c>
      <c r="M287" s="4">
        <v>2.96</v>
      </c>
      <c r="N287" s="4">
        <v>160.79737159999999</v>
      </c>
      <c r="O287" s="4">
        <v>83.066722612942684</v>
      </c>
      <c r="P287" s="4">
        <v>50.721625317832334</v>
      </c>
      <c r="Q287" s="4">
        <v>128.83292830729414</v>
      </c>
      <c r="R287" s="2">
        <v>37678.476387287912</v>
      </c>
      <c r="S287" s="2">
        <v>90551.493360461202</v>
      </c>
      <c r="T287" s="2">
        <v>239961.45740522217</v>
      </c>
      <c r="U287" s="4">
        <v>133.76666666666668</v>
      </c>
      <c r="V287" s="4">
        <v>0.3</v>
      </c>
      <c r="W287" s="4">
        <v>4</v>
      </c>
    </row>
    <row r="288" spans="1:33" x14ac:dyDescent="0.25">
      <c r="A288" s="4" t="s">
        <v>121</v>
      </c>
      <c r="B288" s="4" t="s">
        <v>122</v>
      </c>
      <c r="C288" s="4">
        <v>5</v>
      </c>
      <c r="D288" s="4">
        <v>7</v>
      </c>
      <c r="E288" s="4">
        <v>35</v>
      </c>
      <c r="F288" s="4">
        <v>9236054.7949999999</v>
      </c>
      <c r="G288" s="4">
        <v>24475545.210000001</v>
      </c>
      <c r="H288" s="4">
        <v>3843122.4</v>
      </c>
      <c r="I288" s="4">
        <v>3843.1224000000002</v>
      </c>
      <c r="J288" s="4">
        <v>3.8431223999999999</v>
      </c>
      <c r="K288" s="4">
        <v>8472.6245060000001</v>
      </c>
      <c r="L288" s="2">
        <v>1E-3</v>
      </c>
      <c r="M288" s="4">
        <v>3</v>
      </c>
      <c r="N288" s="4">
        <v>727.04518989999997</v>
      </c>
      <c r="O288" s="4">
        <v>39438.55123247343</v>
      </c>
      <c r="P288" s="4">
        <v>1029.6635839386674</v>
      </c>
      <c r="Q288" s="4">
        <v>2615.3455032042152</v>
      </c>
      <c r="R288" s="2">
        <v>17889047.197464157</v>
      </c>
      <c r="S288" s="2">
        <v>42992182.64230752</v>
      </c>
      <c r="T288" s="2">
        <v>113929284.00211492</v>
      </c>
      <c r="U288" s="4">
        <v>2615.7600000000002</v>
      </c>
      <c r="V288" s="4">
        <v>0.25</v>
      </c>
      <c r="W288" s="4">
        <v>0</v>
      </c>
    </row>
    <row r="289" spans="1:23" x14ac:dyDescent="0.25">
      <c r="A289" s="4" t="s">
        <v>123</v>
      </c>
      <c r="B289" s="4" t="s">
        <v>124</v>
      </c>
      <c r="C289" s="4">
        <v>5</v>
      </c>
      <c r="D289" s="4">
        <v>2</v>
      </c>
      <c r="E289" s="4">
        <v>10</v>
      </c>
      <c r="F289" s="4">
        <v>1550.4325879999999</v>
      </c>
      <c r="G289" s="4">
        <v>4108.6463590000003</v>
      </c>
      <c r="H289" s="4">
        <v>645.13499990000003</v>
      </c>
      <c r="I289" s="4">
        <v>0.64513500000000001</v>
      </c>
      <c r="J289" s="4">
        <v>6.4513500000000002E-4</v>
      </c>
      <c r="K289" s="4">
        <v>1.422277523</v>
      </c>
      <c r="L289" s="4">
        <v>9.4999999999999998E-3</v>
      </c>
      <c r="M289" s="4">
        <v>3.1</v>
      </c>
      <c r="N289" s="4">
        <v>36.198129430000002</v>
      </c>
      <c r="O289" s="4">
        <v>16.537455725548487</v>
      </c>
      <c r="P289" s="4">
        <v>31.445393969295882</v>
      </c>
      <c r="Q289" s="4">
        <v>79.871300682011537</v>
      </c>
      <c r="R289" s="4">
        <v>7501.2726572146157</v>
      </c>
      <c r="S289" s="4">
        <v>18027.571875065165</v>
      </c>
      <c r="T289" s="4">
        <v>47773.065468922687</v>
      </c>
      <c r="U289" s="4">
        <v>111</v>
      </c>
      <c r="V289" s="4">
        <v>0.13</v>
      </c>
      <c r="W289" s="4">
        <v>0.22</v>
      </c>
    </row>
    <row r="290" spans="1:23" x14ac:dyDescent="0.25">
      <c r="A290" s="4" t="s">
        <v>125</v>
      </c>
      <c r="B290" s="4" t="s">
        <v>126</v>
      </c>
      <c r="C290" s="4">
        <v>5</v>
      </c>
      <c r="D290" s="4">
        <v>1</v>
      </c>
      <c r="E290" s="4">
        <v>5</v>
      </c>
      <c r="F290" s="4">
        <v>3889.4496509999999</v>
      </c>
      <c r="G290" s="4">
        <v>10307.041579999999</v>
      </c>
      <c r="H290" s="4">
        <v>1618.4</v>
      </c>
      <c r="I290" s="4">
        <v>1.6184000000000001</v>
      </c>
      <c r="J290" s="4">
        <v>1.6184000000000001E-3</v>
      </c>
      <c r="K290" s="4">
        <v>3.567957008</v>
      </c>
      <c r="L290" s="4">
        <v>1.4999999999999999E-2</v>
      </c>
      <c r="M290" s="4">
        <v>2.9</v>
      </c>
      <c r="N290" s="4">
        <v>54.389539650000003</v>
      </c>
      <c r="O290" s="4">
        <v>3.4035288637362187</v>
      </c>
      <c r="P290" s="4">
        <v>21.06764971617396</v>
      </c>
      <c r="Q290" s="4">
        <v>53.511830279081856</v>
      </c>
      <c r="R290" s="4">
        <v>1543.8165596502884</v>
      </c>
      <c r="S290" s="4">
        <v>3710.2056228077104</v>
      </c>
      <c r="T290" s="4">
        <v>9832.0449004404327</v>
      </c>
      <c r="U290" s="4">
        <v>136</v>
      </c>
      <c r="V290" s="4">
        <v>0.1</v>
      </c>
      <c r="W290" s="4">
        <v>0</v>
      </c>
    </row>
    <row r="291" spans="1:23" x14ac:dyDescent="0.25">
      <c r="A291" s="4" t="s">
        <v>127</v>
      </c>
      <c r="B291" s="4" t="s">
        <v>128</v>
      </c>
      <c r="C291" s="4">
        <v>5</v>
      </c>
      <c r="D291" s="4">
        <v>2</v>
      </c>
      <c r="E291" s="4">
        <v>10</v>
      </c>
      <c r="F291" s="4">
        <v>2636.890171</v>
      </c>
      <c r="G291" s="4">
        <v>6987.7589529999996</v>
      </c>
      <c r="H291" s="4">
        <v>1097.21</v>
      </c>
      <c r="I291" s="4">
        <v>1.09721</v>
      </c>
      <c r="J291" s="4">
        <v>1.0972099999999999E-3</v>
      </c>
      <c r="K291" s="4">
        <v>2.418931111</v>
      </c>
      <c r="L291" s="4">
        <v>1.4E-2</v>
      </c>
      <c r="M291" s="4">
        <v>3</v>
      </c>
      <c r="N291" s="4">
        <v>42.794429440000002</v>
      </c>
      <c r="O291" s="4">
        <v>7.3903722939398016</v>
      </c>
      <c r="P291" s="4">
        <v>24.447500447877395</v>
      </c>
      <c r="Q291" s="4">
        <v>62.096651137608582</v>
      </c>
      <c r="R291" s="4">
        <v>3352.2204706206971</v>
      </c>
      <c r="S291" s="4">
        <v>8056.2856780117681</v>
      </c>
      <c r="T291" s="4">
        <v>21349.157046731183</v>
      </c>
      <c r="U291" s="4">
        <v>62.2</v>
      </c>
      <c r="V291" s="4">
        <v>0.64</v>
      </c>
      <c r="W291" s="4">
        <v>0</v>
      </c>
    </row>
    <row r="292" spans="1:23" x14ac:dyDescent="0.25">
      <c r="A292" s="4" t="s">
        <v>129</v>
      </c>
      <c r="B292" s="4" t="s">
        <v>130</v>
      </c>
      <c r="C292" s="4">
        <v>5</v>
      </c>
      <c r="D292" s="4">
        <v>2</v>
      </c>
      <c r="E292" s="4">
        <v>10</v>
      </c>
      <c r="F292" s="4">
        <v>1550.4325879999999</v>
      </c>
      <c r="G292" s="4">
        <v>4108.6463590000003</v>
      </c>
      <c r="H292" s="4">
        <v>645.13499990000003</v>
      </c>
      <c r="I292" s="4">
        <v>0.64513500000000001</v>
      </c>
      <c r="J292" s="4">
        <v>6.4513500000000002E-4</v>
      </c>
      <c r="K292" s="4">
        <v>1.422277523</v>
      </c>
      <c r="L292" s="4">
        <v>1.2500000000000001E-2</v>
      </c>
      <c r="M292" s="4">
        <v>2.88</v>
      </c>
      <c r="N292" s="4">
        <v>43.288073740000002</v>
      </c>
      <c r="O292" s="4">
        <v>2.8672891874892144</v>
      </c>
      <c r="P292" s="4">
        <v>21.739985446344871</v>
      </c>
      <c r="Q292" s="4">
        <v>55.219563033715971</v>
      </c>
      <c r="R292" s="4">
        <v>1300.5820447465842</v>
      </c>
      <c r="S292" s="4">
        <v>3125.6477883840048</v>
      </c>
      <c r="T292" s="4">
        <v>8282.9666392176132</v>
      </c>
      <c r="U292" s="4">
        <v>158</v>
      </c>
      <c r="V292" s="4">
        <v>4.2999999999999997E-2</v>
      </c>
      <c r="W292" s="4">
        <v>0</v>
      </c>
    </row>
    <row r="293" spans="1:23" x14ac:dyDescent="0.25">
      <c r="A293" s="4" t="s">
        <v>131</v>
      </c>
      <c r="B293" s="4" t="s">
        <v>132</v>
      </c>
      <c r="C293" s="4">
        <v>5</v>
      </c>
      <c r="D293" s="4">
        <v>2</v>
      </c>
      <c r="E293" s="4">
        <v>10</v>
      </c>
      <c r="F293" s="4">
        <v>2636.890171</v>
      </c>
      <c r="G293" s="4">
        <v>6987.7589529999996</v>
      </c>
      <c r="H293" s="4">
        <v>1097.21</v>
      </c>
      <c r="I293" s="4">
        <v>1.09721</v>
      </c>
      <c r="J293" s="4">
        <v>1.0972099999999999E-3</v>
      </c>
      <c r="K293" s="4">
        <v>2.418931111</v>
      </c>
      <c r="L293" s="4">
        <v>1.4E-2</v>
      </c>
      <c r="M293" s="4">
        <v>2.9</v>
      </c>
      <c r="N293" s="4">
        <v>48.712674319999998</v>
      </c>
      <c r="O293" s="4">
        <v>1.3184910861486607</v>
      </c>
      <c r="P293" s="4">
        <v>15.557156518144412</v>
      </c>
      <c r="Q293" s="4">
        <v>39.515177556086805</v>
      </c>
      <c r="R293" s="4">
        <v>598.05820783112767</v>
      </c>
      <c r="S293" s="4">
        <v>1437.2944192048249</v>
      </c>
      <c r="T293" s="4">
        <v>3808.8302108927855</v>
      </c>
      <c r="U293" s="4">
        <v>45.7</v>
      </c>
      <c r="V293" s="4">
        <v>0.2</v>
      </c>
      <c r="W293" s="4">
        <v>0</v>
      </c>
    </row>
    <row r="294" spans="1:23" x14ac:dyDescent="0.25">
      <c r="A294" s="4" t="s">
        <v>133</v>
      </c>
      <c r="B294" s="4" t="s">
        <v>134</v>
      </c>
      <c r="C294" s="4">
        <v>5</v>
      </c>
      <c r="D294" s="4">
        <v>3</v>
      </c>
      <c r="E294" s="4">
        <v>15</v>
      </c>
      <c r="F294" s="4">
        <v>7000</v>
      </c>
      <c r="G294" s="4">
        <v>18550</v>
      </c>
      <c r="H294" s="4">
        <v>2912.7</v>
      </c>
      <c r="I294" s="4">
        <v>2.9127000000000001</v>
      </c>
      <c r="J294" s="4">
        <v>2.9126999999999998E-3</v>
      </c>
      <c r="K294" s="4">
        <v>6.4213966740000004</v>
      </c>
      <c r="L294" s="4">
        <v>1.2699999999999999E-2</v>
      </c>
      <c r="M294" s="4">
        <v>3.1</v>
      </c>
      <c r="N294" s="4">
        <v>53.603232339999998</v>
      </c>
      <c r="O294" s="4">
        <v>30.452441187409729</v>
      </c>
      <c r="P294" s="4">
        <v>34.867386513023227</v>
      </c>
      <c r="Q294" s="4">
        <v>88.563161743079007</v>
      </c>
      <c r="R294" s="4">
        <v>13813.011397614886</v>
      </c>
      <c r="S294" s="4">
        <v>33196.374423491674</v>
      </c>
      <c r="T294" s="4">
        <v>87970.392222252936</v>
      </c>
      <c r="U294" s="4">
        <v>114</v>
      </c>
      <c r="V294" s="4">
        <v>0.1</v>
      </c>
      <c r="W294" s="4">
        <v>0</v>
      </c>
    </row>
    <row r="295" spans="1:23" x14ac:dyDescent="0.25">
      <c r="A295" s="4" t="s">
        <v>135</v>
      </c>
      <c r="B295" s="4" t="s">
        <v>136</v>
      </c>
      <c r="C295" s="4">
        <v>5</v>
      </c>
      <c r="D295" s="4">
        <v>2</v>
      </c>
      <c r="E295" s="4">
        <v>10</v>
      </c>
      <c r="F295" s="4">
        <v>2636.890171</v>
      </c>
      <c r="G295" s="4">
        <v>6987.7589529999996</v>
      </c>
      <c r="H295" s="4">
        <v>1097.21</v>
      </c>
      <c r="I295" s="4">
        <v>1.09721</v>
      </c>
      <c r="J295" s="4">
        <v>1.0972099999999999E-3</v>
      </c>
      <c r="K295" s="4">
        <v>2.418931111</v>
      </c>
      <c r="L295" s="4">
        <v>1.2E-2</v>
      </c>
      <c r="M295" s="4">
        <v>3</v>
      </c>
      <c r="N295" s="4">
        <v>45.050834190000003</v>
      </c>
      <c r="O295" s="4">
        <v>1.4539114892034266</v>
      </c>
      <c r="P295" s="4">
        <v>14.968350469750487</v>
      </c>
      <c r="Q295" s="4">
        <v>38.019610193166237</v>
      </c>
      <c r="R295" s="4">
        <v>659.48394244968597</v>
      </c>
      <c r="S295" s="4">
        <v>1584.916948929791</v>
      </c>
      <c r="T295" s="4">
        <v>4200.0299146639463</v>
      </c>
      <c r="U295" s="4">
        <v>60.5</v>
      </c>
      <c r="V295" s="4">
        <v>9.9000000000000005E-2</v>
      </c>
      <c r="W295" s="4">
        <v>0</v>
      </c>
    </row>
    <row r="296" spans="1:23" x14ac:dyDescent="0.25">
      <c r="A296" s="4" t="s">
        <v>137</v>
      </c>
      <c r="B296" s="4" t="s">
        <v>138</v>
      </c>
      <c r="C296" s="4">
        <v>5</v>
      </c>
      <c r="D296" s="4">
        <v>1</v>
      </c>
      <c r="E296" s="4">
        <v>5</v>
      </c>
      <c r="F296" s="4">
        <v>1241.7688049999999</v>
      </c>
      <c r="G296" s="4">
        <v>3290.6873340000002</v>
      </c>
      <c r="H296" s="4">
        <v>516.6999998</v>
      </c>
      <c r="I296" s="4">
        <v>0.51670000000000005</v>
      </c>
      <c r="J296" s="4">
        <v>5.1670000000000004E-4</v>
      </c>
      <c r="K296" s="4">
        <v>1.139127153</v>
      </c>
      <c r="L296" s="4">
        <v>1.2500000000000001E-2</v>
      </c>
      <c r="M296" s="4">
        <v>2.82</v>
      </c>
      <c r="N296" s="4">
        <v>43.350678950000002</v>
      </c>
      <c r="O296" s="4">
        <v>0.94913977708671626</v>
      </c>
      <c r="P296" s="4">
        <v>15.997870482638643</v>
      </c>
      <c r="Q296" s="4">
        <v>40.634591025902154</v>
      </c>
      <c r="R296" s="4">
        <v>430.52307294985815</v>
      </c>
      <c r="S296" s="4">
        <v>1034.6625161015577</v>
      </c>
      <c r="T296" s="4">
        <v>2741.8556676691278</v>
      </c>
      <c r="U296" s="4">
        <v>50</v>
      </c>
      <c r="V296" s="4">
        <v>0.33500000000000002</v>
      </c>
      <c r="W296" s="4">
        <v>0</v>
      </c>
    </row>
    <row r="297" spans="1:23" x14ac:dyDescent="0.25">
      <c r="A297" s="4" t="s">
        <v>21</v>
      </c>
      <c r="B297" s="4" t="s">
        <v>22</v>
      </c>
      <c r="C297" s="4">
        <v>6</v>
      </c>
      <c r="D297" s="4">
        <v>1</v>
      </c>
      <c r="E297" s="4">
        <v>6</v>
      </c>
      <c r="F297" s="4">
        <v>244.71280949999999</v>
      </c>
      <c r="G297" s="4">
        <v>648.48894510000002</v>
      </c>
      <c r="H297" s="4">
        <v>101.825</v>
      </c>
      <c r="I297" s="4">
        <v>0.101825</v>
      </c>
      <c r="J297" s="4">
        <v>1.0182499999999999E-4</v>
      </c>
      <c r="K297" s="4">
        <v>0.22448543200000001</v>
      </c>
      <c r="L297" s="4">
        <v>1.6E-2</v>
      </c>
      <c r="M297" s="4">
        <v>3</v>
      </c>
      <c r="N297" s="4">
        <v>18.531538609999998</v>
      </c>
      <c r="O297" s="4">
        <v>4.3205272963749902E-2</v>
      </c>
      <c r="P297" s="4">
        <v>4.2123775799526699</v>
      </c>
      <c r="Q297" s="4">
        <v>10.699439053079782</v>
      </c>
      <c r="R297" s="4">
        <v>19.597605466588302</v>
      </c>
      <c r="S297" s="4">
        <v>47.098306817083156</v>
      </c>
      <c r="T297" s="4">
        <v>124.81051306527036</v>
      </c>
      <c r="U297" s="4">
        <v>11</v>
      </c>
      <c r="V297" s="4">
        <v>0.6</v>
      </c>
      <c r="W297" s="4">
        <v>0</v>
      </c>
    </row>
    <row r="298" spans="1:23" x14ac:dyDescent="0.25">
      <c r="A298" s="4" t="s">
        <v>23</v>
      </c>
      <c r="B298" s="4" t="s">
        <v>24</v>
      </c>
      <c r="C298" s="4">
        <v>6</v>
      </c>
      <c r="D298" s="4">
        <v>3</v>
      </c>
      <c r="E298" s="4">
        <v>18</v>
      </c>
      <c r="F298" s="4">
        <v>182386.1888</v>
      </c>
      <c r="G298" s="4">
        <v>483323.40029999998</v>
      </c>
      <c r="H298" s="4">
        <v>75890.893160000007</v>
      </c>
      <c r="I298" s="4">
        <v>75.890893160000005</v>
      </c>
      <c r="J298" s="4">
        <v>7.5890893000000001E-2</v>
      </c>
      <c r="K298" s="4">
        <v>167.31058089999999</v>
      </c>
      <c r="L298" s="4">
        <v>2.5999999999999999E-2</v>
      </c>
      <c r="M298" s="4">
        <v>3</v>
      </c>
      <c r="N298" s="4">
        <v>207.62604619999999</v>
      </c>
      <c r="O298" s="4">
        <v>1197.9588118865795</v>
      </c>
      <c r="P298" s="4">
        <v>108.44542003420332</v>
      </c>
      <c r="Q298" s="4">
        <v>275.45136688687643</v>
      </c>
      <c r="R298" s="4">
        <v>543385.62286769575</v>
      </c>
      <c r="S298" s="4">
        <v>1305901.5209509633</v>
      </c>
      <c r="T298" s="4">
        <v>3460639.0305200526</v>
      </c>
      <c r="U298" s="4">
        <v>330</v>
      </c>
      <c r="V298" s="4">
        <v>0.1</v>
      </c>
      <c r="W298" s="4">
        <v>0</v>
      </c>
    </row>
    <row r="299" spans="1:23" x14ac:dyDescent="0.25">
      <c r="A299" s="4" t="s">
        <v>25</v>
      </c>
      <c r="B299" s="4" t="s">
        <v>26</v>
      </c>
      <c r="C299" s="4">
        <v>6</v>
      </c>
      <c r="D299" s="4">
        <v>3</v>
      </c>
      <c r="E299" s="4">
        <v>18</v>
      </c>
      <c r="F299" s="4">
        <v>182386.1888</v>
      </c>
      <c r="G299" s="4">
        <v>483323.40029999998</v>
      </c>
      <c r="H299" s="4">
        <v>75890.893160000007</v>
      </c>
      <c r="I299" s="4">
        <v>75.890893160000005</v>
      </c>
      <c r="J299" s="4">
        <v>7.5890893000000001E-2</v>
      </c>
      <c r="K299" s="4">
        <v>167.31058089999999</v>
      </c>
      <c r="L299" s="4">
        <v>2.1399999999999999E-2</v>
      </c>
      <c r="M299" s="4">
        <v>2.96</v>
      </c>
      <c r="N299" s="4">
        <v>163.21577260000001</v>
      </c>
      <c r="O299" s="4">
        <v>919.25758901967242</v>
      </c>
      <c r="P299" s="4">
        <v>114.26133467633561</v>
      </c>
      <c r="Q299" s="4">
        <v>290.22379007789243</v>
      </c>
      <c r="R299" s="4">
        <v>416968.72432422475</v>
      </c>
      <c r="S299" s="4">
        <v>1002087.7777558874</v>
      </c>
      <c r="T299" s="4">
        <v>2655532.6110531013</v>
      </c>
      <c r="U299" s="4">
        <v>358.7</v>
      </c>
      <c r="V299" s="4">
        <v>9.1999999999999998E-2</v>
      </c>
      <c r="W299" s="4">
        <v>0</v>
      </c>
    </row>
    <row r="300" spans="1:23" x14ac:dyDescent="0.25">
      <c r="A300" s="4" t="s">
        <v>27</v>
      </c>
      <c r="B300" s="4" t="s">
        <v>28</v>
      </c>
      <c r="C300" s="4">
        <v>6</v>
      </c>
      <c r="D300" s="4">
        <v>1</v>
      </c>
      <c r="E300" s="4">
        <v>6</v>
      </c>
      <c r="F300" s="4">
        <v>10142.27349</v>
      </c>
      <c r="G300" s="4">
        <v>26877.02475</v>
      </c>
      <c r="H300" s="4">
        <v>4220.1999990000004</v>
      </c>
      <c r="I300" s="4">
        <v>4.2201999990000001</v>
      </c>
      <c r="J300" s="4">
        <v>4.2202000000000003E-3</v>
      </c>
      <c r="K300" s="4">
        <v>9.3039373219999995</v>
      </c>
      <c r="L300" s="4">
        <v>1.0999999999999999E-2</v>
      </c>
      <c r="M300" s="4">
        <v>2.9</v>
      </c>
      <c r="N300" s="4">
        <v>84.235793580000006</v>
      </c>
      <c r="O300" s="4">
        <v>4.6072794511240875</v>
      </c>
      <c r="P300" s="4">
        <v>26.026388800435313</v>
      </c>
      <c r="Q300" s="4">
        <v>66.107027553105695</v>
      </c>
      <c r="R300" s="4">
        <v>2089.8292908184121</v>
      </c>
      <c r="S300" s="4">
        <v>5022.4207902389144</v>
      </c>
      <c r="T300" s="4">
        <v>13309.415094133123</v>
      </c>
      <c r="U300" s="4">
        <v>94.6</v>
      </c>
      <c r="V300" s="4">
        <v>0.2</v>
      </c>
      <c r="W300" s="4">
        <v>0</v>
      </c>
    </row>
    <row r="301" spans="1:23" x14ac:dyDescent="0.25">
      <c r="A301" s="4" t="s">
        <v>29</v>
      </c>
      <c r="B301" s="4" t="s">
        <v>30</v>
      </c>
      <c r="C301" s="4">
        <v>6</v>
      </c>
      <c r="D301" s="4">
        <v>7</v>
      </c>
      <c r="E301" s="2">
        <v>42</v>
      </c>
      <c r="F301" s="4">
        <v>51223.1927</v>
      </c>
      <c r="G301" s="4">
        <v>135742.56099999999</v>
      </c>
      <c r="H301" s="4">
        <v>21313.97048</v>
      </c>
      <c r="I301" s="4">
        <v>21.313970479999998</v>
      </c>
      <c r="J301" s="4">
        <v>2.1313970000000002E-2</v>
      </c>
      <c r="K301" s="4">
        <v>46.989205609999999</v>
      </c>
      <c r="L301" s="4">
        <v>3.2499999999999999E-3</v>
      </c>
      <c r="M301" s="4">
        <v>3</v>
      </c>
      <c r="N301" s="4">
        <v>187.1803836</v>
      </c>
      <c r="O301" s="4">
        <v>205.9741944976561</v>
      </c>
      <c r="P301" s="4">
        <v>120.6048722869415</v>
      </c>
      <c r="Q301" s="4">
        <v>306.33637560883142</v>
      </c>
      <c r="R301" s="4">
        <v>93428.434150854155</v>
      </c>
      <c r="S301" s="4">
        <v>224533.60766847909</v>
      </c>
      <c r="T301" s="4">
        <v>595014.06032146956</v>
      </c>
      <c r="U301" s="4">
        <v>311</v>
      </c>
      <c r="V301" s="4">
        <v>0.1</v>
      </c>
      <c r="W301" s="4">
        <v>0</v>
      </c>
    </row>
    <row r="302" spans="1:23" x14ac:dyDescent="0.25">
      <c r="A302" s="2" t="s">
        <v>31</v>
      </c>
      <c r="B302" s="4" t="s">
        <v>32</v>
      </c>
      <c r="C302" s="4">
        <v>6</v>
      </c>
      <c r="D302" s="4">
        <v>1</v>
      </c>
      <c r="E302" s="4">
        <v>6</v>
      </c>
      <c r="F302" s="4">
        <v>244.71280949999999</v>
      </c>
      <c r="G302" s="4">
        <v>648.48894510000002</v>
      </c>
      <c r="H302" s="4">
        <v>101.82500003294999</v>
      </c>
      <c r="I302" s="4">
        <v>0.10182500003294999</v>
      </c>
      <c r="J302" s="4">
        <v>1.0182500003294998E-4</v>
      </c>
      <c r="K302" s="4">
        <v>0.2244854315726422</v>
      </c>
      <c r="L302" s="3">
        <v>1.1599999999999999E-2</v>
      </c>
      <c r="M302" s="3">
        <v>3</v>
      </c>
      <c r="N302" s="4">
        <v>20.628396791384404</v>
      </c>
      <c r="O302" s="4">
        <v>0.62761005843335349</v>
      </c>
      <c r="P302" s="4">
        <v>11.441044401569391</v>
      </c>
      <c r="Q302" s="4">
        <v>29.060252779986254</v>
      </c>
      <c r="R302" s="2">
        <v>284.67947239585664</v>
      </c>
      <c r="S302" s="2">
        <v>684.1611929724985</v>
      </c>
      <c r="T302" s="2">
        <v>1813.027161377121</v>
      </c>
      <c r="U302" s="2">
        <v>29.172666666666665</v>
      </c>
      <c r="V302" s="2">
        <v>0.92646666666666677</v>
      </c>
      <c r="W302" s="2">
        <v>0</v>
      </c>
    </row>
    <row r="303" spans="1:23" x14ac:dyDescent="0.25">
      <c r="A303" s="4" t="s">
        <v>33</v>
      </c>
      <c r="B303" s="4" t="s">
        <v>34</v>
      </c>
      <c r="C303" s="4">
        <v>6</v>
      </c>
      <c r="D303" s="4">
        <v>2</v>
      </c>
      <c r="E303" s="4">
        <v>12</v>
      </c>
      <c r="F303" s="4">
        <v>1976.4359529999999</v>
      </c>
      <c r="G303" s="4">
        <v>5237.5552749999997</v>
      </c>
      <c r="H303" s="4">
        <v>822.39499999999998</v>
      </c>
      <c r="I303" s="4">
        <v>0.82239499999999999</v>
      </c>
      <c r="J303" s="4">
        <v>8.2239499999999996E-4</v>
      </c>
      <c r="K303" s="4">
        <v>1.813068465</v>
      </c>
      <c r="L303" s="4">
        <v>1.4999999999999999E-2</v>
      </c>
      <c r="M303" s="4">
        <v>3</v>
      </c>
      <c r="N303" s="4">
        <v>37.989455370000002</v>
      </c>
      <c r="O303" s="4">
        <v>5.3535025027949148</v>
      </c>
      <c r="P303" s="4">
        <v>21.457079949344685</v>
      </c>
      <c r="Q303" s="4">
        <v>54.500983071335504</v>
      </c>
      <c r="R303" s="4">
        <v>2428.3107759137242</v>
      </c>
      <c r="S303" s="4">
        <v>5835.8826626140935</v>
      </c>
      <c r="T303" s="4">
        <v>15465.089055927347</v>
      </c>
      <c r="U303" s="4">
        <v>58.9</v>
      </c>
      <c r="V303" s="4">
        <v>0.22</v>
      </c>
      <c r="W303" s="4">
        <v>0.20699999999999999</v>
      </c>
    </row>
    <row r="304" spans="1:23" x14ac:dyDescent="0.25">
      <c r="A304" s="4" t="s">
        <v>35</v>
      </c>
      <c r="B304" s="4" t="s">
        <v>36</v>
      </c>
      <c r="C304" s="4">
        <v>6</v>
      </c>
      <c r="D304" s="4">
        <v>1</v>
      </c>
      <c r="E304" s="4">
        <v>6</v>
      </c>
      <c r="F304" s="4">
        <v>244.71280949999999</v>
      </c>
      <c r="G304" s="4">
        <v>648.48894510000002</v>
      </c>
      <c r="H304" s="4">
        <v>101.825</v>
      </c>
      <c r="I304" s="4">
        <v>0.101825</v>
      </c>
      <c r="J304" s="4">
        <v>1.0182499999999999E-4</v>
      </c>
      <c r="K304" s="4">
        <v>0.22448543200000001</v>
      </c>
      <c r="L304" s="4">
        <v>2.1000000000000001E-2</v>
      </c>
      <c r="M304" s="4">
        <v>3</v>
      </c>
      <c r="N304" s="4">
        <v>16.925637739999999</v>
      </c>
      <c r="O304" s="4">
        <v>0.42304668105475574</v>
      </c>
      <c r="P304" s="4">
        <v>8.2308502734639148</v>
      </c>
      <c r="Q304" s="4">
        <v>20.906359694598343</v>
      </c>
      <c r="R304" s="4">
        <v>191.89097488671777</v>
      </c>
      <c r="S304" s="4">
        <v>461.16552484190765</v>
      </c>
      <c r="T304" s="4">
        <v>1222.0886408310553</v>
      </c>
      <c r="U304" s="4">
        <v>21.02</v>
      </c>
      <c r="V304" s="4">
        <v>0.86</v>
      </c>
      <c r="W304" s="4">
        <v>-6.9989999999999997E-2</v>
      </c>
    </row>
    <row r="305" spans="1:23" x14ac:dyDescent="0.25">
      <c r="A305" s="4" t="s">
        <v>37</v>
      </c>
      <c r="B305" s="4" t="s">
        <v>38</v>
      </c>
      <c r="C305" s="4">
        <v>6</v>
      </c>
      <c r="D305" s="4">
        <v>9</v>
      </c>
      <c r="E305" s="4">
        <v>54</v>
      </c>
      <c r="F305" s="4">
        <v>1772528841</v>
      </c>
      <c r="G305" s="4">
        <v>4697201430</v>
      </c>
      <c r="H305" s="4">
        <v>737549250.70000005</v>
      </c>
      <c r="I305" s="4">
        <v>737549.25069999998</v>
      </c>
      <c r="J305" s="4">
        <v>737.54925070000002</v>
      </c>
      <c r="K305" s="4">
        <v>1626015.8289999999</v>
      </c>
      <c r="L305" s="2">
        <v>6.0000000000000001E-3</v>
      </c>
      <c r="M305" s="4">
        <v>3</v>
      </c>
      <c r="N305" s="4">
        <v>1544.971041</v>
      </c>
      <c r="O305" s="4">
        <v>122040.48826302018</v>
      </c>
      <c r="P305" s="4">
        <v>825.73228346301471</v>
      </c>
      <c r="Q305" s="4">
        <v>2097.3599999960575</v>
      </c>
      <c r="R305" s="2">
        <v>55356700.14016936</v>
      </c>
      <c r="S305" s="2">
        <v>133037010.67091891</v>
      </c>
      <c r="T305" s="2">
        <v>352548078.27793509</v>
      </c>
      <c r="U305" s="2">
        <v>2097.3599999999997</v>
      </c>
      <c r="V305" s="2">
        <v>0.5</v>
      </c>
      <c r="W305" s="2">
        <v>0</v>
      </c>
    </row>
    <row r="306" spans="1:23" x14ac:dyDescent="0.25">
      <c r="A306" s="4" t="s">
        <v>39</v>
      </c>
      <c r="B306" s="4" t="s">
        <v>40</v>
      </c>
      <c r="C306" s="4">
        <v>6</v>
      </c>
      <c r="D306" s="4">
        <v>2</v>
      </c>
      <c r="E306" s="4">
        <v>12</v>
      </c>
      <c r="F306" s="4">
        <v>39926.70031</v>
      </c>
      <c r="G306" s="4">
        <v>105805.7558</v>
      </c>
      <c r="H306" s="4">
        <v>16613.5</v>
      </c>
      <c r="I306" s="4">
        <v>16.613499999999998</v>
      </c>
      <c r="J306" s="4">
        <v>1.66135E-2</v>
      </c>
      <c r="K306" s="4">
        <v>36.626454369999998</v>
      </c>
      <c r="L306" s="4">
        <v>1.2E-2</v>
      </c>
      <c r="M306" s="4">
        <v>3</v>
      </c>
      <c r="N306" s="4">
        <v>111.4533936</v>
      </c>
      <c r="O306" s="4">
        <v>35.241555115787342</v>
      </c>
      <c r="P306" s="4">
        <v>43.319121618121926</v>
      </c>
      <c r="Q306" s="4">
        <v>110.0305689100297</v>
      </c>
      <c r="R306" s="4">
        <v>15985.319518006434</v>
      </c>
      <c r="S306" s="4">
        <v>38417.013982231285</v>
      </c>
      <c r="T306" s="4">
        <v>101805.0870529129</v>
      </c>
      <c r="U306" s="4">
        <v>150.93</v>
      </c>
      <c r="V306" s="4">
        <v>0.11</v>
      </c>
      <c r="W306" s="4">
        <v>0.13</v>
      </c>
    </row>
    <row r="307" spans="1:23" x14ac:dyDescent="0.25">
      <c r="A307" s="4" t="s">
        <v>41</v>
      </c>
      <c r="B307" s="4" t="s">
        <v>42</v>
      </c>
      <c r="C307" s="4">
        <v>6</v>
      </c>
      <c r="D307" s="4">
        <v>4</v>
      </c>
      <c r="E307" s="4">
        <v>24</v>
      </c>
      <c r="F307" s="4">
        <v>17035.09101</v>
      </c>
      <c r="G307" s="4">
        <v>45142.991179999997</v>
      </c>
      <c r="H307" s="4">
        <v>7088.3013689999998</v>
      </c>
      <c r="I307" s="4">
        <v>7.0883013689999999</v>
      </c>
      <c r="J307" s="4">
        <v>7.088301E-3</v>
      </c>
      <c r="K307" s="4">
        <v>15.62701096</v>
      </c>
      <c r="L307" s="4">
        <v>1.34E-2</v>
      </c>
      <c r="M307" s="4">
        <v>3.1</v>
      </c>
      <c r="N307" s="4">
        <v>70.189172310000004</v>
      </c>
      <c r="O307" s="4">
        <v>30.565366073329951</v>
      </c>
      <c r="P307" s="4">
        <v>34.310058939730155</v>
      </c>
      <c r="Q307" s="4">
        <v>87.147549706914589</v>
      </c>
      <c r="R307" s="4">
        <v>13864.233325167126</v>
      </c>
      <c r="S307" s="4">
        <v>33319.474465674422</v>
      </c>
      <c r="T307" s="4">
        <v>88296.60733403721</v>
      </c>
      <c r="U307" s="4">
        <v>91.5</v>
      </c>
      <c r="V307" s="4">
        <v>0.12690000000000001</v>
      </c>
      <c r="W307" s="4">
        <v>0</v>
      </c>
    </row>
    <row r="308" spans="1:23" x14ac:dyDescent="0.25">
      <c r="A308" s="4" t="s">
        <v>43</v>
      </c>
      <c r="B308" s="4" t="s">
        <v>44</v>
      </c>
      <c r="C308" s="4">
        <v>6</v>
      </c>
      <c r="D308" s="4">
        <v>2</v>
      </c>
      <c r="E308" s="4">
        <v>12</v>
      </c>
      <c r="F308" s="4">
        <v>1976.4359529999999</v>
      </c>
      <c r="G308" s="4">
        <v>5237.5552749999997</v>
      </c>
      <c r="H308" s="4">
        <v>822.39499999999998</v>
      </c>
      <c r="I308" s="4">
        <v>0.82239499999999999</v>
      </c>
      <c r="J308" s="4">
        <v>8.2239499999999996E-4</v>
      </c>
      <c r="K308" s="4">
        <v>1.813068465</v>
      </c>
      <c r="L308" s="4">
        <v>1.44E-2</v>
      </c>
      <c r="M308" s="4">
        <v>3</v>
      </c>
      <c r="N308" s="4">
        <v>38.509923540000003</v>
      </c>
      <c r="O308" s="4">
        <v>3.3836673032858817</v>
      </c>
      <c r="P308" s="4">
        <v>18.666522721849898</v>
      </c>
      <c r="Q308" s="4">
        <v>47.412967713498745</v>
      </c>
      <c r="R308" s="2">
        <v>1534.8074966596882</v>
      </c>
      <c r="S308" s="2">
        <v>3688.5544260026159</v>
      </c>
      <c r="T308" s="2">
        <v>9774.6692289069324</v>
      </c>
      <c r="U308" s="2">
        <v>47.633333333333333</v>
      </c>
      <c r="V308" s="2">
        <v>0.44799999999999995</v>
      </c>
      <c r="W308" s="2">
        <v>0</v>
      </c>
    </row>
    <row r="309" spans="1:23" x14ac:dyDescent="0.25">
      <c r="A309" s="4" t="s">
        <v>45</v>
      </c>
      <c r="B309" s="4" t="s">
        <v>46</v>
      </c>
      <c r="C309" s="4">
        <v>6</v>
      </c>
      <c r="D309" s="4">
        <v>5</v>
      </c>
      <c r="E309" s="4">
        <v>30</v>
      </c>
      <c r="F309" s="4">
        <v>7359.7297799999997</v>
      </c>
      <c r="G309" s="4">
        <v>19503.283920000002</v>
      </c>
      <c r="H309" s="4">
        <v>3062.3835610000001</v>
      </c>
      <c r="I309" s="4">
        <v>3.0623835609999999</v>
      </c>
      <c r="J309" s="4">
        <v>3.062384E-3</v>
      </c>
      <c r="K309" s="4">
        <v>6.7513920470000004</v>
      </c>
      <c r="L309" s="4">
        <v>3.96E-3</v>
      </c>
      <c r="M309" s="4">
        <v>3.2</v>
      </c>
      <c r="N309" s="4">
        <v>69.201239700000002</v>
      </c>
      <c r="O309" s="4">
        <v>742.02489872792705</v>
      </c>
      <c r="P309" s="4">
        <v>118.33154027195063</v>
      </c>
      <c r="Q309" s="4">
        <v>300.56211229075461</v>
      </c>
      <c r="R309" s="2">
        <v>336577.23268768634</v>
      </c>
      <c r="S309" s="2">
        <v>808885.4426524546</v>
      </c>
      <c r="T309" s="2">
        <v>2143546.4230290046</v>
      </c>
      <c r="U309" s="2">
        <v>300.78571428571428</v>
      </c>
      <c r="V309" s="2">
        <v>0.24014285714285719</v>
      </c>
      <c r="W309" s="2">
        <v>0</v>
      </c>
    </row>
    <row r="310" spans="1:23" x14ac:dyDescent="0.25">
      <c r="A310" s="2" t="s">
        <v>47</v>
      </c>
      <c r="B310" s="4" t="s">
        <v>48</v>
      </c>
      <c r="C310" s="4">
        <v>6</v>
      </c>
      <c r="D310" s="4">
        <v>1</v>
      </c>
      <c r="E310" s="4">
        <v>6</v>
      </c>
      <c r="F310" s="4">
        <v>283.32131700000002</v>
      </c>
      <c r="G310" s="4">
        <v>750.80149010000002</v>
      </c>
      <c r="H310" s="4">
        <v>117.89000000370002</v>
      </c>
      <c r="I310" s="4">
        <v>0.11789000000370002</v>
      </c>
      <c r="J310" s="4">
        <v>1.1789000000370003E-4</v>
      </c>
      <c r="K310" s="4">
        <v>0.25990265180815714</v>
      </c>
      <c r="L310" s="3">
        <v>1.23E-2</v>
      </c>
      <c r="M310" s="3">
        <v>3.2</v>
      </c>
      <c r="N310" s="4">
        <v>17.548548692677855</v>
      </c>
      <c r="O310" s="4">
        <v>3.0885501240514888</v>
      </c>
      <c r="P310" s="4">
        <v>14.9736428693574</v>
      </c>
      <c r="Q310" s="4">
        <v>38.033052888167795</v>
      </c>
      <c r="R310" s="2">
        <v>1400.9444367063206</v>
      </c>
      <c r="S310" s="2">
        <v>3366.8455580541236</v>
      </c>
      <c r="T310" s="2">
        <v>8922.1407288434275</v>
      </c>
      <c r="U310" s="2">
        <v>39.200000000000003</v>
      </c>
      <c r="V310" s="2">
        <v>0.58571428571428563</v>
      </c>
      <c r="W310" s="2">
        <v>0</v>
      </c>
    </row>
    <row r="311" spans="1:23" x14ac:dyDescent="0.25">
      <c r="A311" s="2" t="s">
        <v>49</v>
      </c>
      <c r="B311" s="4" t="s">
        <v>50</v>
      </c>
      <c r="C311" s="4">
        <v>6</v>
      </c>
      <c r="D311" s="4">
        <v>1</v>
      </c>
      <c r="E311" s="4">
        <v>6</v>
      </c>
      <c r="F311" s="4">
        <v>1976.4359529999999</v>
      </c>
      <c r="G311" s="4">
        <v>5237.5552749999997</v>
      </c>
      <c r="H311" s="4">
        <v>822.3950000433</v>
      </c>
      <c r="I311" s="4">
        <v>0.82239500004330002</v>
      </c>
      <c r="J311" s="4">
        <v>8.2239500004330007E-4</v>
      </c>
      <c r="K311" s="4">
        <v>1.8130684649954598</v>
      </c>
      <c r="L311" s="3">
        <v>1.2E-2</v>
      </c>
      <c r="M311" s="3">
        <v>3.1</v>
      </c>
      <c r="N311" s="4">
        <v>36.305087581617954</v>
      </c>
      <c r="O311" s="4">
        <v>2.4911180490079294</v>
      </c>
      <c r="P311" s="4">
        <v>15.835926711389014</v>
      </c>
      <c r="Q311" s="4">
        <v>40.223253846928095</v>
      </c>
      <c r="R311" s="2">
        <v>1129.9534835971413</v>
      </c>
      <c r="S311" s="2">
        <v>2715.5815515432378</v>
      </c>
      <c r="T311" s="2">
        <v>7196.2911115895795</v>
      </c>
      <c r="U311" s="2">
        <v>54.3</v>
      </c>
      <c r="V311" s="2">
        <v>0.22500000000000001</v>
      </c>
      <c r="W311" s="2">
        <v>0</v>
      </c>
    </row>
    <row r="312" spans="1:23" x14ac:dyDescent="0.25">
      <c r="A312" s="2" t="s">
        <v>51</v>
      </c>
      <c r="B312" s="4" t="s">
        <v>52</v>
      </c>
      <c r="C312" s="4">
        <v>6</v>
      </c>
      <c r="D312" s="4">
        <v>1</v>
      </c>
      <c r="E312" s="4">
        <v>6</v>
      </c>
      <c r="F312" s="4">
        <v>2919.850997</v>
      </c>
      <c r="G312" s="4">
        <v>7737.6051429999998</v>
      </c>
      <c r="H312" s="4">
        <v>1214.9499998517001</v>
      </c>
      <c r="I312" s="4">
        <v>1.2149499998517002</v>
      </c>
      <c r="J312" s="4">
        <v>1.2149499998517002E-3</v>
      </c>
      <c r="K312" s="4">
        <v>2.6785030686730549</v>
      </c>
      <c r="L312" s="3">
        <v>1.24E-2</v>
      </c>
      <c r="M312" s="3">
        <v>3.2</v>
      </c>
      <c r="N312" s="4">
        <v>36.285258805695427</v>
      </c>
      <c r="O312" s="4">
        <v>0.15327221520668291</v>
      </c>
      <c r="P312" s="4">
        <v>5.8430221853144442</v>
      </c>
      <c r="Q312" s="4">
        <v>14.841276350698688</v>
      </c>
      <c r="R312" s="2">
        <v>69.523190031244795</v>
      </c>
      <c r="S312" s="2">
        <v>167.08288880376062</v>
      </c>
      <c r="T312" s="2">
        <v>442.76965532996564</v>
      </c>
      <c r="U312" s="4">
        <v>20.9</v>
      </c>
      <c r="V312" s="4">
        <v>0.19500000000000001</v>
      </c>
      <c r="W312" s="4">
        <v>-0.35</v>
      </c>
    </row>
    <row r="313" spans="1:23" x14ac:dyDescent="0.25">
      <c r="A313" s="4" t="s">
        <v>53</v>
      </c>
      <c r="B313" s="4" t="s">
        <v>54</v>
      </c>
      <c r="C313" s="4">
        <v>6</v>
      </c>
      <c r="D313" s="4">
        <v>2</v>
      </c>
      <c r="E313" s="4">
        <v>12</v>
      </c>
      <c r="F313" s="4">
        <v>2919.850997</v>
      </c>
      <c r="G313" s="4">
        <v>7737.6051429999998</v>
      </c>
      <c r="H313" s="4">
        <v>1214.95</v>
      </c>
      <c r="I313" s="4">
        <v>1.21495</v>
      </c>
      <c r="J313" s="4">
        <v>1.21495E-3</v>
      </c>
      <c r="K313" s="4">
        <v>2.678503069</v>
      </c>
      <c r="L313" s="4">
        <v>1.2E-2</v>
      </c>
      <c r="M313" s="4">
        <v>2.95</v>
      </c>
      <c r="N313" s="4">
        <v>49.743692510000002</v>
      </c>
      <c r="O313" s="4">
        <v>1.0040766809778492</v>
      </c>
      <c r="P313" s="4">
        <v>14.042843643300998</v>
      </c>
      <c r="Q313" s="4">
        <v>35.668822853984537</v>
      </c>
      <c r="R313" s="4">
        <v>455.44206302122319</v>
      </c>
      <c r="S313" s="4">
        <v>1094.5495386234636</v>
      </c>
      <c r="T313" s="4">
        <v>2900.5562773521783</v>
      </c>
      <c r="U313" s="4">
        <v>41</v>
      </c>
      <c r="V313" s="4">
        <v>0.17</v>
      </c>
      <c r="W313" s="4">
        <v>0</v>
      </c>
    </row>
    <row r="314" spans="1:23" x14ac:dyDescent="0.25">
      <c r="A314" s="4" t="s">
        <v>55</v>
      </c>
      <c r="B314" s="4" t="s">
        <v>56</v>
      </c>
      <c r="C314" s="4">
        <v>6</v>
      </c>
      <c r="D314" s="4">
        <v>1</v>
      </c>
      <c r="E314" s="4">
        <v>6</v>
      </c>
      <c r="F314" s="4">
        <v>4036.7700070000001</v>
      </c>
      <c r="G314" s="4">
        <v>10697.44052</v>
      </c>
      <c r="H314" s="4">
        <v>1679.7</v>
      </c>
      <c r="I314" s="4">
        <v>1.6797</v>
      </c>
      <c r="J314" s="4">
        <v>1.6796999999999999E-3</v>
      </c>
      <c r="K314" s="4">
        <v>3.703100214</v>
      </c>
      <c r="L314" s="4">
        <v>1.2999999999999999E-2</v>
      </c>
      <c r="M314" s="4">
        <v>3</v>
      </c>
      <c r="N314" s="4">
        <v>50.554845790000002</v>
      </c>
      <c r="O314" s="4">
        <v>8.169776368743193</v>
      </c>
      <c r="P314" s="4">
        <v>25.91059033578934</v>
      </c>
      <c r="Q314" s="4">
        <v>65.812899452904929</v>
      </c>
      <c r="R314" s="4">
        <v>3705.7526325367608</v>
      </c>
      <c r="S314" s="4">
        <v>8905.9183670674374</v>
      </c>
      <c r="T314" s="4">
        <v>23600.683672728708</v>
      </c>
      <c r="U314" s="4">
        <v>152</v>
      </c>
      <c r="V314" s="4">
        <v>9.6000000000000002E-2</v>
      </c>
      <c r="W314" s="4">
        <v>0.09</v>
      </c>
    </row>
    <row r="315" spans="1:23" x14ac:dyDescent="0.25">
      <c r="A315" s="4" t="s">
        <v>57</v>
      </c>
      <c r="B315" s="4" t="s">
        <v>58</v>
      </c>
      <c r="C315" s="4">
        <v>6</v>
      </c>
      <c r="D315" s="4">
        <v>2</v>
      </c>
      <c r="E315" s="4">
        <v>12</v>
      </c>
      <c r="F315" s="4">
        <v>7278.5388130000001</v>
      </c>
      <c r="G315" s="4">
        <v>19288.127850000001</v>
      </c>
      <c r="H315" s="4">
        <v>3028.6</v>
      </c>
      <c r="I315" s="4">
        <v>3.0286</v>
      </c>
      <c r="J315" s="4">
        <v>3.0286000000000002E-3</v>
      </c>
      <c r="K315" s="4">
        <v>6.676912132</v>
      </c>
      <c r="L315" s="4">
        <v>4.0000000000000001E-3</v>
      </c>
      <c r="M315" s="4">
        <v>3.1</v>
      </c>
      <c r="N315" s="4">
        <v>63.550646100000002</v>
      </c>
      <c r="O315" s="4">
        <v>5.1135606788957313</v>
      </c>
      <c r="P315" s="4">
        <v>28.464587181152147</v>
      </c>
      <c r="Q315" s="4">
        <v>72.300051440126452</v>
      </c>
      <c r="R315" s="4">
        <v>2319.4748659159995</v>
      </c>
      <c r="S315" s="4">
        <v>5574.320754424416</v>
      </c>
      <c r="T315" s="4">
        <v>14771.949999224702</v>
      </c>
      <c r="U315" s="4">
        <v>72.900000000000006</v>
      </c>
      <c r="V315" s="4">
        <v>0.4</v>
      </c>
      <c r="W315" s="4">
        <v>0</v>
      </c>
    </row>
    <row r="316" spans="1:23" x14ac:dyDescent="0.25">
      <c r="A316" s="4" t="s">
        <v>59</v>
      </c>
      <c r="B316" s="4" t="s">
        <v>60</v>
      </c>
      <c r="C316" s="4">
        <v>6</v>
      </c>
      <c r="D316" s="4">
        <v>2</v>
      </c>
      <c r="E316" s="4">
        <v>12</v>
      </c>
      <c r="F316" s="4">
        <v>2919.850997</v>
      </c>
      <c r="G316" s="4">
        <v>7737.6051429999998</v>
      </c>
      <c r="H316" s="4">
        <v>1214.95</v>
      </c>
      <c r="I316" s="4">
        <v>1.21495</v>
      </c>
      <c r="J316" s="4">
        <v>1.21495E-3</v>
      </c>
      <c r="K316" s="4">
        <v>2.678503069</v>
      </c>
      <c r="L316" s="4">
        <v>1.6799999999999999E-2</v>
      </c>
      <c r="M316" s="4">
        <v>3.1</v>
      </c>
      <c r="N316" s="4">
        <v>36.94024039</v>
      </c>
      <c r="O316" s="4">
        <v>195.45126801943385</v>
      </c>
      <c r="P316" s="4">
        <v>58.033792204632618</v>
      </c>
      <c r="Q316" s="4">
        <v>147.40583219976685</v>
      </c>
      <c r="R316" s="4">
        <v>88655.309313820006</v>
      </c>
      <c r="S316" s="4">
        <v>213062.50736318194</v>
      </c>
      <c r="T316" s="4">
        <v>564615.64451243216</v>
      </c>
      <c r="U316" s="4">
        <v>263.2</v>
      </c>
      <c r="V316" s="4">
        <v>7.0000000000000007E-2</v>
      </c>
      <c r="W316" s="4">
        <v>0.27</v>
      </c>
    </row>
    <row r="317" spans="1:23" x14ac:dyDescent="0.25">
      <c r="A317" s="4" t="s">
        <v>61</v>
      </c>
      <c r="B317" s="4" t="s">
        <v>62</v>
      </c>
      <c r="C317" s="4">
        <v>6</v>
      </c>
      <c r="D317" s="4">
        <v>1</v>
      </c>
      <c r="E317" s="4">
        <v>6</v>
      </c>
      <c r="F317" s="4">
        <v>355.75582800000001</v>
      </c>
      <c r="G317" s="4">
        <v>942.75294410000004</v>
      </c>
      <c r="H317" s="4">
        <v>148.03</v>
      </c>
      <c r="I317" s="4">
        <v>0.14802999999999999</v>
      </c>
      <c r="J317" s="4">
        <v>1.4803E-4</v>
      </c>
      <c r="K317" s="4">
        <v>0.326349899</v>
      </c>
      <c r="L317" s="4">
        <v>1.2500000000000001E-2</v>
      </c>
      <c r="M317" s="4">
        <v>3</v>
      </c>
      <c r="N317" s="4">
        <v>22.793616759999999</v>
      </c>
      <c r="O317" s="4">
        <v>0.59262501419292635</v>
      </c>
      <c r="P317" s="4">
        <v>10.948258028323252</v>
      </c>
      <c r="Q317" s="4">
        <v>27.808575391941062</v>
      </c>
      <c r="R317" s="4">
        <v>268.81050439210674</v>
      </c>
      <c r="S317" s="4">
        <v>646.0238029130179</v>
      </c>
      <c r="T317" s="4">
        <v>1711.9630777194973</v>
      </c>
      <c r="U317" s="4">
        <v>33.700000000000003</v>
      </c>
      <c r="V317" s="4">
        <v>0.32</v>
      </c>
      <c r="W317" s="4">
        <v>0.55000000000000004</v>
      </c>
    </row>
    <row r="318" spans="1:23" x14ac:dyDescent="0.25">
      <c r="A318" s="4" t="s">
        <v>63</v>
      </c>
      <c r="B318" s="4" t="s">
        <v>64</v>
      </c>
      <c r="C318" s="4">
        <v>6</v>
      </c>
      <c r="D318" s="4">
        <v>2</v>
      </c>
      <c r="E318" s="4">
        <v>12</v>
      </c>
      <c r="F318" s="4">
        <v>1976.4359529999999</v>
      </c>
      <c r="G318" s="4">
        <v>5237.5552749999997</v>
      </c>
      <c r="H318" s="4">
        <v>822.39499999999998</v>
      </c>
      <c r="I318" s="4">
        <v>0.82239499999999999</v>
      </c>
      <c r="J318" s="4">
        <v>8.2239499999999996E-4</v>
      </c>
      <c r="K318" s="4">
        <v>1.813068465</v>
      </c>
      <c r="L318" s="4">
        <v>1.2E-2</v>
      </c>
      <c r="M318" s="4">
        <v>3.1</v>
      </c>
      <c r="N318" s="4">
        <v>36.305087579999999</v>
      </c>
      <c r="O318" s="4">
        <v>2.9215594884746614</v>
      </c>
      <c r="P318" s="4">
        <v>16.671422300339703</v>
      </c>
      <c r="Q318" s="4">
        <v>42.345412642862847</v>
      </c>
      <c r="R318" s="4">
        <v>1325.198668466521</v>
      </c>
      <c r="S318" s="4">
        <v>3184.8081433946668</v>
      </c>
      <c r="T318" s="4">
        <v>8439.7415799958671</v>
      </c>
      <c r="U318" s="4">
        <v>42.5</v>
      </c>
      <c r="V318" s="4">
        <v>0.47</v>
      </c>
      <c r="W318" s="4">
        <v>0.05</v>
      </c>
    </row>
    <row r="319" spans="1:23" x14ac:dyDescent="0.25">
      <c r="A319" s="4" t="s">
        <v>65</v>
      </c>
      <c r="B319" s="4" t="s">
        <v>66</v>
      </c>
      <c r="C319" s="4">
        <v>6</v>
      </c>
      <c r="D319" s="4">
        <v>3</v>
      </c>
      <c r="E319" s="4">
        <v>18</v>
      </c>
      <c r="F319" s="4">
        <v>9000</v>
      </c>
      <c r="G319" s="4">
        <v>23850</v>
      </c>
      <c r="H319" s="4">
        <v>3744.9</v>
      </c>
      <c r="I319" s="4">
        <v>3.7448999999999999</v>
      </c>
      <c r="J319" s="4">
        <v>3.7448999999999998E-3</v>
      </c>
      <c r="K319" s="4">
        <v>8.2560814380000007</v>
      </c>
      <c r="L319" s="4">
        <v>1.2699999999999999E-2</v>
      </c>
      <c r="M319" s="4">
        <v>3.1</v>
      </c>
      <c r="N319" s="4">
        <v>58.129805840000003</v>
      </c>
      <c r="O319" s="4">
        <v>7.7272053432386754</v>
      </c>
      <c r="P319" s="4">
        <v>22.402189857021018</v>
      </c>
      <c r="Q319" s="4">
        <v>56.901562236833385</v>
      </c>
      <c r="R319" s="4">
        <v>3505.0055534462517</v>
      </c>
      <c r="S319" s="4">
        <v>8423.4692464461714</v>
      </c>
      <c r="T319" s="4">
        <v>22322.193503082355</v>
      </c>
      <c r="U319" s="4">
        <v>58.5</v>
      </c>
      <c r="V319" s="4">
        <v>0.2</v>
      </c>
      <c r="W319" s="4">
        <v>0</v>
      </c>
    </row>
    <row r="320" spans="1:23" x14ac:dyDescent="0.25">
      <c r="A320" s="4" t="s">
        <v>67</v>
      </c>
      <c r="B320" s="4" t="s">
        <v>68</v>
      </c>
      <c r="C320" s="4">
        <v>6</v>
      </c>
      <c r="D320" s="4">
        <v>1</v>
      </c>
      <c r="E320" s="4">
        <v>6</v>
      </c>
      <c r="F320" s="4">
        <v>498.6</v>
      </c>
      <c r="G320" s="4">
        <v>1321.3</v>
      </c>
      <c r="H320" s="4">
        <v>207.46745999999999</v>
      </c>
      <c r="I320" s="4">
        <v>0.20746745999999999</v>
      </c>
      <c r="J320" s="4">
        <v>2.07467E-4</v>
      </c>
      <c r="K320" s="4">
        <v>0.45738691199999998</v>
      </c>
      <c r="L320" s="4">
        <v>1.29E-2</v>
      </c>
      <c r="M320" s="4">
        <v>3.05</v>
      </c>
      <c r="N320" s="4">
        <v>23.940571739999999</v>
      </c>
      <c r="O320" s="4">
        <v>0.85137539381242777</v>
      </c>
      <c r="P320" s="4">
        <v>11.555056338459654</v>
      </c>
      <c r="Q320" s="4">
        <v>29.349843099687519</v>
      </c>
      <c r="R320" s="4">
        <v>386.17784190129265</v>
      </c>
      <c r="S320" s="4">
        <v>928.08902163252264</v>
      </c>
      <c r="T320" s="4">
        <v>2459.4359073261849</v>
      </c>
      <c r="U320" s="4">
        <v>42</v>
      </c>
      <c r="V320" s="4">
        <v>0.2</v>
      </c>
      <c r="W320" s="4">
        <v>0</v>
      </c>
    </row>
    <row r="321" spans="1:23" x14ac:dyDescent="0.25">
      <c r="A321" s="4" t="s">
        <v>69</v>
      </c>
      <c r="B321" s="4" t="s">
        <v>70</v>
      </c>
      <c r="C321" s="4">
        <v>6</v>
      </c>
      <c r="D321" s="4">
        <v>1</v>
      </c>
      <c r="E321" s="4">
        <v>6</v>
      </c>
      <c r="F321" s="4">
        <v>283.32131700000002</v>
      </c>
      <c r="G321" s="4">
        <v>750.80149010000002</v>
      </c>
      <c r="H321" s="4">
        <v>117.89</v>
      </c>
      <c r="I321" s="4">
        <v>0.11788999999999999</v>
      </c>
      <c r="J321" s="4">
        <v>1.1789E-4</v>
      </c>
      <c r="K321" s="4">
        <v>0.25990265200000001</v>
      </c>
      <c r="L321" s="4">
        <v>0.01</v>
      </c>
      <c r="M321" s="4">
        <v>2.9</v>
      </c>
      <c r="N321" s="4">
        <v>25.348809930000002</v>
      </c>
      <c r="O321" s="4">
        <v>0.37915780659131448</v>
      </c>
      <c r="P321" s="4">
        <v>11.367861836130533</v>
      </c>
      <c r="Q321" s="4">
        <v>28.874369063771553</v>
      </c>
      <c r="R321" s="4">
        <v>171.98329262698991</v>
      </c>
      <c r="S321" s="4">
        <v>413.32202025231896</v>
      </c>
      <c r="T321" s="4">
        <v>1095.3033536686453</v>
      </c>
      <c r="U321" s="4">
        <v>37.700000000000003</v>
      </c>
      <c r="V321" s="4">
        <v>0.24199999999999999</v>
      </c>
      <c r="W321" s="4">
        <v>0</v>
      </c>
    </row>
    <row r="322" spans="1:23" x14ac:dyDescent="0.25">
      <c r="A322" s="2" t="s">
        <v>71</v>
      </c>
      <c r="B322" s="4" t="s">
        <v>72</v>
      </c>
      <c r="C322" s="4">
        <v>6</v>
      </c>
      <c r="D322" s="4">
        <v>1</v>
      </c>
      <c r="E322" s="4">
        <v>6</v>
      </c>
      <c r="F322" s="4">
        <v>5.1069454460000001</v>
      </c>
      <c r="G322" s="4">
        <v>13.53340543</v>
      </c>
      <c r="H322" s="4">
        <v>2.1250000000806004</v>
      </c>
      <c r="I322" s="4">
        <v>2.1250000000806006E-3</v>
      </c>
      <c r="J322" s="4">
        <v>2.1250000000806007E-6</v>
      </c>
      <c r="K322" s="4">
        <v>4.6848175001776935E-3</v>
      </c>
      <c r="L322" s="3">
        <v>1.0999999999999999E-2</v>
      </c>
      <c r="M322" s="3">
        <v>3.01</v>
      </c>
      <c r="N322" s="4">
        <v>5.747212108740996</v>
      </c>
      <c r="O322" s="4">
        <v>1.1213860751776305E-2</v>
      </c>
      <c r="P322" s="4">
        <v>3.0238335987507279</v>
      </c>
      <c r="Q322" s="4">
        <v>7.6805373408268487</v>
      </c>
      <c r="R322" s="2">
        <v>5.0865277244043439</v>
      </c>
      <c r="S322" s="2">
        <v>12.224291575112579</v>
      </c>
      <c r="T322" s="2">
        <v>32.394372674048334</v>
      </c>
      <c r="U322" s="4">
        <v>9</v>
      </c>
      <c r="V322" s="4">
        <v>0.32</v>
      </c>
      <c r="W322" s="4">
        <v>0</v>
      </c>
    </row>
    <row r="323" spans="1:23" x14ac:dyDescent="0.25">
      <c r="A323" s="4" t="s">
        <v>73</v>
      </c>
      <c r="B323" s="4" t="s">
        <v>74</v>
      </c>
      <c r="C323" s="4">
        <v>6</v>
      </c>
      <c r="D323" s="4">
        <v>2</v>
      </c>
      <c r="E323" s="4">
        <v>12</v>
      </c>
      <c r="F323" s="4">
        <v>1976.4359529999999</v>
      </c>
      <c r="G323" s="4">
        <v>5237.5552749999997</v>
      </c>
      <c r="H323" s="4">
        <v>822.39499999999998</v>
      </c>
      <c r="I323" s="4">
        <v>0.82239499999999999</v>
      </c>
      <c r="J323" s="4">
        <v>8.2239499999999996E-4</v>
      </c>
      <c r="K323" s="4">
        <v>1.813068465</v>
      </c>
      <c r="L323" s="4">
        <v>1.4E-2</v>
      </c>
      <c r="M323" s="4">
        <v>2.8</v>
      </c>
      <c r="N323" s="4">
        <v>50.489061130000003</v>
      </c>
      <c r="O323" s="4">
        <v>1.1463984104643572</v>
      </c>
      <c r="P323" s="4">
        <v>16.875788268215313</v>
      </c>
      <c r="Q323" s="4">
        <v>42.864502201266895</v>
      </c>
      <c r="R323" s="4">
        <v>519.99819037492045</v>
      </c>
      <c r="S323" s="4">
        <v>1249.6952424295134</v>
      </c>
      <c r="T323" s="4">
        <v>3311.6923924382104</v>
      </c>
      <c r="U323" s="4">
        <v>43</v>
      </c>
      <c r="V323" s="4">
        <v>0.48</v>
      </c>
      <c r="W323" s="4">
        <v>0</v>
      </c>
    </row>
    <row r="324" spans="1:23" x14ac:dyDescent="0.25">
      <c r="A324" s="4" t="s">
        <v>75</v>
      </c>
      <c r="B324" s="4" t="s">
        <v>76</v>
      </c>
      <c r="C324" s="4">
        <v>6</v>
      </c>
      <c r="D324" s="4">
        <v>2</v>
      </c>
      <c r="E324" s="4">
        <v>12</v>
      </c>
      <c r="F324" s="4">
        <v>1976.4359529999999</v>
      </c>
      <c r="G324" s="4">
        <v>5237.5552749999997</v>
      </c>
      <c r="H324" s="4">
        <v>822.39499999999998</v>
      </c>
      <c r="I324" s="4">
        <v>0.82239499999999999</v>
      </c>
      <c r="J324" s="4">
        <v>8.2239499999999996E-4</v>
      </c>
      <c r="K324" s="4">
        <v>1.813068465</v>
      </c>
      <c r="L324" s="4">
        <v>2.5000000000000001E-3</v>
      </c>
      <c r="M324" s="4">
        <v>3.1</v>
      </c>
      <c r="N324" s="4">
        <v>60.217500739999998</v>
      </c>
      <c r="O324" s="4">
        <v>5.9217924576912848</v>
      </c>
      <c r="P324" s="4">
        <v>34.73026005684406</v>
      </c>
      <c r="Q324" s="4">
        <v>88.21486054438391</v>
      </c>
      <c r="R324" s="4">
        <v>2686.083069958217</v>
      </c>
      <c r="S324" s="4">
        <v>6455.3786829084756</v>
      </c>
      <c r="T324" s="4">
        <v>17106.753509707461</v>
      </c>
      <c r="U324" s="4">
        <v>122</v>
      </c>
      <c r="V324" s="4">
        <v>0.107</v>
      </c>
      <c r="W324" s="4">
        <v>0</v>
      </c>
    </row>
    <row r="325" spans="1:23" x14ac:dyDescent="0.25">
      <c r="A325" s="4" t="s">
        <v>77</v>
      </c>
      <c r="B325" s="4" t="s">
        <v>78</v>
      </c>
      <c r="C325" s="4">
        <v>6</v>
      </c>
      <c r="D325" s="4">
        <v>3</v>
      </c>
      <c r="E325" s="4">
        <v>18</v>
      </c>
      <c r="F325" s="4">
        <v>179314.69320000001</v>
      </c>
      <c r="G325" s="4">
        <v>475183.93689999997</v>
      </c>
      <c r="H325" s="4">
        <v>74612.843840000001</v>
      </c>
      <c r="I325" s="4">
        <v>74.612843839999996</v>
      </c>
      <c r="J325" s="4">
        <v>7.4612843999999998E-2</v>
      </c>
      <c r="K325" s="4">
        <v>164.4929678</v>
      </c>
      <c r="L325" s="4">
        <v>3.5000000000000003E-2</v>
      </c>
      <c r="M325" s="4">
        <v>2.9</v>
      </c>
      <c r="N325" s="4">
        <v>152.16895260000001</v>
      </c>
      <c r="O325" s="4">
        <v>409.34738895909385</v>
      </c>
      <c r="P325" s="4">
        <v>82.039874225574707</v>
      </c>
      <c r="Q325" s="4">
        <v>208.38128053295975</v>
      </c>
      <c r="R325" s="2">
        <v>185677.07312783782</v>
      </c>
      <c r="S325" s="2">
        <v>446231.85082393134</v>
      </c>
      <c r="T325" s="2">
        <v>1182514.4046834181</v>
      </c>
      <c r="U325" s="4">
        <v>208.40700000000004</v>
      </c>
      <c r="V325" s="4">
        <v>0.5</v>
      </c>
      <c r="W325" s="4">
        <v>0</v>
      </c>
    </row>
    <row r="326" spans="1:23" x14ac:dyDescent="0.25">
      <c r="A326" s="4" t="s">
        <v>79</v>
      </c>
      <c r="B326" s="4" t="s">
        <v>80</v>
      </c>
      <c r="C326" s="4">
        <v>6</v>
      </c>
      <c r="D326" s="4">
        <v>2</v>
      </c>
      <c r="E326" s="4">
        <v>12</v>
      </c>
      <c r="F326" s="4">
        <v>2919.850997</v>
      </c>
      <c r="G326" s="4">
        <v>7737.6051429999998</v>
      </c>
      <c r="H326" s="4">
        <v>1214.95</v>
      </c>
      <c r="I326" s="4">
        <v>1.21495</v>
      </c>
      <c r="J326" s="4">
        <v>1.21495E-3</v>
      </c>
      <c r="K326" s="4">
        <v>2.678503069</v>
      </c>
      <c r="L326" s="4">
        <v>3.3999999999999998E-3</v>
      </c>
      <c r="M326" s="4">
        <v>3.2850000000000001</v>
      </c>
      <c r="N326" s="4">
        <v>36.285258810000002</v>
      </c>
      <c r="O326" s="4">
        <v>3.2729052631188242</v>
      </c>
      <c r="P326" s="4">
        <v>20.516252054481214</v>
      </c>
      <c r="Q326" s="4">
        <v>52.111280218382284</v>
      </c>
      <c r="R326" s="4">
        <v>1484.5666206052854</v>
      </c>
      <c r="S326" s="4">
        <v>3567.8121139276268</v>
      </c>
      <c r="T326" s="4">
        <v>9454.7021019082113</v>
      </c>
      <c r="U326" s="4">
        <v>59.9</v>
      </c>
      <c r="V326" s="4">
        <v>0.17</v>
      </c>
      <c r="W326" s="4">
        <v>0</v>
      </c>
    </row>
    <row r="327" spans="1:23" x14ac:dyDescent="0.25">
      <c r="A327" s="4" t="s">
        <v>81</v>
      </c>
      <c r="B327" s="4" t="s">
        <v>82</v>
      </c>
      <c r="C327" s="4">
        <v>6</v>
      </c>
      <c r="D327" s="4">
        <v>2</v>
      </c>
      <c r="E327" s="4">
        <v>12</v>
      </c>
      <c r="F327" s="4">
        <v>1976.4359529999999</v>
      </c>
      <c r="G327" s="4">
        <v>5237.5552749999997</v>
      </c>
      <c r="H327" s="4">
        <v>822.39499999999998</v>
      </c>
      <c r="I327" s="4">
        <v>0.82239499999999999</v>
      </c>
      <c r="J327" s="4">
        <v>8.2239499999999996E-4</v>
      </c>
      <c r="K327" s="4">
        <v>1.813068465</v>
      </c>
      <c r="L327" s="4">
        <v>1.4999999999999999E-2</v>
      </c>
      <c r="M327" s="4">
        <v>3</v>
      </c>
      <c r="N327" s="4">
        <v>37.989455370000002</v>
      </c>
      <c r="O327" s="4">
        <v>25.93327458768583</v>
      </c>
      <c r="P327" s="4">
        <v>36.305888443656244</v>
      </c>
      <c r="Q327" s="4">
        <v>92.216956646886857</v>
      </c>
      <c r="R327" s="4">
        <v>11763.149471421755</v>
      </c>
      <c r="S327" s="4">
        <v>28270.005939489918</v>
      </c>
      <c r="T327" s="4">
        <v>74915.515739648283</v>
      </c>
      <c r="U327" s="4">
        <v>106</v>
      </c>
      <c r="V327" s="4">
        <v>0.17</v>
      </c>
      <c r="W327" s="4">
        <v>0</v>
      </c>
    </row>
    <row r="328" spans="1:23" x14ac:dyDescent="0.25">
      <c r="A328" s="4" t="s">
        <v>83</v>
      </c>
      <c r="B328" s="4" t="s">
        <v>84</v>
      </c>
      <c r="C328" s="4">
        <v>6</v>
      </c>
      <c r="D328" s="4">
        <v>7</v>
      </c>
      <c r="E328" s="4">
        <v>42</v>
      </c>
      <c r="F328" s="4">
        <v>51223.1927</v>
      </c>
      <c r="G328" s="4">
        <v>135742.56099999999</v>
      </c>
      <c r="H328" s="4">
        <v>21313.97048</v>
      </c>
      <c r="I328" s="4">
        <v>21.313970479999998</v>
      </c>
      <c r="J328" s="4">
        <v>2.1313970000000002E-2</v>
      </c>
      <c r="K328" s="4">
        <v>46.989205609999999</v>
      </c>
      <c r="L328" s="4">
        <v>5.4000000000000003E-3</v>
      </c>
      <c r="M328" s="4">
        <v>3</v>
      </c>
      <c r="N328" s="4">
        <v>158.0363049</v>
      </c>
      <c r="O328" s="4">
        <v>255.37928747878141</v>
      </c>
      <c r="P328" s="4">
        <v>109.39202775973591</v>
      </c>
      <c r="Q328" s="4">
        <v>277.85575050972921</v>
      </c>
      <c r="R328" s="4">
        <v>115838.23401710109</v>
      </c>
      <c r="S328" s="4">
        <v>278390.37254770752</v>
      </c>
      <c r="T328" s="4">
        <v>737734.48725142493</v>
      </c>
      <c r="U328" s="4">
        <v>280</v>
      </c>
      <c r="V328" s="4">
        <v>0.11600000000000001</v>
      </c>
      <c r="W328" s="4">
        <v>0</v>
      </c>
    </row>
    <row r="329" spans="1:23" x14ac:dyDescent="0.25">
      <c r="A329" s="4" t="s">
        <v>85</v>
      </c>
      <c r="B329" s="4" t="s">
        <v>86</v>
      </c>
      <c r="C329" s="4">
        <v>6</v>
      </c>
      <c r="D329" s="4">
        <v>7</v>
      </c>
      <c r="E329" s="4">
        <v>42</v>
      </c>
      <c r="F329" s="4">
        <v>51223.1927</v>
      </c>
      <c r="G329" s="4">
        <v>135742.56099999999</v>
      </c>
      <c r="H329" s="4">
        <v>21313.97048</v>
      </c>
      <c r="I329" s="4">
        <v>21.313970479999998</v>
      </c>
      <c r="J329" s="4">
        <v>2.1313970000000002E-2</v>
      </c>
      <c r="K329" s="4">
        <v>46.989205609999999</v>
      </c>
      <c r="L329" s="4">
        <v>5.2399999999999999E-3</v>
      </c>
      <c r="M329" s="4">
        <v>3.141</v>
      </c>
      <c r="N329" s="4">
        <v>127.1197449</v>
      </c>
      <c r="O329" s="4">
        <v>751.54422854031532</v>
      </c>
      <c r="P329" s="4">
        <v>120.97143797546796</v>
      </c>
      <c r="Q329" s="4">
        <v>307.26745245768865</v>
      </c>
      <c r="R329" s="2">
        <v>340895.13319316495</v>
      </c>
      <c r="S329" s="2">
        <v>819262.51668628922</v>
      </c>
      <c r="T329" s="2">
        <v>2171045.6692186664</v>
      </c>
      <c r="U329" s="4">
        <v>309.24444444444441</v>
      </c>
      <c r="V329" s="4">
        <v>0.13655555555555554</v>
      </c>
      <c r="W329" s="4">
        <v>5</v>
      </c>
    </row>
    <row r="330" spans="1:23" x14ac:dyDescent="0.25">
      <c r="A330" s="4" t="s">
        <v>87</v>
      </c>
      <c r="B330" s="4" t="s">
        <v>88</v>
      </c>
      <c r="C330" s="4">
        <v>6</v>
      </c>
      <c r="D330" s="4">
        <v>2</v>
      </c>
      <c r="E330" s="4">
        <v>12</v>
      </c>
      <c r="F330" s="4">
        <v>1976.4359529999999</v>
      </c>
      <c r="G330" s="4">
        <v>5237.5552749999997</v>
      </c>
      <c r="H330" s="4">
        <v>822.39499999999998</v>
      </c>
      <c r="I330" s="4">
        <v>0.82239499999999999</v>
      </c>
      <c r="J330" s="4">
        <v>8.2239499999999996E-4</v>
      </c>
      <c r="K330" s="4">
        <v>1.813068465</v>
      </c>
      <c r="L330" s="4">
        <v>6.0000000000000001E-3</v>
      </c>
      <c r="M330" s="4">
        <v>3.1</v>
      </c>
      <c r="N330" s="4">
        <v>45.401890719999997</v>
      </c>
      <c r="O330" s="4">
        <v>0.41251122069027296</v>
      </c>
      <c r="P330" s="4">
        <v>11.087351677141045</v>
      </c>
      <c r="Q330" s="4">
        <v>28.161873259938258</v>
      </c>
      <c r="R330" s="4">
        <v>187.11216476774817</v>
      </c>
      <c r="S330" s="4">
        <v>449.68076127793353</v>
      </c>
      <c r="T330" s="4">
        <v>1191.6540173865237</v>
      </c>
      <c r="U330" s="4">
        <v>40.299999999999997</v>
      </c>
      <c r="V330" s="4">
        <v>0.1</v>
      </c>
      <c r="W330" s="4">
        <v>0</v>
      </c>
    </row>
    <row r="331" spans="1:23" x14ac:dyDescent="0.25">
      <c r="A331" s="4" t="s">
        <v>89</v>
      </c>
      <c r="B331" s="4" t="s">
        <v>90</v>
      </c>
      <c r="C331" s="4">
        <v>6</v>
      </c>
      <c r="D331" s="4">
        <v>8</v>
      </c>
      <c r="E331" s="4">
        <v>48</v>
      </c>
      <c r="F331" s="4">
        <v>48000</v>
      </c>
      <c r="G331" s="4">
        <v>127000</v>
      </c>
      <c r="H331" s="4">
        <v>19972.8</v>
      </c>
      <c r="I331" s="4">
        <v>19.972799999999999</v>
      </c>
      <c r="J331" s="4">
        <v>1.9972799999999999E-2</v>
      </c>
      <c r="K331" s="4">
        <v>44.032434340000002</v>
      </c>
      <c r="L331" s="2">
        <v>0.05</v>
      </c>
      <c r="M331" s="2">
        <v>3.2</v>
      </c>
      <c r="N331" s="4">
        <v>170.3228407</v>
      </c>
      <c r="O331" s="4">
        <v>424.5213752100255</v>
      </c>
      <c r="P331" s="4">
        <v>44.995074539519891</v>
      </c>
      <c r="Q331" s="4">
        <v>114.28748933038052</v>
      </c>
      <c r="R331" s="4">
        <v>192559.88569913432</v>
      </c>
      <c r="S331" s="4">
        <v>462773.09708996472</v>
      </c>
      <c r="T331" s="4">
        <v>1226348.7072884066</v>
      </c>
      <c r="U331" s="4">
        <v>114.3</v>
      </c>
      <c r="V331" s="4">
        <v>0.19</v>
      </c>
      <c r="W331" s="4">
        <v>0</v>
      </c>
    </row>
    <row r="332" spans="1:23" x14ac:dyDescent="0.25">
      <c r="A332" s="4" t="s">
        <v>91</v>
      </c>
      <c r="B332" s="4" t="s">
        <v>92</v>
      </c>
      <c r="C332" s="4">
        <v>6</v>
      </c>
      <c r="D332" s="4">
        <v>2</v>
      </c>
      <c r="E332" s="4">
        <v>12</v>
      </c>
      <c r="F332" s="4">
        <v>1976.4359529999999</v>
      </c>
      <c r="G332" s="4">
        <v>5237.5552749999997</v>
      </c>
      <c r="H332" s="4">
        <v>822.39499999999998</v>
      </c>
      <c r="I332" s="4">
        <v>0.82239499999999999</v>
      </c>
      <c r="J332" s="4">
        <v>8.2239499999999996E-4</v>
      </c>
      <c r="K332" s="4">
        <v>1.813068465</v>
      </c>
      <c r="L332" s="4">
        <v>1.2999999999999999E-2</v>
      </c>
      <c r="M332" s="4">
        <v>3</v>
      </c>
      <c r="N332" s="4">
        <v>39.845477559999999</v>
      </c>
      <c r="O332" s="4">
        <v>4.5235892786819099</v>
      </c>
      <c r="P332" s="4">
        <v>21.276571163671122</v>
      </c>
      <c r="Q332" s="4">
        <v>54.04249075572465</v>
      </c>
      <c r="R332" s="4">
        <v>2051.8680220091942</v>
      </c>
      <c r="S332" s="4">
        <v>4931.1896707743199</v>
      </c>
      <c r="T332" s="4">
        <v>13067.652627551948</v>
      </c>
      <c r="U332" s="4">
        <v>60.2</v>
      </c>
      <c r="V332" s="4">
        <v>0.19</v>
      </c>
      <c r="W332" s="4">
        <v>0</v>
      </c>
    </row>
    <row r="333" spans="1:23" x14ac:dyDescent="0.25">
      <c r="A333" s="4" t="s">
        <v>93</v>
      </c>
      <c r="B333" s="4" t="s">
        <v>94</v>
      </c>
      <c r="C333" s="4">
        <v>6</v>
      </c>
      <c r="D333" s="4">
        <v>9</v>
      </c>
      <c r="E333" s="4">
        <v>54</v>
      </c>
      <c r="F333" s="4">
        <v>1772528841</v>
      </c>
      <c r="G333" s="4">
        <v>4697201430</v>
      </c>
      <c r="H333" s="4">
        <v>737549250.70000005</v>
      </c>
      <c r="I333" s="4">
        <v>737549.25069999998</v>
      </c>
      <c r="J333" s="4">
        <v>737.54925070000002</v>
      </c>
      <c r="K333" s="4">
        <v>1626015.8289999999</v>
      </c>
      <c r="L333" s="2">
        <v>1.7000000000000001E-2</v>
      </c>
      <c r="M333" s="4">
        <v>3</v>
      </c>
      <c r="N333" s="4">
        <v>1544.971041</v>
      </c>
      <c r="O333" s="4">
        <v>149223.01036963495</v>
      </c>
      <c r="P333" s="4">
        <v>623.99914452153007</v>
      </c>
      <c r="Q333" s="4">
        <v>1584.9578270846864</v>
      </c>
      <c r="R333" s="2">
        <v>67686499.428307354</v>
      </c>
      <c r="S333" s="2">
        <v>162668828.23433635</v>
      </c>
      <c r="T333" s="2">
        <v>431072394.82099128</v>
      </c>
      <c r="U333" s="4">
        <v>1584.96</v>
      </c>
      <c r="V333" s="2">
        <v>0.25</v>
      </c>
      <c r="W333" s="4">
        <v>0</v>
      </c>
    </row>
    <row r="334" spans="1:23" x14ac:dyDescent="0.25">
      <c r="A334" s="4" t="s">
        <v>95</v>
      </c>
      <c r="B334" s="2" t="s">
        <v>96</v>
      </c>
      <c r="C334" s="4">
        <v>6</v>
      </c>
      <c r="D334" s="4">
        <v>2</v>
      </c>
      <c r="E334" s="4">
        <v>12</v>
      </c>
      <c r="F334" s="4">
        <v>1976.4359529999999</v>
      </c>
      <c r="G334" s="4">
        <v>5237.5552749999997</v>
      </c>
      <c r="H334" s="4">
        <v>822.39499999999998</v>
      </c>
      <c r="I334" s="4">
        <v>0.82239499999999999</v>
      </c>
      <c r="J334" s="4">
        <v>8.2239499999999996E-4</v>
      </c>
      <c r="K334" s="4">
        <v>1.813068465</v>
      </c>
      <c r="L334" s="4">
        <v>0.01</v>
      </c>
      <c r="M334" s="4">
        <v>3</v>
      </c>
      <c r="N334" s="4">
        <v>39.347356869999999</v>
      </c>
      <c r="O334" s="4">
        <v>41.691384432172946</v>
      </c>
      <c r="P334" s="4">
        <v>48.685967855370038</v>
      </c>
      <c r="Q334" s="4">
        <v>123.6623583526399</v>
      </c>
      <c r="R334" s="4">
        <v>18910.916362989061</v>
      </c>
      <c r="S334" s="4">
        <v>45448.008562819181</v>
      </c>
      <c r="T334" s="4">
        <v>120437.22269147083</v>
      </c>
      <c r="U334" s="4">
        <v>136</v>
      </c>
      <c r="V334" s="4">
        <v>0.2</v>
      </c>
      <c r="W334" s="4">
        <v>0</v>
      </c>
    </row>
    <row r="335" spans="1:23" x14ac:dyDescent="0.25">
      <c r="A335" s="4" t="s">
        <v>97</v>
      </c>
      <c r="B335" s="4" t="s">
        <v>98</v>
      </c>
      <c r="C335" s="4">
        <v>6</v>
      </c>
      <c r="D335" s="4">
        <v>2</v>
      </c>
      <c r="E335" s="4">
        <v>12</v>
      </c>
      <c r="F335" s="4">
        <v>27182.585849999999</v>
      </c>
      <c r="G335" s="4">
        <v>72033.852509999997</v>
      </c>
      <c r="H335" s="4">
        <v>11310.67397</v>
      </c>
      <c r="I335" s="4">
        <v>11.31067397</v>
      </c>
      <c r="J335" s="4">
        <v>1.1310674E-2</v>
      </c>
      <c r="K335" s="4">
        <v>24.935738050000001</v>
      </c>
      <c r="L335" s="2">
        <v>6.5000000000000002E-2</v>
      </c>
      <c r="M335" s="4">
        <v>3</v>
      </c>
      <c r="N335" s="4">
        <v>82.696315999999996</v>
      </c>
      <c r="O335" s="4">
        <v>1.8828785589619494</v>
      </c>
      <c r="P335" s="4">
        <v>9.2901919404029751</v>
      </c>
      <c r="Q335" s="4">
        <v>23.597087528623558</v>
      </c>
      <c r="R335" s="4">
        <v>854.06036367353533</v>
      </c>
      <c r="S335" s="4">
        <v>2052.5363222146971</v>
      </c>
      <c r="T335" s="4">
        <v>5439.2212538689473</v>
      </c>
      <c r="U335" s="4">
        <v>23.6</v>
      </c>
      <c r="V335" s="4">
        <v>0.75</v>
      </c>
      <c r="W335" s="4">
        <v>0</v>
      </c>
    </row>
    <row r="336" spans="1:23" x14ac:dyDescent="0.25">
      <c r="A336" s="4" t="s">
        <v>99</v>
      </c>
      <c r="B336" s="4" t="s">
        <v>100</v>
      </c>
      <c r="C336" s="4">
        <v>6</v>
      </c>
      <c r="D336" s="4">
        <v>2</v>
      </c>
      <c r="E336" s="4">
        <v>12</v>
      </c>
      <c r="F336" s="4">
        <v>1976.4359529999999</v>
      </c>
      <c r="G336" s="4">
        <v>5237.5552749999997</v>
      </c>
      <c r="H336" s="4">
        <v>822.39499999999998</v>
      </c>
      <c r="I336" s="4">
        <v>0.82239499999999999</v>
      </c>
      <c r="J336" s="4">
        <v>8.2239499999999996E-4</v>
      </c>
      <c r="K336" s="4">
        <v>1.813068465</v>
      </c>
      <c r="L336" s="4">
        <v>1.4999999999999999E-2</v>
      </c>
      <c r="M336" s="4">
        <v>3.1</v>
      </c>
      <c r="N336" s="4">
        <v>33.783620839999998</v>
      </c>
      <c r="O336" s="4">
        <v>2.3808082026159325</v>
      </c>
      <c r="P336" s="4">
        <v>14.522355377462496</v>
      </c>
      <c r="Q336" s="4">
        <v>36.88678265875474</v>
      </c>
      <c r="R336" s="4">
        <v>1079.9177194327967</v>
      </c>
      <c r="S336" s="4">
        <v>2595.3321784013383</v>
      </c>
      <c r="T336" s="4">
        <v>6877.6302727635466</v>
      </c>
      <c r="U336" s="4">
        <v>42.4</v>
      </c>
      <c r="V336" s="4">
        <v>0.17</v>
      </c>
      <c r="W336" s="4">
        <v>0</v>
      </c>
    </row>
    <row r="337" spans="1:23" x14ac:dyDescent="0.25">
      <c r="A337" s="4" t="s">
        <v>101</v>
      </c>
      <c r="B337" s="4" t="s">
        <v>102</v>
      </c>
      <c r="C337" s="4">
        <v>6</v>
      </c>
      <c r="D337" s="4">
        <v>2</v>
      </c>
      <c r="E337" s="4">
        <v>12</v>
      </c>
      <c r="F337" s="4">
        <v>1976.4359529999999</v>
      </c>
      <c r="G337" s="4">
        <v>5237.5552749999997</v>
      </c>
      <c r="H337" s="4">
        <v>822.39499999999998</v>
      </c>
      <c r="I337" s="4">
        <v>0.82239499999999999</v>
      </c>
      <c r="J337" s="4">
        <v>8.2239499999999996E-4</v>
      </c>
      <c r="K337" s="4">
        <v>1.813068465</v>
      </c>
      <c r="L337" s="4">
        <v>1.2E-2</v>
      </c>
      <c r="M337" s="4">
        <v>3.1</v>
      </c>
      <c r="N337" s="4">
        <v>36.305087579999999</v>
      </c>
      <c r="O337" s="4">
        <v>22.808395431515205</v>
      </c>
      <c r="P337" s="4">
        <v>32.349638125160034</v>
      </c>
      <c r="Q337" s="4">
        <v>82.168080837906487</v>
      </c>
      <c r="R337" s="2">
        <v>10345.726443339534</v>
      </c>
      <c r="S337" s="2">
        <v>24863.557902762637</v>
      </c>
      <c r="T337" s="2">
        <v>65888.42844232099</v>
      </c>
      <c r="U337" s="4">
        <v>150.03333333333333</v>
      </c>
      <c r="V337" s="4">
        <v>0.11333333333333334</v>
      </c>
      <c r="W337" s="4">
        <v>5</v>
      </c>
    </row>
    <row r="338" spans="1:23" x14ac:dyDescent="0.25">
      <c r="A338" s="4" t="s">
        <v>103</v>
      </c>
      <c r="B338" s="4" t="s">
        <v>104</v>
      </c>
      <c r="C338" s="4">
        <v>6</v>
      </c>
      <c r="D338" s="4">
        <v>1</v>
      </c>
      <c r="E338" s="4">
        <v>6</v>
      </c>
      <c r="F338" s="4">
        <v>1622.4465270000001</v>
      </c>
      <c r="G338" s="4">
        <v>4299.4832969999998</v>
      </c>
      <c r="H338" s="4">
        <v>675.09999989999994</v>
      </c>
      <c r="I338" s="4">
        <v>0.67510000000000003</v>
      </c>
      <c r="J338" s="4">
        <v>6.7509999999999998E-4</v>
      </c>
      <c r="K338" s="4">
        <v>1.488338962</v>
      </c>
      <c r="L338" s="4">
        <v>1.2999999999999999E-2</v>
      </c>
      <c r="M338" s="4">
        <v>2.8</v>
      </c>
      <c r="N338" s="4">
        <v>48.314809320000002</v>
      </c>
      <c r="O338" s="4">
        <v>1.0873336043395747</v>
      </c>
      <c r="P338" s="4">
        <v>17.004115205835031</v>
      </c>
      <c r="Q338" s="4">
        <v>43.190452622820985</v>
      </c>
      <c r="R338" s="4">
        <v>493.20681311952842</v>
      </c>
      <c r="S338" s="4">
        <v>1185.3083708712531</v>
      </c>
      <c r="T338" s="4">
        <v>3141.0671828088207</v>
      </c>
      <c r="U338" s="4">
        <v>65.400000000000006</v>
      </c>
      <c r="V338" s="4">
        <v>0.18</v>
      </c>
      <c r="W338" s="4">
        <v>0</v>
      </c>
    </row>
    <row r="339" spans="1:23" x14ac:dyDescent="0.25">
      <c r="A339" s="2" t="s">
        <v>105</v>
      </c>
      <c r="B339" s="4" t="s">
        <v>700</v>
      </c>
      <c r="C339" s="4">
        <v>6</v>
      </c>
      <c r="D339" s="4">
        <v>3</v>
      </c>
      <c r="E339" s="4">
        <v>18</v>
      </c>
      <c r="F339" s="4">
        <v>9000</v>
      </c>
      <c r="G339" s="4">
        <v>23850</v>
      </c>
      <c r="H339" s="4">
        <v>3744.9</v>
      </c>
      <c r="I339" s="4">
        <v>3.7448999999999999</v>
      </c>
      <c r="J339" s="4">
        <v>3.7448999999999998E-3</v>
      </c>
      <c r="K339" s="4">
        <v>8.2537596000000004</v>
      </c>
      <c r="L339" s="3">
        <v>1.2699999999999999E-2</v>
      </c>
      <c r="M339" s="3">
        <v>3.1</v>
      </c>
      <c r="N339" s="4">
        <v>58.129805837341053</v>
      </c>
      <c r="O339" s="4">
        <v>47.534970709567283</v>
      </c>
      <c r="P339" s="4">
        <v>40.253498117240746</v>
      </c>
      <c r="Q339" s="4">
        <v>102.2438852177915</v>
      </c>
      <c r="R339" s="2">
        <v>21561.525664090539</v>
      </c>
      <c r="S339" s="2">
        <v>51818.134256406003</v>
      </c>
      <c r="T339" s="2">
        <v>137318.05577947589</v>
      </c>
      <c r="U339" s="4">
        <v>109.97499999999999</v>
      </c>
      <c r="V339" s="4">
        <v>0.14750000000000002</v>
      </c>
      <c r="W339" s="4">
        <v>0</v>
      </c>
    </row>
    <row r="340" spans="1:23" x14ac:dyDescent="0.25">
      <c r="A340" s="4" t="s">
        <v>107</v>
      </c>
      <c r="B340" s="4" t="s">
        <v>108</v>
      </c>
      <c r="C340" s="4">
        <v>6</v>
      </c>
      <c r="D340" s="4">
        <v>5</v>
      </c>
      <c r="E340" s="4">
        <v>30</v>
      </c>
      <c r="F340" s="4">
        <v>7359.7297799999997</v>
      </c>
      <c r="G340" s="4">
        <v>19503.283920000002</v>
      </c>
      <c r="H340" s="4">
        <v>3062.3835610000001</v>
      </c>
      <c r="I340" s="4">
        <v>3.0623835609999999</v>
      </c>
      <c r="J340" s="4">
        <v>3.062384E-3</v>
      </c>
      <c r="K340" s="4">
        <v>6.7513920470000004</v>
      </c>
      <c r="L340" s="4">
        <v>3.5999999999999999E-3</v>
      </c>
      <c r="M340" s="4">
        <v>3</v>
      </c>
      <c r="N340" s="4">
        <v>94.751412889999997</v>
      </c>
      <c r="O340" s="4">
        <v>15.126571366192971</v>
      </c>
      <c r="P340" s="4">
        <v>48.81287290720207</v>
      </c>
      <c r="Q340" s="4">
        <v>123.98469718429325</v>
      </c>
      <c r="R340" s="4">
        <v>6861.3055157773088</v>
      </c>
      <c r="S340" s="4">
        <v>16489.559038157433</v>
      </c>
      <c r="T340" s="4">
        <v>43697.331451117199</v>
      </c>
      <c r="U340" s="4">
        <v>124</v>
      </c>
      <c r="V340" s="4">
        <v>0.3</v>
      </c>
      <c r="W340" s="4">
        <v>0</v>
      </c>
    </row>
    <row r="341" spans="1:23" x14ac:dyDescent="0.25">
      <c r="A341" s="4" t="s">
        <v>109</v>
      </c>
      <c r="B341" s="4" t="s">
        <v>110</v>
      </c>
      <c r="C341" s="4">
        <v>6</v>
      </c>
      <c r="D341" s="4">
        <v>5</v>
      </c>
      <c r="E341" s="4">
        <v>30</v>
      </c>
      <c r="F341" s="4">
        <v>7359.7297799999997</v>
      </c>
      <c r="G341" s="4">
        <v>19503.283920000002</v>
      </c>
      <c r="H341" s="4">
        <v>3062.3835610000001</v>
      </c>
      <c r="I341" s="4">
        <v>3.0623835609999999</v>
      </c>
      <c r="J341" s="4">
        <v>3.062384E-3</v>
      </c>
      <c r="K341" s="4">
        <v>6.7513920470000004</v>
      </c>
      <c r="L341" s="4">
        <v>4.3E-3</v>
      </c>
      <c r="M341" s="4">
        <v>3.1</v>
      </c>
      <c r="N341" s="4">
        <v>77.256071860000006</v>
      </c>
      <c r="O341" s="4">
        <v>169.97607750313279</v>
      </c>
      <c r="P341" s="4">
        <v>86.105839909932442</v>
      </c>
      <c r="Q341" s="4">
        <v>218.70883337122839</v>
      </c>
      <c r="R341" s="4">
        <v>77099.943529103781</v>
      </c>
      <c r="S341" s="4">
        <v>185291.86140135492</v>
      </c>
      <c r="T341" s="4">
        <v>491023.4327135905</v>
      </c>
      <c r="U341" s="4">
        <v>267</v>
      </c>
      <c r="V341" s="4">
        <v>5.7000000000000002E-2</v>
      </c>
      <c r="W341" s="4">
        <v>0</v>
      </c>
    </row>
    <row r="342" spans="1:23" x14ac:dyDescent="0.25">
      <c r="A342" s="4" t="s">
        <v>111</v>
      </c>
      <c r="B342" s="4" t="s">
        <v>112</v>
      </c>
      <c r="C342" s="4">
        <v>6</v>
      </c>
      <c r="D342" s="4">
        <v>2</v>
      </c>
      <c r="E342" s="4">
        <v>12</v>
      </c>
      <c r="F342" s="4">
        <v>1976.4359529999999</v>
      </c>
      <c r="G342" s="4">
        <v>5237.5552749999997</v>
      </c>
      <c r="H342" s="4">
        <v>822.39499999999998</v>
      </c>
      <c r="I342" s="4">
        <v>0.82239499999999999</v>
      </c>
      <c r="J342" s="4">
        <v>8.2239499999999996E-4</v>
      </c>
      <c r="K342" s="4">
        <v>1.813068465</v>
      </c>
      <c r="L342" s="4">
        <v>1.2200000000000001E-2</v>
      </c>
      <c r="M342" s="4">
        <v>2.9</v>
      </c>
      <c r="N342" s="4">
        <v>46.246202820000001</v>
      </c>
      <c r="O342" s="4">
        <v>15.274022873534948</v>
      </c>
      <c r="P342" s="4">
        <v>37.965910739870246</v>
      </c>
      <c r="Q342" s="4">
        <v>96.433413279270425</v>
      </c>
      <c r="R342" s="4">
        <v>6928.1884739932266</v>
      </c>
      <c r="S342" s="4">
        <v>16650.296741151709</v>
      </c>
      <c r="T342" s="4">
        <v>44123.28636405203</v>
      </c>
      <c r="U342" s="4">
        <v>113</v>
      </c>
      <c r="V342" s="4">
        <v>0.16</v>
      </c>
      <c r="W342" s="4">
        <v>0</v>
      </c>
    </row>
    <row r="343" spans="1:23" x14ac:dyDescent="0.25">
      <c r="A343" s="4" t="s">
        <v>113</v>
      </c>
      <c r="B343" s="4" t="s">
        <v>114</v>
      </c>
      <c r="C343" s="4">
        <v>6</v>
      </c>
      <c r="D343" s="4">
        <v>2</v>
      </c>
      <c r="E343" s="4">
        <v>12</v>
      </c>
      <c r="F343" s="4">
        <v>2919.850997</v>
      </c>
      <c r="G343" s="4">
        <v>7737.6051429999998</v>
      </c>
      <c r="H343" s="4">
        <v>1214.95</v>
      </c>
      <c r="I343" s="4">
        <v>1.21495</v>
      </c>
      <c r="J343" s="4">
        <v>1.21495E-3</v>
      </c>
      <c r="K343" s="4">
        <v>2.678503069</v>
      </c>
      <c r="L343" s="4">
        <v>1.2E-2</v>
      </c>
      <c r="M343" s="4">
        <v>3.05</v>
      </c>
      <c r="N343" s="4">
        <v>43.763018099999996</v>
      </c>
      <c r="O343" s="4">
        <v>16.474702745780608</v>
      </c>
      <c r="P343" s="4">
        <v>31.256304352140777</v>
      </c>
      <c r="Q343" s="4">
        <v>79.391013054437579</v>
      </c>
      <c r="R343" s="4">
        <v>7472.8083505459481</v>
      </c>
      <c r="S343" s="4">
        <v>17959.164505037126</v>
      </c>
      <c r="T343" s="4">
        <v>47591.785938348381</v>
      </c>
      <c r="U343" s="4">
        <v>85.9</v>
      </c>
      <c r="V343" s="4">
        <v>0.215</v>
      </c>
      <c r="W343" s="4">
        <v>0</v>
      </c>
    </row>
    <row r="344" spans="1:23" x14ac:dyDescent="0.25">
      <c r="A344" s="4" t="s">
        <v>115</v>
      </c>
      <c r="B344" s="4" t="s">
        <v>116</v>
      </c>
      <c r="C344" s="4">
        <v>6</v>
      </c>
      <c r="D344" s="4">
        <v>7</v>
      </c>
      <c r="E344" s="4">
        <v>42</v>
      </c>
      <c r="F344" s="4">
        <v>9236055.5449999999</v>
      </c>
      <c r="G344" s="4">
        <v>24475547.190000001</v>
      </c>
      <c r="H344" s="4">
        <v>3843122.7119999998</v>
      </c>
      <c r="I344" s="4">
        <v>3843.1227119999999</v>
      </c>
      <c r="J344" s="4">
        <v>3.843122712</v>
      </c>
      <c r="K344" s="4">
        <v>8472.6251940000002</v>
      </c>
      <c r="L344" s="2">
        <v>1.4999999999999999E-2</v>
      </c>
      <c r="M344" s="4">
        <v>3</v>
      </c>
      <c r="N344" s="4">
        <v>727.04520960000002</v>
      </c>
      <c r="O344" s="4">
        <v>663.80666345039845</v>
      </c>
      <c r="P344" s="4">
        <v>106.99705359991957</v>
      </c>
      <c r="Q344" s="4">
        <v>271.77251614379571</v>
      </c>
      <c r="R344" s="2">
        <v>301097.99577723077</v>
      </c>
      <c r="S344" s="2">
        <v>723619.31212985038</v>
      </c>
      <c r="T344" s="2">
        <v>1917591.1771441035</v>
      </c>
      <c r="U344" s="4">
        <v>271.77999999999997</v>
      </c>
      <c r="V344" s="4">
        <v>0.25</v>
      </c>
      <c r="W344" s="4">
        <v>0</v>
      </c>
    </row>
    <row r="345" spans="1:23" x14ac:dyDescent="0.25">
      <c r="A345" s="4" t="s">
        <v>117</v>
      </c>
      <c r="B345" s="4" t="s">
        <v>118</v>
      </c>
      <c r="C345" s="4">
        <v>6</v>
      </c>
      <c r="D345" s="4">
        <v>2</v>
      </c>
      <c r="E345" s="4">
        <v>12</v>
      </c>
      <c r="F345" s="4">
        <v>1976.4359529999999</v>
      </c>
      <c r="G345" s="4">
        <v>5237.5552749999997</v>
      </c>
      <c r="H345" s="4">
        <v>822.39499999999998</v>
      </c>
      <c r="I345" s="4">
        <v>0.82239499999999999</v>
      </c>
      <c r="J345" s="4">
        <v>8.2239499999999996E-4</v>
      </c>
      <c r="K345" s="4">
        <v>1.813068465</v>
      </c>
      <c r="L345" s="4">
        <v>1.4999999999999999E-2</v>
      </c>
      <c r="M345" s="4">
        <v>3</v>
      </c>
      <c r="N345" s="4">
        <v>37.989455370000002</v>
      </c>
      <c r="O345" s="4">
        <v>4.4261662847391143</v>
      </c>
      <c r="P345" s="4">
        <v>20.138812475601107</v>
      </c>
      <c r="Q345" s="4">
        <v>51.152583688026816</v>
      </c>
      <c r="R345" s="4">
        <v>2007.677642740751</v>
      </c>
      <c r="S345" s="4">
        <v>4824.9883267021169</v>
      </c>
      <c r="T345" s="4">
        <v>12786.21906576061</v>
      </c>
      <c r="U345" s="4">
        <v>73.2</v>
      </c>
      <c r="V345" s="4">
        <v>0.1</v>
      </c>
      <c r="W345" s="4">
        <v>0</v>
      </c>
    </row>
    <row r="346" spans="1:23" x14ac:dyDescent="0.25">
      <c r="A346" s="4" t="s">
        <v>119</v>
      </c>
      <c r="B346" s="4" t="s">
        <v>120</v>
      </c>
      <c r="C346" s="4">
        <v>6</v>
      </c>
      <c r="D346" s="4">
        <v>3</v>
      </c>
      <c r="E346" s="4">
        <v>18</v>
      </c>
      <c r="F346" s="4">
        <v>182386.1888</v>
      </c>
      <c r="G346" s="4">
        <v>483323.40029999998</v>
      </c>
      <c r="H346" s="4">
        <v>75890.893160000007</v>
      </c>
      <c r="I346" s="4">
        <v>75.890893160000005</v>
      </c>
      <c r="J346" s="4">
        <v>7.5890893000000001E-2</v>
      </c>
      <c r="K346" s="4">
        <v>167.31058089999999</v>
      </c>
      <c r="L346" s="4">
        <v>2.1399999999999999E-2</v>
      </c>
      <c r="M346" s="4">
        <v>2.96</v>
      </c>
      <c r="N346" s="4">
        <v>163.21577260000001</v>
      </c>
      <c r="O346" s="4">
        <v>87.387463452721377</v>
      </c>
      <c r="P346" s="4">
        <v>51.598021120314797</v>
      </c>
      <c r="Q346" s="4">
        <v>131.05897364559959</v>
      </c>
      <c r="R346" s="2">
        <v>39638.333795720522</v>
      </c>
      <c r="S346" s="2">
        <v>95261.556827013992</v>
      </c>
      <c r="T346" s="2">
        <v>252443.12559158707</v>
      </c>
      <c r="U346" s="4">
        <v>133.76666666666668</v>
      </c>
      <c r="V346" s="4">
        <v>0.3</v>
      </c>
      <c r="W346" s="4">
        <v>5</v>
      </c>
    </row>
    <row r="347" spans="1:23" x14ac:dyDescent="0.25">
      <c r="A347" s="4" t="s">
        <v>121</v>
      </c>
      <c r="B347" s="4" t="s">
        <v>122</v>
      </c>
      <c r="C347" s="4">
        <v>6</v>
      </c>
      <c r="D347" s="4">
        <v>7</v>
      </c>
      <c r="E347" s="4">
        <v>42</v>
      </c>
      <c r="F347" s="4">
        <v>9236055.5449999999</v>
      </c>
      <c r="G347" s="4">
        <v>24475547.190000001</v>
      </c>
      <c r="H347" s="4">
        <v>3843122.7119999998</v>
      </c>
      <c r="I347" s="4">
        <v>3843.1227119999999</v>
      </c>
      <c r="J347" s="4">
        <v>3.843122712</v>
      </c>
      <c r="K347" s="4">
        <v>8472.6251940000002</v>
      </c>
      <c r="L347" s="2">
        <v>1E-3</v>
      </c>
      <c r="M347" s="4">
        <v>3</v>
      </c>
      <c r="N347" s="4">
        <v>727.04520960000002</v>
      </c>
      <c r="O347" s="4">
        <v>39454.046178581448</v>
      </c>
      <c r="P347" s="4">
        <v>1029.7984138808067</v>
      </c>
      <c r="Q347" s="4">
        <v>2615.687971257249</v>
      </c>
      <c r="R347" s="2">
        <v>17896075.59515084</v>
      </c>
      <c r="S347" s="2">
        <v>43009073.768687427</v>
      </c>
      <c r="T347" s="2">
        <v>113974045.48702168</v>
      </c>
      <c r="U347" s="4">
        <v>2615.7600000000002</v>
      </c>
      <c r="V347" s="4">
        <v>0.25</v>
      </c>
      <c r="W347" s="4">
        <v>0</v>
      </c>
    </row>
    <row r="348" spans="1:23" x14ac:dyDescent="0.25">
      <c r="A348" s="4" t="s">
        <v>123</v>
      </c>
      <c r="B348" s="4" t="s">
        <v>124</v>
      </c>
      <c r="C348" s="4">
        <v>6</v>
      </c>
      <c r="D348" s="4">
        <v>2</v>
      </c>
      <c r="E348" s="4">
        <v>12</v>
      </c>
      <c r="F348" s="4">
        <v>1976.4359529999999</v>
      </c>
      <c r="G348" s="4">
        <v>5237.5552749999997</v>
      </c>
      <c r="H348" s="4">
        <v>822.39499999999998</v>
      </c>
      <c r="I348" s="4">
        <v>0.82239499999999999</v>
      </c>
      <c r="J348" s="4">
        <v>8.2239499999999996E-4</v>
      </c>
      <c r="K348" s="4">
        <v>1.813068465</v>
      </c>
      <c r="L348" s="4">
        <v>9.4999999999999998E-3</v>
      </c>
      <c r="M348" s="4">
        <v>3.1</v>
      </c>
      <c r="N348" s="4">
        <v>39.146754289999997</v>
      </c>
      <c r="O348" s="4">
        <v>21.554535391180867</v>
      </c>
      <c r="P348" s="4">
        <v>34.25124686096953</v>
      </c>
      <c r="Q348" s="4">
        <v>86.998167026862603</v>
      </c>
      <c r="R348" s="4">
        <v>9776.9844196191934</v>
      </c>
      <c r="S348" s="4">
        <v>23496.71814376158</v>
      </c>
      <c r="T348" s="4">
        <v>62266.303080968188</v>
      </c>
      <c r="U348" s="4">
        <v>111</v>
      </c>
      <c r="V348" s="4">
        <v>0.13</v>
      </c>
      <c r="W348" s="4">
        <v>0.22</v>
      </c>
    </row>
    <row r="349" spans="1:23" x14ac:dyDescent="0.25">
      <c r="A349" s="4" t="s">
        <v>125</v>
      </c>
      <c r="B349" s="4" t="s">
        <v>126</v>
      </c>
      <c r="C349" s="4">
        <v>6</v>
      </c>
      <c r="D349" s="4">
        <v>1</v>
      </c>
      <c r="E349" s="4">
        <v>6</v>
      </c>
      <c r="F349" s="4">
        <v>6412.8815189999996</v>
      </c>
      <c r="G349" s="4">
        <v>16994.136030000001</v>
      </c>
      <c r="H349" s="4">
        <v>2668.4</v>
      </c>
      <c r="I349" s="4">
        <v>2.6684000000000001</v>
      </c>
      <c r="J349" s="4">
        <v>2.6684E-3</v>
      </c>
      <c r="K349" s="4">
        <v>5.8828080079999996</v>
      </c>
      <c r="L349" s="4">
        <v>1.4999999999999999E-2</v>
      </c>
      <c r="M349" s="4">
        <v>2.9</v>
      </c>
      <c r="N349" s="4">
        <v>64.62490047</v>
      </c>
      <c r="O349" s="4">
        <v>5.0620417105033466</v>
      </c>
      <c r="P349" s="4">
        <v>24.158117122524573</v>
      </c>
      <c r="Q349" s="4">
        <v>61.361617491212414</v>
      </c>
      <c r="R349" s="4">
        <v>2296.1062271517753</v>
      </c>
      <c r="S349" s="4">
        <v>5518.1596422777584</v>
      </c>
      <c r="T349" s="4">
        <v>14623.123052036059</v>
      </c>
      <c r="U349" s="4">
        <v>136</v>
      </c>
      <c r="V349" s="4">
        <v>0.1</v>
      </c>
      <c r="W349" s="4">
        <v>0</v>
      </c>
    </row>
    <row r="350" spans="1:23" x14ac:dyDescent="0.25">
      <c r="A350" s="4" t="s">
        <v>127</v>
      </c>
      <c r="B350" s="4" t="s">
        <v>128</v>
      </c>
      <c r="C350" s="4">
        <v>6</v>
      </c>
      <c r="D350" s="4">
        <v>2</v>
      </c>
      <c r="E350" s="4">
        <v>12</v>
      </c>
      <c r="F350" s="4">
        <v>2919.850997</v>
      </c>
      <c r="G350" s="4">
        <v>7737.6051429999998</v>
      </c>
      <c r="H350" s="4">
        <v>1214.95</v>
      </c>
      <c r="I350" s="4">
        <v>1.21495</v>
      </c>
      <c r="J350" s="4">
        <v>1.21495E-3</v>
      </c>
      <c r="K350" s="4">
        <v>2.678503069</v>
      </c>
      <c r="L350" s="4">
        <v>1.4E-2</v>
      </c>
      <c r="M350" s="4">
        <v>3</v>
      </c>
      <c r="N350" s="4">
        <v>44.273459269999996</v>
      </c>
      <c r="O350" s="4">
        <v>7.4170446627288129</v>
      </c>
      <c r="P350" s="4">
        <v>24.476876047754246</v>
      </c>
      <c r="Q350" s="4">
        <v>62.171265161295786</v>
      </c>
      <c r="R350" s="4">
        <v>3364.3188679812451</v>
      </c>
      <c r="S350" s="4">
        <v>8085.3613746244782</v>
      </c>
      <c r="T350" s="4">
        <v>21426.207642754867</v>
      </c>
      <c r="U350" s="4">
        <v>62.2</v>
      </c>
      <c r="V350" s="4">
        <v>0.64</v>
      </c>
      <c r="W350" s="4">
        <v>0</v>
      </c>
    </row>
    <row r="351" spans="1:23" x14ac:dyDescent="0.25">
      <c r="A351" s="4" t="s">
        <v>129</v>
      </c>
      <c r="B351" s="4" t="s">
        <v>130</v>
      </c>
      <c r="C351" s="4">
        <v>6</v>
      </c>
      <c r="D351" s="4">
        <v>2</v>
      </c>
      <c r="E351" s="4">
        <v>12</v>
      </c>
      <c r="F351" s="4">
        <v>1976.4359529999999</v>
      </c>
      <c r="G351" s="4">
        <v>5237.5552749999997</v>
      </c>
      <c r="H351" s="4">
        <v>822.39499999999998</v>
      </c>
      <c r="I351" s="4">
        <v>0.82239499999999999</v>
      </c>
      <c r="J351" s="4">
        <v>8.2239499999999996E-4</v>
      </c>
      <c r="K351" s="4">
        <v>1.813068465</v>
      </c>
      <c r="L351" s="4">
        <v>1.2500000000000001E-2</v>
      </c>
      <c r="M351" s="4">
        <v>2.88</v>
      </c>
      <c r="N351" s="4">
        <v>47.095113740000002</v>
      </c>
      <c r="O351" s="4">
        <v>4.3246851796066172</v>
      </c>
      <c r="P351" s="4">
        <v>25.074513369075369</v>
      </c>
      <c r="Q351" s="4">
        <v>63.689263957451438</v>
      </c>
      <c r="R351" s="4">
        <v>1961.6465330109577</v>
      </c>
      <c r="S351" s="4">
        <v>4714.3632131962449</v>
      </c>
      <c r="T351" s="4">
        <v>12493.062514970048</v>
      </c>
      <c r="U351" s="4">
        <v>158</v>
      </c>
      <c r="V351" s="4">
        <v>4.2999999999999997E-2</v>
      </c>
      <c r="W351" s="4">
        <v>0</v>
      </c>
    </row>
    <row r="352" spans="1:23" x14ac:dyDescent="0.25">
      <c r="A352" s="4" t="s">
        <v>131</v>
      </c>
      <c r="B352" s="4" t="s">
        <v>132</v>
      </c>
      <c r="C352" s="4">
        <v>6</v>
      </c>
      <c r="D352" s="4">
        <v>2</v>
      </c>
      <c r="E352" s="4">
        <v>12</v>
      </c>
      <c r="F352" s="4">
        <v>2919.850997</v>
      </c>
      <c r="G352" s="4">
        <v>7737.6051429999998</v>
      </c>
      <c r="H352" s="4">
        <v>1214.95</v>
      </c>
      <c r="I352" s="4">
        <v>1.21495</v>
      </c>
      <c r="J352" s="4">
        <v>1.21495E-3</v>
      </c>
      <c r="K352" s="4">
        <v>2.678503069</v>
      </c>
      <c r="L352" s="4">
        <v>1.4E-2</v>
      </c>
      <c r="M352" s="4">
        <v>2.9</v>
      </c>
      <c r="N352" s="4">
        <v>50.45532687</v>
      </c>
      <c r="O352" s="4">
        <v>1.5256142830221278</v>
      </c>
      <c r="P352" s="4">
        <v>16.359917139635375</v>
      </c>
      <c r="Q352" s="4">
        <v>41.554189534673853</v>
      </c>
      <c r="R352" s="4">
        <v>692.00782131257438</v>
      </c>
      <c r="S352" s="4">
        <v>1663.0805607127479</v>
      </c>
      <c r="T352" s="4">
        <v>4407.1634858887819</v>
      </c>
      <c r="U352" s="4">
        <v>45.7</v>
      </c>
      <c r="V352" s="4">
        <v>0.2</v>
      </c>
      <c r="W352" s="4">
        <v>0</v>
      </c>
    </row>
    <row r="353" spans="1:42" x14ac:dyDescent="0.25">
      <c r="A353" s="4" t="s">
        <v>133</v>
      </c>
      <c r="B353" s="4" t="s">
        <v>134</v>
      </c>
      <c r="C353" s="4">
        <v>6</v>
      </c>
      <c r="D353" s="4">
        <v>3</v>
      </c>
      <c r="E353" s="4">
        <v>18</v>
      </c>
      <c r="F353" s="4">
        <v>9000</v>
      </c>
      <c r="G353" s="4">
        <v>23850</v>
      </c>
      <c r="H353" s="4">
        <v>3744.9</v>
      </c>
      <c r="I353" s="4">
        <v>3.7448999999999999</v>
      </c>
      <c r="J353" s="4">
        <v>3.7448999999999998E-3</v>
      </c>
      <c r="K353" s="4">
        <v>8.2560814380000007</v>
      </c>
      <c r="L353" s="4">
        <v>1.2699999999999999E-2</v>
      </c>
      <c r="M353" s="4">
        <v>3.1</v>
      </c>
      <c r="N353" s="4">
        <v>58.129805840000003</v>
      </c>
      <c r="O353" s="4">
        <v>38.044210688328377</v>
      </c>
      <c r="P353" s="4">
        <v>37.462963284542965</v>
      </c>
      <c r="Q353" s="4">
        <v>95.155926742739126</v>
      </c>
      <c r="R353" s="4">
        <v>17256.584213301328</v>
      </c>
      <c r="S353" s="4">
        <v>41472.204309784494</v>
      </c>
      <c r="T353" s="4">
        <v>109901.3414209289</v>
      </c>
      <c r="U353" s="4">
        <v>114</v>
      </c>
      <c r="V353" s="4">
        <v>0.1</v>
      </c>
      <c r="W353" s="4">
        <v>0</v>
      </c>
    </row>
    <row r="354" spans="1:42" x14ac:dyDescent="0.25">
      <c r="A354" s="4" t="s">
        <v>135</v>
      </c>
      <c r="B354" s="4" t="s">
        <v>136</v>
      </c>
      <c r="C354" s="4">
        <v>6</v>
      </c>
      <c r="D354" s="4">
        <v>2</v>
      </c>
      <c r="E354" s="4">
        <v>12</v>
      </c>
      <c r="F354" s="4">
        <v>2919.850997</v>
      </c>
      <c r="G354" s="4">
        <v>7737.6051429999998</v>
      </c>
      <c r="H354" s="4">
        <v>1214.95</v>
      </c>
      <c r="I354" s="4">
        <v>1.21495</v>
      </c>
      <c r="J354" s="4">
        <v>1.21495E-3</v>
      </c>
      <c r="K354" s="4">
        <v>2.678503069</v>
      </c>
      <c r="L354" s="4">
        <v>1.2E-2</v>
      </c>
      <c r="M354" s="4">
        <v>3</v>
      </c>
      <c r="N354" s="4">
        <v>46.607848230000002</v>
      </c>
      <c r="O354" s="4">
        <v>1.968129121612461</v>
      </c>
      <c r="P354" s="4">
        <v>16.558175557356925</v>
      </c>
      <c r="Q354" s="4">
        <v>42.057765915686595</v>
      </c>
      <c r="R354" s="4">
        <v>892.72941441720616</v>
      </c>
      <c r="S354" s="4">
        <v>2145.4684316683638</v>
      </c>
      <c r="T354" s="4">
        <v>5685.4913439211641</v>
      </c>
      <c r="U354" s="4">
        <v>60.5</v>
      </c>
      <c r="V354" s="4">
        <v>9.9000000000000005E-2</v>
      </c>
      <c r="W354" s="4">
        <v>0</v>
      </c>
    </row>
    <row r="355" spans="1:42" x14ac:dyDescent="0.25">
      <c r="A355" s="4" t="s">
        <v>137</v>
      </c>
      <c r="B355" s="4" t="s">
        <v>138</v>
      </c>
      <c r="C355" s="4">
        <v>6</v>
      </c>
      <c r="D355" s="4">
        <v>1</v>
      </c>
      <c r="E355" s="4">
        <v>6</v>
      </c>
      <c r="F355" s="4">
        <v>1659.2165339999999</v>
      </c>
      <c r="G355" s="4">
        <v>4396.9238160000004</v>
      </c>
      <c r="H355" s="4">
        <v>690.39999980000005</v>
      </c>
      <c r="I355" s="4">
        <v>0.69040000000000001</v>
      </c>
      <c r="J355" s="4">
        <v>6.9039999999999998E-4</v>
      </c>
      <c r="K355" s="4">
        <v>1.522069648</v>
      </c>
      <c r="L355" s="4">
        <v>1.2500000000000001E-2</v>
      </c>
      <c r="M355" s="4">
        <v>2.82</v>
      </c>
      <c r="N355" s="4">
        <v>48.042758149999997</v>
      </c>
      <c r="O355" s="4">
        <v>1.1354176474011326</v>
      </c>
      <c r="P355" s="4">
        <v>17.047467034078643</v>
      </c>
      <c r="Q355" s="4">
        <v>43.300566266559755</v>
      </c>
      <c r="R355" s="4">
        <v>515.01739410924904</v>
      </c>
      <c r="S355" s="4">
        <v>1237.7250519328265</v>
      </c>
      <c r="T355" s="4">
        <v>3279.9713876219903</v>
      </c>
      <c r="U355" s="4">
        <v>50</v>
      </c>
      <c r="V355" s="4">
        <v>0.33500000000000002</v>
      </c>
      <c r="W355" s="4">
        <v>0</v>
      </c>
    </row>
    <row r="356" spans="1:42" x14ac:dyDescent="0.25">
      <c r="A356" s="4" t="s">
        <v>21</v>
      </c>
      <c r="B356" s="4" t="s">
        <v>22</v>
      </c>
      <c r="C356" s="4">
        <v>7</v>
      </c>
      <c r="D356" s="4">
        <v>1</v>
      </c>
      <c r="E356" s="4">
        <v>7</v>
      </c>
      <c r="F356" s="4">
        <v>283.32131700000002</v>
      </c>
      <c r="G356" s="4">
        <v>750.80149010000002</v>
      </c>
      <c r="H356" s="4">
        <v>117.89</v>
      </c>
      <c r="I356" s="4">
        <v>0.11788999999999999</v>
      </c>
      <c r="J356" s="4">
        <v>1.1789E-4</v>
      </c>
      <c r="K356" s="4">
        <v>0.25990265200000001</v>
      </c>
      <c r="L356" s="4">
        <v>1.6E-2</v>
      </c>
      <c r="M356" s="4">
        <v>3</v>
      </c>
      <c r="N356" s="4">
        <v>19.458931759999999</v>
      </c>
      <c r="O356" s="4">
        <v>4.4868993050588703E-2</v>
      </c>
      <c r="P356" s="4">
        <v>4.2657671869979312</v>
      </c>
      <c r="Q356" s="4">
        <v>10.835048654974745</v>
      </c>
      <c r="R356" s="4">
        <v>20.35225710126403</v>
      </c>
      <c r="S356" s="4">
        <v>48.91193727773139</v>
      </c>
      <c r="T356" s="4">
        <v>129.61663378598817</v>
      </c>
      <c r="U356" s="4">
        <v>11</v>
      </c>
      <c r="V356" s="4">
        <v>0.6</v>
      </c>
      <c r="W356" s="4">
        <v>0</v>
      </c>
    </row>
    <row r="357" spans="1:42" x14ac:dyDescent="0.25">
      <c r="A357" s="4" t="s">
        <v>23</v>
      </c>
      <c r="B357" s="4" t="s">
        <v>24</v>
      </c>
      <c r="C357" s="4">
        <v>7</v>
      </c>
      <c r="D357" s="4">
        <v>3</v>
      </c>
      <c r="E357" s="4">
        <v>21</v>
      </c>
      <c r="F357" s="4">
        <v>186004.12839999999</v>
      </c>
      <c r="G357" s="4">
        <v>492910.94010000001</v>
      </c>
      <c r="H357" s="4">
        <v>77396.31783</v>
      </c>
      <c r="I357" s="4">
        <v>77.396317830000001</v>
      </c>
      <c r="J357" s="4">
        <v>7.7396318000000006E-2</v>
      </c>
      <c r="K357" s="4">
        <v>170.62947019999999</v>
      </c>
      <c r="L357" s="4">
        <v>2.5999999999999999E-2</v>
      </c>
      <c r="M357" s="4">
        <v>3</v>
      </c>
      <c r="N357" s="4">
        <v>209.0929592</v>
      </c>
      <c r="O357" s="4">
        <v>1392.0504603632614</v>
      </c>
      <c r="P357" s="4">
        <v>114.01156640807716</v>
      </c>
      <c r="Q357" s="4">
        <v>289.58937867651599</v>
      </c>
      <c r="R357" s="4">
        <v>631424.21839739336</v>
      </c>
      <c r="S357" s="4">
        <v>1517481.8995371144</v>
      </c>
      <c r="T357" s="4">
        <v>4021327.0337733533</v>
      </c>
      <c r="U357" s="4">
        <v>330</v>
      </c>
      <c r="V357" s="4">
        <v>0.1</v>
      </c>
      <c r="W357" s="4">
        <v>0</v>
      </c>
    </row>
    <row r="358" spans="1:42" x14ac:dyDescent="0.25">
      <c r="A358" s="4" t="s">
        <v>25</v>
      </c>
      <c r="B358" s="4" t="s">
        <v>26</v>
      </c>
      <c r="C358" s="4">
        <v>7</v>
      </c>
      <c r="D358" s="4">
        <v>3</v>
      </c>
      <c r="E358" s="4">
        <v>21</v>
      </c>
      <c r="F358" s="4">
        <v>186004.12839999999</v>
      </c>
      <c r="G358" s="4">
        <v>492910.94010000001</v>
      </c>
      <c r="H358" s="4">
        <v>77396.31783</v>
      </c>
      <c r="I358" s="4">
        <v>77.396317830000001</v>
      </c>
      <c r="J358" s="4">
        <v>7.7396318000000006E-2</v>
      </c>
      <c r="K358" s="4">
        <v>170.62947019999999</v>
      </c>
      <c r="L358" s="4">
        <v>2.1399999999999999E-2</v>
      </c>
      <c r="M358" s="4">
        <v>2.96</v>
      </c>
      <c r="N358" s="4">
        <v>164.30247159999999</v>
      </c>
      <c r="O358" s="4">
        <v>1082.8923467907612</v>
      </c>
      <c r="P358" s="4">
        <v>120.76353010298567</v>
      </c>
      <c r="Q358" s="4">
        <v>306.73936646158359</v>
      </c>
      <c r="R358" s="4">
        <v>491192.29018640902</v>
      </c>
      <c r="S358" s="4">
        <v>1180466.9314741865</v>
      </c>
      <c r="T358" s="4">
        <v>3128237.3684065943</v>
      </c>
      <c r="U358" s="4">
        <v>358.7</v>
      </c>
      <c r="V358" s="4">
        <v>9.1999999999999998E-2</v>
      </c>
      <c r="W358" s="4">
        <v>0</v>
      </c>
    </row>
    <row r="359" spans="1:42" x14ac:dyDescent="0.25">
      <c r="A359" s="4" t="s">
        <v>27</v>
      </c>
      <c r="B359" s="4" t="s">
        <v>28</v>
      </c>
      <c r="C359" s="4">
        <v>7</v>
      </c>
      <c r="D359" s="4">
        <v>1</v>
      </c>
      <c r="E359" s="4">
        <v>7</v>
      </c>
      <c r="F359" s="4">
        <v>11392.21341</v>
      </c>
      <c r="G359" s="4">
        <v>30189.365549999999</v>
      </c>
      <c r="H359" s="4">
        <v>4740.3</v>
      </c>
      <c r="I359" s="4">
        <v>4.7403000000000004</v>
      </c>
      <c r="J359" s="4">
        <v>4.7403000000000002E-3</v>
      </c>
      <c r="K359" s="4">
        <v>10.450560189999999</v>
      </c>
      <c r="L359" s="4">
        <v>1.0999999999999999E-2</v>
      </c>
      <c r="M359" s="4">
        <v>2.9</v>
      </c>
      <c r="N359" s="4">
        <v>87.680109529999996</v>
      </c>
      <c r="O359" s="4">
        <v>5.730467912253193</v>
      </c>
      <c r="P359" s="4">
        <v>28.059813862647253</v>
      </c>
      <c r="Q359" s="4">
        <v>71.271927211124023</v>
      </c>
      <c r="R359" s="4">
        <v>2599.2996127465017</v>
      </c>
      <c r="S359" s="4">
        <v>6246.8147386361488</v>
      </c>
      <c r="T359" s="4">
        <v>16554.059057385795</v>
      </c>
      <c r="U359" s="4">
        <v>94.6</v>
      </c>
      <c r="V359" s="4">
        <v>0.2</v>
      </c>
      <c r="W359" s="4">
        <v>0</v>
      </c>
    </row>
    <row r="360" spans="1:42" x14ac:dyDescent="0.25">
      <c r="A360" s="4" t="s">
        <v>29</v>
      </c>
      <c r="B360" s="4" t="s">
        <v>30</v>
      </c>
      <c r="C360" s="4">
        <v>7</v>
      </c>
      <c r="D360" s="4">
        <v>7</v>
      </c>
      <c r="E360" s="2">
        <v>49</v>
      </c>
      <c r="F360" s="4">
        <v>57132.702899999997</v>
      </c>
      <c r="G360" s="4">
        <v>151401.76300000001</v>
      </c>
      <c r="H360" s="4">
        <v>23772.917679999999</v>
      </c>
      <c r="I360" s="4">
        <v>23.772917679999999</v>
      </c>
      <c r="J360" s="4">
        <v>2.3772918000000001E-2</v>
      </c>
      <c r="K360" s="4">
        <v>52.41024977</v>
      </c>
      <c r="L360" s="4">
        <v>3.2499999999999999E-3</v>
      </c>
      <c r="M360" s="4">
        <v>3</v>
      </c>
      <c r="N360" s="4">
        <v>194.11825339999999</v>
      </c>
      <c r="O360" s="4">
        <v>210.74628969939025</v>
      </c>
      <c r="P360" s="4">
        <v>121.5291782145443</v>
      </c>
      <c r="Q360" s="4">
        <v>308.68411266494252</v>
      </c>
      <c r="R360" s="4">
        <v>95593.022697512613</v>
      </c>
      <c r="S360" s="4">
        <v>229735.69501925647</v>
      </c>
      <c r="T360" s="4">
        <v>608799.59180102963</v>
      </c>
      <c r="U360" s="4">
        <v>311</v>
      </c>
      <c r="V360" s="4">
        <v>0.1</v>
      </c>
      <c r="W360" s="4">
        <v>0</v>
      </c>
    </row>
    <row r="361" spans="1:42" x14ac:dyDescent="0.25">
      <c r="A361" s="2" t="s">
        <v>31</v>
      </c>
      <c r="B361" s="4" t="s">
        <v>32</v>
      </c>
      <c r="C361" s="4">
        <v>7</v>
      </c>
      <c r="D361" s="4">
        <v>1</v>
      </c>
      <c r="E361" s="4">
        <v>7</v>
      </c>
      <c r="F361" s="4">
        <v>283.32131700000002</v>
      </c>
      <c r="G361" s="4">
        <v>750.80149010000002</v>
      </c>
      <c r="H361" s="4">
        <v>117.89000000370002</v>
      </c>
      <c r="I361" s="4">
        <v>0.11789000000370002</v>
      </c>
      <c r="J361" s="4">
        <v>1.1789000000370003E-4</v>
      </c>
      <c r="K361" s="4">
        <v>0.25990265180815714</v>
      </c>
      <c r="L361" s="3">
        <v>1.1599999999999999E-2</v>
      </c>
      <c r="M361" s="3">
        <v>3</v>
      </c>
      <c r="N361" s="4">
        <v>21.66072520689421</v>
      </c>
      <c r="O361" s="4">
        <v>0.63201985770595825</v>
      </c>
      <c r="P361" s="4">
        <v>11.467778093834573</v>
      </c>
      <c r="Q361" s="4">
        <v>29.128156358339815</v>
      </c>
      <c r="R361" s="2">
        <v>286.67972607794462</v>
      </c>
      <c r="S361" s="2">
        <v>688.96833952882616</v>
      </c>
      <c r="T361" s="2">
        <v>1825.7660997513892</v>
      </c>
      <c r="U361" s="2">
        <v>29.172666666666665</v>
      </c>
      <c r="V361" s="2">
        <v>0.92646666666666677</v>
      </c>
      <c r="W361" s="2">
        <v>0</v>
      </c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</row>
    <row r="362" spans="1:42" x14ac:dyDescent="0.25">
      <c r="A362" s="4" t="s">
        <v>33</v>
      </c>
      <c r="B362" s="4" t="s">
        <v>34</v>
      </c>
      <c r="C362" s="4">
        <v>7</v>
      </c>
      <c r="D362" s="4">
        <v>2</v>
      </c>
      <c r="E362" s="4">
        <v>14</v>
      </c>
      <c r="F362" s="4">
        <v>2275.6669069999998</v>
      </c>
      <c r="G362" s="4">
        <v>6030.517304</v>
      </c>
      <c r="H362" s="4">
        <v>946.90499999999997</v>
      </c>
      <c r="I362" s="4">
        <v>0.946905</v>
      </c>
      <c r="J362" s="4">
        <v>9.4690499999999995E-4</v>
      </c>
      <c r="K362" s="4">
        <v>2.0875657009999999</v>
      </c>
      <c r="L362" s="4">
        <v>1.4999999999999999E-2</v>
      </c>
      <c r="M362" s="4">
        <v>3</v>
      </c>
      <c r="N362" s="4">
        <v>39.817291709999999</v>
      </c>
      <c r="O362" s="4">
        <v>5.82832826495014</v>
      </c>
      <c r="P362" s="4">
        <v>22.07357200038534</v>
      </c>
      <c r="Q362" s="4">
        <v>56.066872880978764</v>
      </c>
      <c r="R362" s="4">
        <v>2643.6883748447081</v>
      </c>
      <c r="S362" s="4">
        <v>6353.4928499031676</v>
      </c>
      <c r="T362" s="4">
        <v>16836.756052243392</v>
      </c>
      <c r="U362" s="4">
        <v>58.9</v>
      </c>
      <c r="V362" s="4">
        <v>0.22</v>
      </c>
      <c r="W362" s="4">
        <v>0.20699999999999999</v>
      </c>
    </row>
    <row r="363" spans="1:42" x14ac:dyDescent="0.25">
      <c r="A363" s="4" t="s">
        <v>35</v>
      </c>
      <c r="B363" s="4" t="s">
        <v>36</v>
      </c>
      <c r="C363" s="4">
        <v>7</v>
      </c>
      <c r="D363" s="4">
        <v>1</v>
      </c>
      <c r="E363" s="4">
        <v>7</v>
      </c>
      <c r="F363" s="4">
        <v>283.32131700000002</v>
      </c>
      <c r="G363" s="4">
        <v>750.80149010000002</v>
      </c>
      <c r="H363" s="4">
        <v>117.89</v>
      </c>
      <c r="I363" s="4">
        <v>0.11788999999999999</v>
      </c>
      <c r="J363" s="4">
        <v>1.1789E-4</v>
      </c>
      <c r="K363" s="4">
        <v>0.25990265200000001</v>
      </c>
      <c r="L363" s="4">
        <v>2.1000000000000001E-2</v>
      </c>
      <c r="M363" s="4">
        <v>3</v>
      </c>
      <c r="N363" s="4">
        <v>17.772665109999998</v>
      </c>
      <c r="O363" s="4">
        <v>0.42703856901168957</v>
      </c>
      <c r="P363" s="4">
        <v>8.2566581620988213</v>
      </c>
      <c r="Q363" s="4">
        <v>20.971911731731009</v>
      </c>
      <c r="R363" s="4">
        <v>193.70166695924448</v>
      </c>
      <c r="S363" s="4">
        <v>465.5171039635772</v>
      </c>
      <c r="T363" s="4">
        <v>1233.6203255034795</v>
      </c>
      <c r="U363" s="4">
        <v>21.02</v>
      </c>
      <c r="V363" s="4">
        <v>0.86</v>
      </c>
      <c r="W363" s="4">
        <v>-6.9989999999999997E-2</v>
      </c>
    </row>
    <row r="364" spans="1:42" x14ac:dyDescent="0.25">
      <c r="A364" s="4" t="s">
        <v>37</v>
      </c>
      <c r="B364" s="4" t="s">
        <v>38</v>
      </c>
      <c r="C364" s="4">
        <v>7</v>
      </c>
      <c r="D364" s="4">
        <v>9</v>
      </c>
      <c r="E364" s="4">
        <v>63</v>
      </c>
      <c r="F364" s="4">
        <v>1772528859</v>
      </c>
      <c r="G364" s="4">
        <v>4697201478</v>
      </c>
      <c r="H364" s="4">
        <v>737549258.20000005</v>
      </c>
      <c r="I364" s="4">
        <v>737549.25820000004</v>
      </c>
      <c r="J364" s="4">
        <v>737.54925820000005</v>
      </c>
      <c r="K364" s="4">
        <v>1626015.8459999999</v>
      </c>
      <c r="L364" s="2">
        <v>6.0000000000000001E-3</v>
      </c>
      <c r="M364" s="4">
        <v>3</v>
      </c>
      <c r="N364" s="4">
        <v>1544.971047</v>
      </c>
      <c r="O364" s="4">
        <v>122040.48826370071</v>
      </c>
      <c r="P364" s="4">
        <v>825.7322834645496</v>
      </c>
      <c r="Q364" s="4">
        <v>2097.359999999956</v>
      </c>
      <c r="R364" s="2">
        <v>55356700.140478045</v>
      </c>
      <c r="S364" s="2">
        <v>133037010.67166077</v>
      </c>
      <c r="T364" s="2">
        <v>352548078.27990103</v>
      </c>
      <c r="U364" s="2">
        <v>2097.3599999999997</v>
      </c>
      <c r="V364" s="2">
        <v>0.5</v>
      </c>
      <c r="W364" s="2">
        <v>0</v>
      </c>
      <c r="Y364" s="7"/>
      <c r="Z364" s="7"/>
      <c r="AA364" s="7"/>
      <c r="AB364" s="7"/>
    </row>
    <row r="365" spans="1:42" x14ac:dyDescent="0.25">
      <c r="A365" s="4" t="s">
        <v>39</v>
      </c>
      <c r="B365" s="4" t="s">
        <v>40</v>
      </c>
      <c r="C365" s="4">
        <v>7</v>
      </c>
      <c r="D365" s="4">
        <v>2</v>
      </c>
      <c r="E365" s="4">
        <v>14</v>
      </c>
      <c r="F365" s="4">
        <v>49795.722179999997</v>
      </c>
      <c r="G365" s="4">
        <v>131958.66380000001</v>
      </c>
      <c r="H365" s="4">
        <v>20720</v>
      </c>
      <c r="I365" s="4">
        <v>20.72</v>
      </c>
      <c r="J365" s="4">
        <v>2.0719999999999999E-2</v>
      </c>
      <c r="K365" s="4">
        <v>45.6797264</v>
      </c>
      <c r="L365" s="4">
        <v>1.2E-2</v>
      </c>
      <c r="M365" s="4">
        <v>3</v>
      </c>
      <c r="N365" s="4">
        <v>119.9691279</v>
      </c>
      <c r="O365" s="4">
        <v>43.585971696550949</v>
      </c>
      <c r="P365" s="4">
        <v>46.498991230050322</v>
      </c>
      <c r="Q365" s="4">
        <v>118.10743772432782</v>
      </c>
      <c r="R365" s="4">
        <v>19770.28771241799</v>
      </c>
      <c r="S365" s="4">
        <v>47513.308609512111</v>
      </c>
      <c r="T365" s="4">
        <v>125910.26781520709</v>
      </c>
      <c r="U365" s="4">
        <v>150.93</v>
      </c>
      <c r="V365" s="4">
        <v>0.11</v>
      </c>
      <c r="W365" s="4">
        <v>0.13</v>
      </c>
    </row>
    <row r="366" spans="1:42" x14ac:dyDescent="0.25">
      <c r="A366" s="4" t="s">
        <v>41</v>
      </c>
      <c r="B366" s="4" t="s">
        <v>42</v>
      </c>
      <c r="C366" s="4">
        <v>7</v>
      </c>
      <c r="D366" s="4">
        <v>4</v>
      </c>
      <c r="E366" s="4">
        <v>28</v>
      </c>
      <c r="F366" s="4">
        <v>21167.198349999999</v>
      </c>
      <c r="G366" s="4">
        <v>56093.075620000003</v>
      </c>
      <c r="H366" s="4">
        <v>8807.6712329999991</v>
      </c>
      <c r="I366" s="4">
        <v>8.8076712330000007</v>
      </c>
      <c r="J366" s="4">
        <v>8.8076709999999996E-3</v>
      </c>
      <c r="K366" s="4">
        <v>19.417568150000001</v>
      </c>
      <c r="L366" s="4">
        <v>1.34E-2</v>
      </c>
      <c r="M366" s="4">
        <v>3.1</v>
      </c>
      <c r="N366" s="4">
        <v>75.282768129999994</v>
      </c>
      <c r="O366" s="4">
        <v>32.488711412223459</v>
      </c>
      <c r="P366" s="4">
        <v>34.992162442343009</v>
      </c>
      <c r="Q366" s="4">
        <v>88.880092603551248</v>
      </c>
      <c r="R366" s="4">
        <v>14736.649133285309</v>
      </c>
      <c r="S366" s="4">
        <v>35416.123848318457</v>
      </c>
      <c r="T366" s="4">
        <v>93852.728198043915</v>
      </c>
      <c r="U366" s="4">
        <v>91.5</v>
      </c>
      <c r="V366" s="4">
        <v>0.12690000000000001</v>
      </c>
      <c r="W366" s="4">
        <v>0</v>
      </c>
    </row>
    <row r="367" spans="1:42" x14ac:dyDescent="0.25">
      <c r="A367" s="4" t="s">
        <v>43</v>
      </c>
      <c r="B367" s="4" t="s">
        <v>44</v>
      </c>
      <c r="C367" s="4">
        <v>7</v>
      </c>
      <c r="D367" s="4">
        <v>2</v>
      </c>
      <c r="E367" s="4">
        <v>14</v>
      </c>
      <c r="F367" s="4">
        <v>2275.6669069999998</v>
      </c>
      <c r="G367" s="4">
        <v>6030.517304</v>
      </c>
      <c r="H367" s="4">
        <v>946.90499999999997</v>
      </c>
      <c r="I367" s="4">
        <v>0.946905</v>
      </c>
      <c r="J367" s="4">
        <v>9.4690499999999995E-4</v>
      </c>
      <c r="K367" s="4">
        <v>2.0875657009999999</v>
      </c>
      <c r="L367" s="4">
        <v>1.44E-2</v>
      </c>
      <c r="M367" s="4">
        <v>3</v>
      </c>
      <c r="N367" s="4">
        <v>40.362801849999997</v>
      </c>
      <c r="O367" s="4">
        <v>3.4116651846413717</v>
      </c>
      <c r="P367" s="4">
        <v>18.717866245925169</v>
      </c>
      <c r="Q367" s="4">
        <v>47.543380264649933</v>
      </c>
      <c r="R367" s="2">
        <v>1547.5071371217587</v>
      </c>
      <c r="S367" s="2">
        <v>3719.0750711890378</v>
      </c>
      <c r="T367" s="2">
        <v>9855.5489386509489</v>
      </c>
      <c r="U367" s="2">
        <v>47.633333333333333</v>
      </c>
      <c r="V367" s="2">
        <v>0.44799999999999995</v>
      </c>
      <c r="W367" s="2">
        <v>0</v>
      </c>
      <c r="Y367" s="7"/>
      <c r="Z367" s="7"/>
      <c r="AA367" s="7"/>
    </row>
    <row r="368" spans="1:42" x14ac:dyDescent="0.25">
      <c r="A368" s="4" t="s">
        <v>45</v>
      </c>
      <c r="B368" s="4" t="s">
        <v>46</v>
      </c>
      <c r="C368" s="4">
        <v>7</v>
      </c>
      <c r="D368" s="4">
        <v>5</v>
      </c>
      <c r="E368" s="4">
        <v>35</v>
      </c>
      <c r="F368" s="4">
        <v>7506.0987050000003</v>
      </c>
      <c r="G368" s="4">
        <v>19891.16157</v>
      </c>
      <c r="H368" s="4">
        <v>3123.287671</v>
      </c>
      <c r="I368" s="4">
        <v>3.1232876709999999</v>
      </c>
      <c r="J368" s="4">
        <v>3.1232880000000001E-3</v>
      </c>
      <c r="K368" s="4">
        <v>6.8856624660000003</v>
      </c>
      <c r="L368" s="4">
        <v>3.96E-3</v>
      </c>
      <c r="M368" s="4">
        <v>3.2</v>
      </c>
      <c r="N368" s="4">
        <v>69.62841358</v>
      </c>
      <c r="O368" s="4">
        <v>743.26041491437502</v>
      </c>
      <c r="P368" s="4">
        <v>118.39307667217778</v>
      </c>
      <c r="Q368" s="4">
        <v>300.71841474733156</v>
      </c>
      <c r="R368" s="2">
        <v>337137.65406935208</v>
      </c>
      <c r="S368" s="2">
        <v>810232.28567496291</v>
      </c>
      <c r="T368" s="2">
        <v>2147115.5570386518</v>
      </c>
      <c r="U368" s="2">
        <v>300.78571428571428</v>
      </c>
      <c r="V368" s="2">
        <v>0.24014285714285719</v>
      </c>
      <c r="W368" s="2">
        <v>0</v>
      </c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</row>
    <row r="369" spans="1:32" x14ac:dyDescent="0.25">
      <c r="A369" s="2" t="s">
        <v>47</v>
      </c>
      <c r="B369" s="4" t="s">
        <v>48</v>
      </c>
      <c r="C369" s="4">
        <v>7</v>
      </c>
      <c r="D369" s="4">
        <v>1</v>
      </c>
      <c r="E369" s="4">
        <v>7</v>
      </c>
      <c r="F369" s="4">
        <v>314.44364339999998</v>
      </c>
      <c r="G369" s="4">
        <v>833.27565500000003</v>
      </c>
      <c r="H369" s="4">
        <v>130.84000001874</v>
      </c>
      <c r="I369" s="4">
        <v>0.13084000001873999</v>
      </c>
      <c r="J369" s="4">
        <v>1.3084000001873999E-4</v>
      </c>
      <c r="K369" s="4">
        <v>0.28845248084131453</v>
      </c>
      <c r="L369" s="3">
        <v>1.23E-2</v>
      </c>
      <c r="M369" s="3">
        <v>3.2</v>
      </c>
      <c r="N369" s="4">
        <v>18.129510157606568</v>
      </c>
      <c r="O369" s="4">
        <v>3.2249986423096479</v>
      </c>
      <c r="P369" s="4">
        <v>15.17730359222479</v>
      </c>
      <c r="Q369" s="4">
        <v>38.550351124250966</v>
      </c>
      <c r="R369" s="2">
        <v>1462.8365170912211</v>
      </c>
      <c r="S369" s="2">
        <v>3515.588841843839</v>
      </c>
      <c r="T369" s="2">
        <v>9316.310430886173</v>
      </c>
      <c r="U369" s="2">
        <v>39.200000000000003</v>
      </c>
      <c r="V369" s="2">
        <v>0.58571428571428563</v>
      </c>
      <c r="W369" s="2">
        <v>0</v>
      </c>
      <c r="Y369" s="7"/>
      <c r="Z369" s="7"/>
      <c r="AA369" s="7"/>
      <c r="AB369" s="7"/>
      <c r="AC369" s="7"/>
      <c r="AD369" s="7"/>
      <c r="AE369" s="7"/>
      <c r="AF369" s="7"/>
    </row>
    <row r="370" spans="1:32" x14ac:dyDescent="0.25">
      <c r="A370" s="2" t="s">
        <v>49</v>
      </c>
      <c r="B370" s="4" t="s">
        <v>50</v>
      </c>
      <c r="C370" s="4">
        <v>7</v>
      </c>
      <c r="D370" s="4">
        <v>1</v>
      </c>
      <c r="E370" s="4">
        <v>7</v>
      </c>
      <c r="F370" s="4">
        <v>2275.6669069999998</v>
      </c>
      <c r="G370" s="4">
        <v>6030.517304</v>
      </c>
      <c r="H370" s="4">
        <v>946.90500000269992</v>
      </c>
      <c r="I370" s="4">
        <v>0.94690500000269995</v>
      </c>
      <c r="J370" s="4">
        <v>9.4690500000269994E-4</v>
      </c>
      <c r="K370" s="4">
        <v>2.0875657011059521</v>
      </c>
      <c r="L370" s="3">
        <v>1.2E-2</v>
      </c>
      <c r="M370" s="3">
        <v>3.1</v>
      </c>
      <c r="N370" s="4">
        <v>37.994242889558372</v>
      </c>
      <c r="O370" s="4">
        <v>3.0770072449392756</v>
      </c>
      <c r="P370" s="4">
        <v>16.952555074572206</v>
      </c>
      <c r="Q370" s="4">
        <v>43.059489889413406</v>
      </c>
      <c r="R370" s="2">
        <v>1395.7086685865481</v>
      </c>
      <c r="S370" s="2">
        <v>3354.2626017460907</v>
      </c>
      <c r="T370" s="2">
        <v>8888.7958946271392</v>
      </c>
      <c r="U370" s="2">
        <v>54.3</v>
      </c>
      <c r="V370" s="2">
        <v>0.22500000000000001</v>
      </c>
      <c r="W370" s="2">
        <v>0</v>
      </c>
      <c r="Y370" s="7"/>
      <c r="Z370" s="7"/>
      <c r="AA370" s="7"/>
      <c r="AB370" s="7"/>
    </row>
    <row r="371" spans="1:32" x14ac:dyDescent="0.25">
      <c r="A371" s="2" t="s">
        <v>51</v>
      </c>
      <c r="B371" s="4" t="s">
        <v>52</v>
      </c>
      <c r="C371" s="4">
        <v>7</v>
      </c>
      <c r="D371" s="4">
        <v>1</v>
      </c>
      <c r="E371" s="4">
        <v>7</v>
      </c>
      <c r="F371" s="4">
        <v>3445.5659700000001</v>
      </c>
      <c r="G371" s="4">
        <v>9130.7498190000006</v>
      </c>
      <c r="H371" s="4">
        <v>1433.7000001169999</v>
      </c>
      <c r="I371" s="4">
        <v>1.4337000001169999</v>
      </c>
      <c r="J371" s="4">
        <v>1.4337000001169999E-3</v>
      </c>
      <c r="K371" s="4">
        <v>3.1607636942579402</v>
      </c>
      <c r="L371" s="3">
        <v>1.24E-2</v>
      </c>
      <c r="M371" s="3">
        <v>3.2</v>
      </c>
      <c r="N371" s="4">
        <v>38.211926836032923</v>
      </c>
      <c r="O371" s="4">
        <v>0.19164966333316838</v>
      </c>
      <c r="P371" s="4">
        <v>6.2656189755004892</v>
      </c>
      <c r="Q371" s="4">
        <v>15.914672197771242</v>
      </c>
      <c r="R371" s="2">
        <v>86.930928383652684</v>
      </c>
      <c r="S371" s="2">
        <v>208.91835708640397</v>
      </c>
      <c r="T371" s="2">
        <v>553.63364627897056</v>
      </c>
      <c r="U371" s="4">
        <v>20.9</v>
      </c>
      <c r="V371" s="4">
        <v>0.19500000000000001</v>
      </c>
      <c r="W371" s="4">
        <v>-0.35</v>
      </c>
      <c r="Y371" s="7"/>
      <c r="Z371" s="7"/>
      <c r="AA371" s="7"/>
    </row>
    <row r="372" spans="1:32" x14ac:dyDescent="0.25">
      <c r="A372" s="4" t="s">
        <v>53</v>
      </c>
      <c r="B372" s="4" t="s">
        <v>54</v>
      </c>
      <c r="C372" s="4">
        <v>7</v>
      </c>
      <c r="D372" s="4">
        <v>2</v>
      </c>
      <c r="E372" s="4">
        <v>14</v>
      </c>
      <c r="F372" s="4">
        <v>3445.5659700000001</v>
      </c>
      <c r="G372" s="4">
        <v>9130.7498190000006</v>
      </c>
      <c r="H372" s="4">
        <v>1433.7</v>
      </c>
      <c r="I372" s="4">
        <v>1.4337</v>
      </c>
      <c r="J372" s="4">
        <v>1.4337E-3</v>
      </c>
      <c r="K372" s="4">
        <v>3.1607636939999999</v>
      </c>
      <c r="L372" s="4">
        <v>1.2E-2</v>
      </c>
      <c r="M372" s="4">
        <v>2.95</v>
      </c>
      <c r="N372" s="4">
        <v>52.615155799999997</v>
      </c>
      <c r="O372" s="4">
        <v>1.1371127539997286</v>
      </c>
      <c r="P372" s="4">
        <v>14.647805638612571</v>
      </c>
      <c r="Q372" s="4">
        <v>37.20542632207593</v>
      </c>
      <c r="R372" s="4">
        <v>515.78628244310971</v>
      </c>
      <c r="S372" s="4">
        <v>1239.5728970033879</v>
      </c>
      <c r="T372" s="4">
        <v>3284.8681770589778</v>
      </c>
      <c r="U372" s="4">
        <v>41</v>
      </c>
      <c r="V372" s="4">
        <v>0.17</v>
      </c>
      <c r="W372" s="4">
        <v>0</v>
      </c>
    </row>
    <row r="373" spans="1:32" x14ac:dyDescent="0.25">
      <c r="A373" s="4" t="s">
        <v>55</v>
      </c>
      <c r="B373" s="4" t="s">
        <v>56</v>
      </c>
      <c r="C373" s="4">
        <v>7</v>
      </c>
      <c r="D373" s="4">
        <v>1</v>
      </c>
      <c r="E373" s="4">
        <v>7</v>
      </c>
      <c r="F373" s="4">
        <v>6590.9637110000003</v>
      </c>
      <c r="G373" s="4">
        <v>17466.053830000001</v>
      </c>
      <c r="H373" s="4">
        <v>2742.5</v>
      </c>
      <c r="I373" s="4">
        <v>2.7425000000000002</v>
      </c>
      <c r="J373" s="4">
        <v>2.7425000000000001E-3</v>
      </c>
      <c r="K373" s="4">
        <v>6.0461703499999997</v>
      </c>
      <c r="L373" s="4">
        <v>1.2999999999999999E-2</v>
      </c>
      <c r="M373" s="4">
        <v>3</v>
      </c>
      <c r="N373" s="4">
        <v>59.529800620000003</v>
      </c>
      <c r="O373" s="4">
        <v>11.474058109118864</v>
      </c>
      <c r="P373" s="4">
        <v>29.016582875460092</v>
      </c>
      <c r="Q373" s="4">
        <v>73.702120503668638</v>
      </c>
      <c r="R373" s="4">
        <v>5204.55140074882</v>
      </c>
      <c r="S373" s="4">
        <v>12507.934152244219</v>
      </c>
      <c r="T373" s="4">
        <v>33146.025503447177</v>
      </c>
      <c r="U373" s="4">
        <v>152</v>
      </c>
      <c r="V373" s="4">
        <v>9.6000000000000002E-2</v>
      </c>
      <c r="W373" s="4">
        <v>0.09</v>
      </c>
    </row>
    <row r="374" spans="1:32" x14ac:dyDescent="0.25">
      <c r="A374" s="4" t="s">
        <v>57</v>
      </c>
      <c r="B374" s="4" t="s">
        <v>58</v>
      </c>
      <c r="C374" s="4">
        <v>7</v>
      </c>
      <c r="D374" s="4">
        <v>2</v>
      </c>
      <c r="E374" s="4">
        <v>14</v>
      </c>
      <c r="F374" s="4">
        <v>7769.8870479999996</v>
      </c>
      <c r="G374" s="4">
        <v>20590.200680000002</v>
      </c>
      <c r="H374" s="4">
        <v>3233.0500010000001</v>
      </c>
      <c r="I374" s="4">
        <v>3.2330500010000001</v>
      </c>
      <c r="J374" s="4">
        <v>3.2330499999999999E-3</v>
      </c>
      <c r="K374" s="4">
        <v>7.1276466919999999</v>
      </c>
      <c r="L374" s="4">
        <v>4.0000000000000001E-3</v>
      </c>
      <c r="M374" s="4">
        <v>3.1</v>
      </c>
      <c r="N374" s="4">
        <v>64.949648440000004</v>
      </c>
      <c r="O374" s="4">
        <v>5.1863445200664673</v>
      </c>
      <c r="P374" s="4">
        <v>28.594655801208031</v>
      </c>
      <c r="Q374" s="4">
        <v>72.6304257350684</v>
      </c>
      <c r="R374" s="4">
        <v>2352.4891001925353</v>
      </c>
      <c r="S374" s="4">
        <v>5653.6628218998685</v>
      </c>
      <c r="T374" s="4">
        <v>14982.206478034652</v>
      </c>
      <c r="U374" s="4">
        <v>72.900000000000006</v>
      </c>
      <c r="V374" s="4">
        <v>0.4</v>
      </c>
      <c r="W374" s="4">
        <v>0</v>
      </c>
    </row>
    <row r="375" spans="1:32" x14ac:dyDescent="0.25">
      <c r="A375" s="4" t="s">
        <v>59</v>
      </c>
      <c r="B375" s="4" t="s">
        <v>60</v>
      </c>
      <c r="C375" s="4">
        <v>7</v>
      </c>
      <c r="D375" s="4">
        <v>2</v>
      </c>
      <c r="E375" s="4">
        <v>14</v>
      </c>
      <c r="F375" s="4">
        <v>3445.5659700000001</v>
      </c>
      <c r="G375" s="4">
        <v>9130.7498190000006</v>
      </c>
      <c r="H375" s="4">
        <v>1433.7</v>
      </c>
      <c r="I375" s="4">
        <v>1.4337</v>
      </c>
      <c r="J375" s="4">
        <v>1.4337E-3</v>
      </c>
      <c r="K375" s="4">
        <v>3.1607636939999999</v>
      </c>
      <c r="L375" s="4">
        <v>1.6799999999999999E-2</v>
      </c>
      <c r="M375" s="4">
        <v>3.1</v>
      </c>
      <c r="N375" s="4">
        <v>38.966664020000003</v>
      </c>
      <c r="O375" s="4">
        <v>264.58488888747956</v>
      </c>
      <c r="P375" s="4">
        <v>63.989522288077197</v>
      </c>
      <c r="Q375" s="4">
        <v>162.53338661171608</v>
      </c>
      <c r="R375" s="4">
        <v>120013.82954317731</v>
      </c>
      <c r="S375" s="4">
        <v>288425.44951496593</v>
      </c>
      <c r="T375" s="4">
        <v>764327.44121465972</v>
      </c>
      <c r="U375" s="4">
        <v>263.2</v>
      </c>
      <c r="V375" s="4">
        <v>7.0000000000000007E-2</v>
      </c>
      <c r="W375" s="4">
        <v>0.27</v>
      </c>
    </row>
    <row r="376" spans="1:32" x14ac:dyDescent="0.25">
      <c r="A376" s="4" t="s">
        <v>61</v>
      </c>
      <c r="B376" s="4" t="s">
        <v>62</v>
      </c>
      <c r="C376" s="4">
        <v>7</v>
      </c>
      <c r="D376" s="4">
        <v>1</v>
      </c>
      <c r="E376" s="4">
        <v>7</v>
      </c>
      <c r="F376" s="4">
        <v>418.3129055</v>
      </c>
      <c r="G376" s="4">
        <v>1108.5291999999999</v>
      </c>
      <c r="H376" s="4">
        <v>174.06</v>
      </c>
      <c r="I376" s="4">
        <v>0.17405999999999999</v>
      </c>
      <c r="J376" s="4">
        <v>1.7406E-4</v>
      </c>
      <c r="K376" s="4">
        <v>0.38373615700000002</v>
      </c>
      <c r="L376" s="4">
        <v>1.2500000000000001E-2</v>
      </c>
      <c r="M376" s="4">
        <v>3</v>
      </c>
      <c r="N376" s="4">
        <v>24.058192120000001</v>
      </c>
      <c r="O376" s="4">
        <v>0.70187215487787324</v>
      </c>
      <c r="P376" s="4">
        <v>11.583443973962897</v>
      </c>
      <c r="Q376" s="4">
        <v>29.421947693865757</v>
      </c>
      <c r="R376" s="4">
        <v>318.36423278291642</v>
      </c>
      <c r="S376" s="4">
        <v>765.1147146909791</v>
      </c>
      <c r="T376" s="4">
        <v>2027.5539939310945</v>
      </c>
      <c r="U376" s="4">
        <v>33.700000000000003</v>
      </c>
      <c r="V376" s="4">
        <v>0.32</v>
      </c>
      <c r="W376" s="4">
        <v>0.55000000000000004</v>
      </c>
    </row>
    <row r="377" spans="1:32" x14ac:dyDescent="0.25">
      <c r="A377" s="4" t="s">
        <v>63</v>
      </c>
      <c r="B377" s="4" t="s">
        <v>64</v>
      </c>
      <c r="C377" s="4">
        <v>7</v>
      </c>
      <c r="D377" s="4">
        <v>2</v>
      </c>
      <c r="E377" s="4">
        <v>14</v>
      </c>
      <c r="F377" s="4">
        <v>2275.6669069999998</v>
      </c>
      <c r="G377" s="4">
        <v>6030.517304</v>
      </c>
      <c r="H377" s="4">
        <v>946.90499999999997</v>
      </c>
      <c r="I377" s="4">
        <v>0.946905</v>
      </c>
      <c r="J377" s="4">
        <v>9.4690499999999995E-4</v>
      </c>
      <c r="K377" s="4">
        <v>2.0875657009999999</v>
      </c>
      <c r="L377" s="4">
        <v>1.2E-2</v>
      </c>
      <c r="M377" s="4">
        <v>3.1</v>
      </c>
      <c r="N377" s="4">
        <v>37.994242890000002</v>
      </c>
      <c r="O377" s="4">
        <v>2.9417543425699604</v>
      </c>
      <c r="P377" s="4">
        <v>16.708509399727451</v>
      </c>
      <c r="Q377" s="4">
        <v>42.439613875307721</v>
      </c>
      <c r="R377" s="4">
        <v>1334.3589110912358</v>
      </c>
      <c r="S377" s="4">
        <v>3206.82266544397</v>
      </c>
      <c r="T377" s="4">
        <v>8498.0800634265197</v>
      </c>
      <c r="U377" s="4">
        <v>42.5</v>
      </c>
      <c r="V377" s="4">
        <v>0.47</v>
      </c>
      <c r="W377" s="4">
        <v>0.05</v>
      </c>
    </row>
    <row r="378" spans="1:32" x14ac:dyDescent="0.25">
      <c r="A378" s="4" t="s">
        <v>65</v>
      </c>
      <c r="B378" s="4" t="s">
        <v>66</v>
      </c>
      <c r="C378" s="4">
        <v>7</v>
      </c>
      <c r="D378" s="4">
        <v>3</v>
      </c>
      <c r="E378" s="4">
        <v>21</v>
      </c>
      <c r="F378" s="4">
        <v>13000</v>
      </c>
      <c r="G378" s="4">
        <v>34450</v>
      </c>
      <c r="H378" s="4">
        <v>5409.3</v>
      </c>
      <c r="I378" s="4">
        <v>5.4093</v>
      </c>
      <c r="J378" s="4">
        <v>5.4092999999999997E-3</v>
      </c>
      <c r="K378" s="4">
        <v>11.92545097</v>
      </c>
      <c r="L378" s="4">
        <v>1.2699999999999999E-2</v>
      </c>
      <c r="M378" s="4">
        <v>3.1</v>
      </c>
      <c r="N378" s="4">
        <v>65.450847319999994</v>
      </c>
      <c r="O378" s="4">
        <v>8.0348728577253983</v>
      </c>
      <c r="P378" s="4">
        <v>22.686125494488998</v>
      </c>
      <c r="Q378" s="4">
        <v>57.622758756002057</v>
      </c>
      <c r="R378" s="4">
        <v>3644.561356481116</v>
      </c>
      <c r="S378" s="4">
        <v>8758.8593042084012</v>
      </c>
      <c r="T378" s="4">
        <v>23210.977156152261</v>
      </c>
      <c r="U378" s="4">
        <v>58.5</v>
      </c>
      <c r="V378" s="4">
        <v>0.2</v>
      </c>
      <c r="W378" s="4">
        <v>0</v>
      </c>
    </row>
    <row r="379" spans="1:32" x14ac:dyDescent="0.25">
      <c r="A379" s="4" t="s">
        <v>67</v>
      </c>
      <c r="B379" s="4" t="s">
        <v>68</v>
      </c>
      <c r="C379" s="4">
        <v>7</v>
      </c>
      <c r="D379" s="4">
        <v>1</v>
      </c>
      <c r="E379" s="4">
        <v>7</v>
      </c>
      <c r="F379" s="4">
        <v>581.54999999999995</v>
      </c>
      <c r="G379" s="4">
        <v>1541.12</v>
      </c>
      <c r="H379" s="4">
        <v>241.982955</v>
      </c>
      <c r="I379" s="4">
        <v>0.241982955</v>
      </c>
      <c r="J379" s="4">
        <v>2.41983E-4</v>
      </c>
      <c r="K379" s="4">
        <v>0.53348046199999999</v>
      </c>
      <c r="L379" s="4">
        <v>1.29E-2</v>
      </c>
      <c r="M379" s="4">
        <v>3.05</v>
      </c>
      <c r="N379" s="4">
        <v>25.1795267</v>
      </c>
      <c r="O379" s="4">
        <v>1.070945216199229</v>
      </c>
      <c r="P379" s="4">
        <v>12.457845478130915</v>
      </c>
      <c r="Q379" s="4">
        <v>31.642927514452527</v>
      </c>
      <c r="R379" s="4">
        <v>485.77315646198849</v>
      </c>
      <c r="S379" s="4">
        <v>1167.443298394589</v>
      </c>
      <c r="T379" s="4">
        <v>3093.7247407456607</v>
      </c>
      <c r="U379" s="4">
        <v>42</v>
      </c>
      <c r="V379" s="4">
        <v>0.2</v>
      </c>
      <c r="W379" s="4">
        <v>0</v>
      </c>
    </row>
    <row r="380" spans="1:32" x14ac:dyDescent="0.25">
      <c r="A380" s="4" t="s">
        <v>69</v>
      </c>
      <c r="B380" s="4" t="s">
        <v>70</v>
      </c>
      <c r="C380" s="4">
        <v>7</v>
      </c>
      <c r="D380" s="4">
        <v>1</v>
      </c>
      <c r="E380" s="4">
        <v>7</v>
      </c>
      <c r="F380" s="4">
        <v>314.44364339999998</v>
      </c>
      <c r="G380" s="4">
        <v>833.27565500000003</v>
      </c>
      <c r="H380" s="4">
        <v>130.84</v>
      </c>
      <c r="I380" s="4">
        <v>0.13084000000000001</v>
      </c>
      <c r="J380" s="4">
        <v>1.3083999999999999E-4</v>
      </c>
      <c r="K380" s="4">
        <v>0.28845248099999998</v>
      </c>
      <c r="L380" s="4">
        <v>0.01</v>
      </c>
      <c r="M380" s="4">
        <v>2.9</v>
      </c>
      <c r="N380" s="4">
        <v>26.276390169999999</v>
      </c>
      <c r="O380" s="4">
        <v>0.45599504768110882</v>
      </c>
      <c r="P380" s="4">
        <v>12.114718075874537</v>
      </c>
      <c r="Q380" s="4">
        <v>30.771383912721323</v>
      </c>
      <c r="R380" s="4">
        <v>206.8361203659174</v>
      </c>
      <c r="S380" s="4">
        <v>497.08272137927759</v>
      </c>
      <c r="T380" s="4">
        <v>1317.2692116550857</v>
      </c>
      <c r="U380" s="4">
        <v>37.700000000000003</v>
      </c>
      <c r="V380" s="4">
        <v>0.24199999999999999</v>
      </c>
      <c r="W380" s="4">
        <v>0</v>
      </c>
    </row>
    <row r="381" spans="1:32" x14ac:dyDescent="0.25">
      <c r="A381" s="2" t="s">
        <v>71</v>
      </c>
      <c r="B381" s="4" t="s">
        <v>72</v>
      </c>
      <c r="C381" s="4">
        <v>7</v>
      </c>
      <c r="D381" s="4">
        <v>1</v>
      </c>
      <c r="E381" s="4">
        <v>7</v>
      </c>
      <c r="F381" s="4">
        <v>5.118961788</v>
      </c>
      <c r="G381" s="4">
        <v>13.565248739999999</v>
      </c>
      <c r="H381" s="4">
        <v>2.1299999999868002</v>
      </c>
      <c r="I381" s="4">
        <v>2.1299999999868004E-3</v>
      </c>
      <c r="J381" s="4">
        <v>2.1299999999868006E-6</v>
      </c>
      <c r="K381" s="4">
        <v>4.6958405999709E-3</v>
      </c>
      <c r="L381" s="3">
        <v>1.0999999999999999E-2</v>
      </c>
      <c r="M381" s="3">
        <v>3.01</v>
      </c>
      <c r="N381" s="4">
        <v>5.7517012256396187</v>
      </c>
      <c r="O381" s="4">
        <v>1.2878097415732448E-2</v>
      </c>
      <c r="P381" s="4">
        <v>3.1660919136168206</v>
      </c>
      <c r="Q381" s="4">
        <v>8.041873460586725</v>
      </c>
      <c r="R381" s="2">
        <v>5.8414136747976739</v>
      </c>
      <c r="S381" s="2">
        <v>14.038485159331108</v>
      </c>
      <c r="T381" s="2">
        <v>37.201985672227437</v>
      </c>
      <c r="U381" s="4">
        <v>9</v>
      </c>
      <c r="V381" s="4">
        <v>0.32</v>
      </c>
      <c r="W381" s="4">
        <v>0</v>
      </c>
      <c r="Z381" s="7"/>
      <c r="AA381" s="7"/>
      <c r="AB381" s="7"/>
    </row>
    <row r="382" spans="1:32" x14ac:dyDescent="0.25">
      <c r="A382" s="4" t="s">
        <v>73</v>
      </c>
      <c r="B382" s="4" t="s">
        <v>74</v>
      </c>
      <c r="C382" s="4">
        <v>7</v>
      </c>
      <c r="D382" s="4">
        <v>2</v>
      </c>
      <c r="E382" s="4">
        <v>14</v>
      </c>
      <c r="F382" s="4">
        <v>2275.6669069999998</v>
      </c>
      <c r="G382" s="4">
        <v>6030.517304</v>
      </c>
      <c r="H382" s="4">
        <v>946.90499999999997</v>
      </c>
      <c r="I382" s="4">
        <v>0.946905</v>
      </c>
      <c r="J382" s="4">
        <v>9.4690499999999995E-4</v>
      </c>
      <c r="K382" s="4">
        <v>2.0875657009999999</v>
      </c>
      <c r="L382" s="4">
        <v>1.4E-2</v>
      </c>
      <c r="M382" s="4">
        <v>2.8</v>
      </c>
      <c r="N382" s="4">
        <v>53.09623234</v>
      </c>
      <c r="O382" s="4">
        <v>1.1526710569267764</v>
      </c>
      <c r="P382" s="4">
        <v>16.908708211338507</v>
      </c>
      <c r="Q382" s="4">
        <v>42.948118856799809</v>
      </c>
      <c r="R382" s="4">
        <v>522.84341833367034</v>
      </c>
      <c r="S382" s="4">
        <v>1256.5330890018513</v>
      </c>
      <c r="T382" s="4">
        <v>3329.8126858549058</v>
      </c>
      <c r="U382" s="4">
        <v>43</v>
      </c>
      <c r="V382" s="4">
        <v>0.48</v>
      </c>
      <c r="W382" s="4">
        <v>0</v>
      </c>
    </row>
    <row r="383" spans="1:32" x14ac:dyDescent="0.25">
      <c r="A383" s="4" t="s">
        <v>75</v>
      </c>
      <c r="B383" s="4" t="s">
        <v>76</v>
      </c>
      <c r="C383" s="4">
        <v>7</v>
      </c>
      <c r="D383" s="4">
        <v>2</v>
      </c>
      <c r="E383" s="4">
        <v>14</v>
      </c>
      <c r="F383" s="4">
        <v>2275.6669069999998</v>
      </c>
      <c r="G383" s="4">
        <v>6030.517304</v>
      </c>
      <c r="H383" s="4">
        <v>946.90499999999997</v>
      </c>
      <c r="I383" s="4">
        <v>0.946905</v>
      </c>
      <c r="J383" s="4">
        <v>9.4690499999999995E-4</v>
      </c>
      <c r="K383" s="4">
        <v>2.0875657009999999</v>
      </c>
      <c r="L383" s="4">
        <v>2.5000000000000001E-3</v>
      </c>
      <c r="M383" s="4">
        <v>3.1</v>
      </c>
      <c r="N383" s="4">
        <v>63.01922132</v>
      </c>
      <c r="O383" s="4">
        <v>7.384047343867624</v>
      </c>
      <c r="P383" s="4">
        <v>37.292764654622943</v>
      </c>
      <c r="Q383" s="4">
        <v>94.723622222742279</v>
      </c>
      <c r="R383" s="4">
        <v>3349.351518115423</v>
      </c>
      <c r="S383" s="4">
        <v>8049.3908149853951</v>
      </c>
      <c r="T383" s="4">
        <v>21330.885659711297</v>
      </c>
      <c r="U383" s="4">
        <v>122</v>
      </c>
      <c r="V383" s="4">
        <v>0.107</v>
      </c>
      <c r="W383" s="4">
        <v>0</v>
      </c>
    </row>
    <row r="384" spans="1:32" x14ac:dyDescent="0.25">
      <c r="A384" s="4" t="s">
        <v>77</v>
      </c>
      <c r="B384" s="4" t="s">
        <v>78</v>
      </c>
      <c r="C384" s="4">
        <v>7</v>
      </c>
      <c r="D384" s="4">
        <v>3</v>
      </c>
      <c r="E384" s="4">
        <v>21</v>
      </c>
      <c r="F384" s="4">
        <v>182759.99249999999</v>
      </c>
      <c r="G384" s="4">
        <v>484313.98009999999</v>
      </c>
      <c r="H384" s="4">
        <v>76046.432879999993</v>
      </c>
      <c r="I384" s="4">
        <v>76.046432879999998</v>
      </c>
      <c r="J384" s="4">
        <v>7.6046432999999997E-2</v>
      </c>
      <c r="K384" s="4">
        <v>167.65348689999999</v>
      </c>
      <c r="L384" s="4">
        <v>3.5000000000000003E-2</v>
      </c>
      <c r="M384" s="4">
        <v>2.9</v>
      </c>
      <c r="N384" s="4">
        <v>153.1708558</v>
      </c>
      <c r="O384" s="4">
        <v>409.46122534671082</v>
      </c>
      <c r="P384" s="4">
        <v>82.047740634330879</v>
      </c>
      <c r="Q384" s="4">
        <v>208.40126121120042</v>
      </c>
      <c r="R384" s="2">
        <v>185728.70850609665</v>
      </c>
      <c r="S384" s="2">
        <v>446355.94449915079</v>
      </c>
      <c r="T384" s="2">
        <v>1182843.2529227496</v>
      </c>
      <c r="U384" s="4">
        <v>208.40700000000004</v>
      </c>
      <c r="V384" s="4">
        <v>0.5</v>
      </c>
      <c r="W384" s="4">
        <v>0</v>
      </c>
      <c r="Y384" s="7"/>
      <c r="Z384" s="7"/>
      <c r="AA384" s="7"/>
    </row>
    <row r="385" spans="1:34" x14ac:dyDescent="0.25">
      <c r="A385" s="4" t="s">
        <v>79</v>
      </c>
      <c r="B385" s="4" t="s">
        <v>80</v>
      </c>
      <c r="C385" s="4">
        <v>7</v>
      </c>
      <c r="D385" s="4">
        <v>2</v>
      </c>
      <c r="E385" s="4">
        <v>14</v>
      </c>
      <c r="F385" s="4">
        <v>3445.5659700000001</v>
      </c>
      <c r="G385" s="4">
        <v>9130.7498190000006</v>
      </c>
      <c r="H385" s="4">
        <v>1433.7</v>
      </c>
      <c r="I385" s="4">
        <v>1.4337</v>
      </c>
      <c r="J385" s="4">
        <v>1.4337E-3</v>
      </c>
      <c r="K385" s="4">
        <v>3.1607636939999999</v>
      </c>
      <c r="L385" s="4">
        <v>3.3999999999999998E-3</v>
      </c>
      <c r="M385" s="4">
        <v>3.2850000000000001</v>
      </c>
      <c r="N385" s="4">
        <v>38.211926839999997</v>
      </c>
      <c r="O385" s="4">
        <v>3.7592953668596425</v>
      </c>
      <c r="P385" s="4">
        <v>21.400086774460803</v>
      </c>
      <c r="Q385" s="4">
        <v>54.356220407130436</v>
      </c>
      <c r="R385" s="4">
        <v>1705.1897228817857</v>
      </c>
      <c r="S385" s="4">
        <v>4098.0286538855698</v>
      </c>
      <c r="T385" s="4">
        <v>10859.77593279676</v>
      </c>
      <c r="U385" s="4">
        <v>59.9</v>
      </c>
      <c r="V385" s="4">
        <v>0.17</v>
      </c>
      <c r="W385" s="4">
        <v>0</v>
      </c>
    </row>
    <row r="386" spans="1:34" x14ac:dyDescent="0.25">
      <c r="A386" s="4" t="s">
        <v>81</v>
      </c>
      <c r="B386" s="4" t="s">
        <v>82</v>
      </c>
      <c r="C386" s="4">
        <v>7</v>
      </c>
      <c r="D386" s="4">
        <v>2</v>
      </c>
      <c r="E386" s="4">
        <v>14</v>
      </c>
      <c r="F386" s="4">
        <v>2275.6669069999998</v>
      </c>
      <c r="G386" s="4">
        <v>6030.517304</v>
      </c>
      <c r="H386" s="4">
        <v>946.90499999999997</v>
      </c>
      <c r="I386" s="4">
        <v>0.946905</v>
      </c>
      <c r="J386" s="4">
        <v>9.4690499999999995E-4</v>
      </c>
      <c r="K386" s="4">
        <v>2.0875657009999999</v>
      </c>
      <c r="L386" s="4">
        <v>1.4999999999999999E-2</v>
      </c>
      <c r="M386" s="4">
        <v>3</v>
      </c>
      <c r="N386" s="4">
        <v>39.817291709999999</v>
      </c>
      <c r="O386" s="4">
        <v>29.431329680530105</v>
      </c>
      <c r="P386" s="4">
        <v>37.869936529095909</v>
      </c>
      <c r="Q386" s="4">
        <v>96.189638783903618</v>
      </c>
      <c r="R386" s="4">
        <v>13349.842458351146</v>
      </c>
      <c r="S386" s="4">
        <v>32083.255127015491</v>
      </c>
      <c r="T386" s="4">
        <v>85020.626086591044</v>
      </c>
      <c r="U386" s="4">
        <v>106</v>
      </c>
      <c r="V386" s="4">
        <v>0.17</v>
      </c>
      <c r="W386" s="4">
        <v>0</v>
      </c>
    </row>
    <row r="387" spans="1:34" x14ac:dyDescent="0.25">
      <c r="A387" s="4" t="s">
        <v>83</v>
      </c>
      <c r="B387" s="4" t="s">
        <v>84</v>
      </c>
      <c r="C387" s="4">
        <v>7</v>
      </c>
      <c r="D387" s="4">
        <v>7</v>
      </c>
      <c r="E387" s="4">
        <v>49</v>
      </c>
      <c r="F387" s="4">
        <v>57132.702899999997</v>
      </c>
      <c r="G387" s="4">
        <v>151401.76300000001</v>
      </c>
      <c r="H387" s="4">
        <v>23772.917679999999</v>
      </c>
      <c r="I387" s="4">
        <v>23.772917679999999</v>
      </c>
      <c r="J387" s="4">
        <v>2.3772918000000001E-2</v>
      </c>
      <c r="K387" s="4">
        <v>52.41024977</v>
      </c>
      <c r="L387" s="4">
        <v>5.4000000000000003E-3</v>
      </c>
      <c r="M387" s="4">
        <v>3</v>
      </c>
      <c r="N387" s="4">
        <v>163.89394490000001</v>
      </c>
      <c r="O387" s="4">
        <v>258.68088309191813</v>
      </c>
      <c r="P387" s="4">
        <v>109.86142487603146</v>
      </c>
      <c r="Q387" s="4">
        <v>279.04801918511993</v>
      </c>
      <c r="R387" s="4">
        <v>117335.81437704373</v>
      </c>
      <c r="S387" s="4">
        <v>281989.46017073718</v>
      </c>
      <c r="T387" s="4">
        <v>747272.06945245352</v>
      </c>
      <c r="U387" s="4">
        <v>280</v>
      </c>
      <c r="V387" s="4">
        <v>0.11600000000000001</v>
      </c>
      <c r="W387" s="4">
        <v>0</v>
      </c>
    </row>
    <row r="388" spans="1:34" x14ac:dyDescent="0.25">
      <c r="A388" s="4" t="s">
        <v>85</v>
      </c>
      <c r="B388" s="4" t="s">
        <v>86</v>
      </c>
      <c r="C388" s="4">
        <v>7</v>
      </c>
      <c r="D388" s="4">
        <v>7</v>
      </c>
      <c r="E388" s="4">
        <v>49</v>
      </c>
      <c r="F388" s="4">
        <v>57132.702899999997</v>
      </c>
      <c r="G388" s="4">
        <v>151401.76300000001</v>
      </c>
      <c r="H388" s="4">
        <v>23772.917679999999</v>
      </c>
      <c r="I388" s="4">
        <v>23.772917679999999</v>
      </c>
      <c r="J388" s="4">
        <v>2.3772918000000001E-2</v>
      </c>
      <c r="K388" s="4">
        <v>52.41024977</v>
      </c>
      <c r="L388" s="4">
        <v>5.2399999999999999E-3</v>
      </c>
      <c r="M388" s="4">
        <v>3.141</v>
      </c>
      <c r="N388" s="4">
        <v>131.61625190000001</v>
      </c>
      <c r="O388" s="4">
        <v>760.07145838135921</v>
      </c>
      <c r="P388" s="4">
        <v>121.40674563490794</v>
      </c>
      <c r="Q388" s="4">
        <v>308.37313391266616</v>
      </c>
      <c r="R388" s="2">
        <v>344763.02418619045</v>
      </c>
      <c r="S388" s="2">
        <v>828558.09705885698</v>
      </c>
      <c r="T388" s="2">
        <v>2195678.9572059708</v>
      </c>
      <c r="U388" s="4">
        <v>309.24444444444441</v>
      </c>
      <c r="V388" s="4">
        <v>0.13655555555555554</v>
      </c>
      <c r="W388" s="4">
        <v>6</v>
      </c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x14ac:dyDescent="0.25">
      <c r="A389" s="4" t="s">
        <v>87</v>
      </c>
      <c r="B389" s="4" t="s">
        <v>88</v>
      </c>
      <c r="C389" s="4">
        <v>7</v>
      </c>
      <c r="D389" s="4">
        <v>2</v>
      </c>
      <c r="E389" s="4">
        <v>14</v>
      </c>
      <c r="F389" s="4">
        <v>2275.6669069999998</v>
      </c>
      <c r="G389" s="4">
        <v>6030.517304</v>
      </c>
      <c r="H389" s="4">
        <v>946.90499999999997</v>
      </c>
      <c r="I389" s="4">
        <v>0.946905</v>
      </c>
      <c r="J389" s="4">
        <v>9.4690499999999995E-4</v>
      </c>
      <c r="K389" s="4">
        <v>2.0875657009999999</v>
      </c>
      <c r="L389" s="4">
        <v>6.0000000000000001E-3</v>
      </c>
      <c r="M389" s="4">
        <v>3.1</v>
      </c>
      <c r="N389" s="4">
        <v>47.514290099999997</v>
      </c>
      <c r="O389" s="4">
        <v>0.52085336097983814</v>
      </c>
      <c r="P389" s="4">
        <v>11.953599351635139</v>
      </c>
      <c r="Q389" s="4">
        <v>30.362142353153256</v>
      </c>
      <c r="R389" s="4">
        <v>236.25539139617626</v>
      </c>
      <c r="S389" s="4">
        <v>567.78512712371128</v>
      </c>
      <c r="T389" s="4">
        <v>1504.6305868778347</v>
      </c>
      <c r="U389" s="4">
        <v>40.299999999999997</v>
      </c>
      <c r="V389" s="4">
        <v>0.1</v>
      </c>
      <c r="W389" s="4">
        <v>0</v>
      </c>
    </row>
    <row r="390" spans="1:34" x14ac:dyDescent="0.25">
      <c r="A390" s="4" t="s">
        <v>89</v>
      </c>
      <c r="B390" s="4" t="s">
        <v>90</v>
      </c>
      <c r="C390" s="4">
        <v>7</v>
      </c>
      <c r="D390" s="4">
        <v>8</v>
      </c>
      <c r="E390" s="4">
        <v>56</v>
      </c>
      <c r="F390" s="4">
        <v>60000</v>
      </c>
      <c r="G390" s="4">
        <v>160000</v>
      </c>
      <c r="H390" s="4">
        <v>24966</v>
      </c>
      <c r="I390" s="4">
        <v>24.966000000000001</v>
      </c>
      <c r="J390" s="4">
        <v>2.4965999999999999E-2</v>
      </c>
      <c r="K390" s="4">
        <v>55.04054292</v>
      </c>
      <c r="L390" s="2">
        <v>0.05</v>
      </c>
      <c r="M390" s="2">
        <v>3.2</v>
      </c>
      <c r="N390" s="4">
        <v>183.45654730000001</v>
      </c>
      <c r="O390" s="4">
        <v>424.63756914980235</v>
      </c>
      <c r="P390" s="4">
        <v>44.998922743244279</v>
      </c>
      <c r="Q390" s="4">
        <v>114.29726376784048</v>
      </c>
      <c r="R390" s="4">
        <v>192612.59044633649</v>
      </c>
      <c r="S390" s="4">
        <v>462899.76074582187</v>
      </c>
      <c r="T390" s="4">
        <v>1226684.3659764279</v>
      </c>
      <c r="U390" s="4">
        <v>114.3</v>
      </c>
      <c r="V390" s="4">
        <v>0.19</v>
      </c>
      <c r="W390" s="4">
        <v>0</v>
      </c>
      <c r="Y390" s="7"/>
      <c r="Z390" s="7"/>
      <c r="AB390" s="7"/>
    </row>
    <row r="391" spans="1:34" x14ac:dyDescent="0.25">
      <c r="A391" s="4" t="s">
        <v>91</v>
      </c>
      <c r="B391" s="4" t="s">
        <v>92</v>
      </c>
      <c r="C391" s="4">
        <v>7</v>
      </c>
      <c r="D391" s="4">
        <v>2</v>
      </c>
      <c r="E391" s="4">
        <v>14</v>
      </c>
      <c r="F391" s="4">
        <v>2275.6669069999998</v>
      </c>
      <c r="G391" s="4">
        <v>6030.517304</v>
      </c>
      <c r="H391" s="4">
        <v>946.90499999999997</v>
      </c>
      <c r="I391" s="4">
        <v>0.946905</v>
      </c>
      <c r="J391" s="4">
        <v>9.4690499999999995E-4</v>
      </c>
      <c r="K391" s="4">
        <v>2.0875657009999999</v>
      </c>
      <c r="L391" s="4">
        <v>1.2999999999999999E-2</v>
      </c>
      <c r="M391" s="4">
        <v>3</v>
      </c>
      <c r="N391" s="4">
        <v>41.76261512</v>
      </c>
      <c r="O391" s="4">
        <v>5.0302312558060329</v>
      </c>
      <c r="P391" s="4">
        <v>22.042959468886515</v>
      </c>
      <c r="Q391" s="4">
        <v>55.98911705097175</v>
      </c>
      <c r="R391" s="4">
        <v>2281.67723045515</v>
      </c>
      <c r="S391" s="4">
        <v>5483.4828898225187</v>
      </c>
      <c r="T391" s="4">
        <v>14531.229658029673</v>
      </c>
      <c r="U391" s="4">
        <v>60.2</v>
      </c>
      <c r="V391" s="4">
        <v>0.19</v>
      </c>
      <c r="W391" s="4">
        <v>0</v>
      </c>
    </row>
    <row r="392" spans="1:34" x14ac:dyDescent="0.25">
      <c r="A392" s="4" t="s">
        <v>93</v>
      </c>
      <c r="B392" s="4" t="s">
        <v>94</v>
      </c>
      <c r="C392" s="4">
        <v>7</v>
      </c>
      <c r="D392" s="4">
        <v>9</v>
      </c>
      <c r="E392" s="4">
        <v>63</v>
      </c>
      <c r="F392" s="4">
        <v>1772528859</v>
      </c>
      <c r="G392" s="4">
        <v>4697201478</v>
      </c>
      <c r="H392" s="4">
        <v>737549258.20000005</v>
      </c>
      <c r="I392" s="4">
        <v>737549.25820000004</v>
      </c>
      <c r="J392" s="4">
        <v>737.54925820000005</v>
      </c>
      <c r="K392" s="4">
        <v>1626015.8459999999</v>
      </c>
      <c r="L392" s="2">
        <v>1.7000000000000001E-2</v>
      </c>
      <c r="M392" s="4">
        <v>3</v>
      </c>
      <c r="N392" s="4">
        <v>1544.971047</v>
      </c>
      <c r="O392" s="4">
        <v>149223.55941969628</v>
      </c>
      <c r="P392" s="4">
        <v>623.99990983323266</v>
      </c>
      <c r="Q392" s="4">
        <v>1584.9597709764109</v>
      </c>
      <c r="R392" s="2">
        <v>67686748.473522097</v>
      </c>
      <c r="S392" s="2">
        <v>162669426.75684234</v>
      </c>
      <c r="T392" s="2">
        <v>431073980.9056322</v>
      </c>
      <c r="U392" s="4">
        <v>1584.96</v>
      </c>
      <c r="V392" s="2">
        <v>0.25</v>
      </c>
      <c r="W392" s="4">
        <v>0</v>
      </c>
      <c r="Y392" s="7"/>
    </row>
    <row r="393" spans="1:34" x14ac:dyDescent="0.25">
      <c r="A393" s="4" t="s">
        <v>95</v>
      </c>
      <c r="B393" s="2" t="s">
        <v>96</v>
      </c>
      <c r="C393" s="4">
        <v>7</v>
      </c>
      <c r="D393" s="4">
        <v>2</v>
      </c>
      <c r="E393" s="4">
        <v>14</v>
      </c>
      <c r="F393" s="4">
        <v>2275.6669069999998</v>
      </c>
      <c r="G393" s="4">
        <v>6030.517304</v>
      </c>
      <c r="H393" s="4">
        <v>946.90499999999997</v>
      </c>
      <c r="I393" s="4">
        <v>0.946905</v>
      </c>
      <c r="J393" s="4">
        <v>9.4690499999999995E-4</v>
      </c>
      <c r="K393" s="4">
        <v>2.0875657009999999</v>
      </c>
      <c r="L393" s="4">
        <v>0.01</v>
      </c>
      <c r="M393" s="4">
        <v>3</v>
      </c>
      <c r="N393" s="4">
        <v>41.240527700000001</v>
      </c>
      <c r="O393" s="4">
        <v>45.942091301172816</v>
      </c>
      <c r="P393" s="4">
        <v>50.28733522951589</v>
      </c>
      <c r="Q393" s="4">
        <v>127.72983148297035</v>
      </c>
      <c r="R393" s="4">
        <v>20839.00685885677</v>
      </c>
      <c r="S393" s="4">
        <v>50081.727610806942</v>
      </c>
      <c r="T393" s="4">
        <v>132716.5781686384</v>
      </c>
      <c r="U393" s="4">
        <v>136</v>
      </c>
      <c r="V393" s="4">
        <v>0.2</v>
      </c>
      <c r="W393" s="4">
        <v>0</v>
      </c>
    </row>
    <row r="394" spans="1:34" x14ac:dyDescent="0.25">
      <c r="A394" s="4" t="s">
        <v>97</v>
      </c>
      <c r="B394" s="4" t="s">
        <v>98</v>
      </c>
      <c r="C394" s="4">
        <v>7</v>
      </c>
      <c r="D394" s="4">
        <v>2</v>
      </c>
      <c r="E394" s="4">
        <v>14</v>
      </c>
      <c r="F394" s="4">
        <v>27187.089510000002</v>
      </c>
      <c r="G394" s="4">
        <v>72045.787200000006</v>
      </c>
      <c r="H394" s="4">
        <v>11312.54795</v>
      </c>
      <c r="I394" s="4">
        <v>11.312547950000001</v>
      </c>
      <c r="J394" s="4">
        <v>1.1312548E-2</v>
      </c>
      <c r="K394" s="4">
        <v>24.93986945</v>
      </c>
      <c r="L394" s="2">
        <v>6.5000000000000002E-2</v>
      </c>
      <c r="M394" s="4">
        <v>3</v>
      </c>
      <c r="N394" s="4">
        <v>82.700882840000006</v>
      </c>
      <c r="O394" s="4">
        <v>1.8834202313903003</v>
      </c>
      <c r="P394" s="4">
        <v>9.2910827322028933</v>
      </c>
      <c r="Q394" s="4">
        <v>23.599350139795348</v>
      </c>
      <c r="R394" s="4">
        <v>854.30606244627211</v>
      </c>
      <c r="S394" s="4">
        <v>2053.126802322211</v>
      </c>
      <c r="T394" s="4">
        <v>5440.786026153859</v>
      </c>
      <c r="U394" s="4">
        <v>23.6</v>
      </c>
      <c r="V394" s="4">
        <v>0.75</v>
      </c>
      <c r="W394" s="4">
        <v>0</v>
      </c>
    </row>
    <row r="395" spans="1:34" x14ac:dyDescent="0.25">
      <c r="A395" s="4" t="s">
        <v>99</v>
      </c>
      <c r="B395" s="4" t="s">
        <v>100</v>
      </c>
      <c r="C395" s="4">
        <v>7</v>
      </c>
      <c r="D395" s="4">
        <v>2</v>
      </c>
      <c r="E395" s="4">
        <v>14</v>
      </c>
      <c r="F395" s="4">
        <v>2275.6669069999998</v>
      </c>
      <c r="G395" s="4">
        <v>6030.517304</v>
      </c>
      <c r="H395" s="4">
        <v>946.90499999999997</v>
      </c>
      <c r="I395" s="4">
        <v>0.946905</v>
      </c>
      <c r="J395" s="4">
        <v>9.4690499999999995E-4</v>
      </c>
      <c r="K395" s="4">
        <v>2.0875657009999999</v>
      </c>
      <c r="L395" s="4">
        <v>1.4999999999999999E-2</v>
      </c>
      <c r="M395" s="4">
        <v>3.1</v>
      </c>
      <c r="N395" s="4">
        <v>35.355460659999999</v>
      </c>
      <c r="O395" s="4">
        <v>2.7133679201056804</v>
      </c>
      <c r="P395" s="4">
        <v>15.147974611638366</v>
      </c>
      <c r="Q395" s="4">
        <v>38.475855513561449</v>
      </c>
      <c r="R395" s="4">
        <v>1230.764449250066</v>
      </c>
      <c r="S395" s="4">
        <v>2957.8573642154915</v>
      </c>
      <c r="T395" s="4">
        <v>7838.322015171052</v>
      </c>
      <c r="U395" s="4">
        <v>42.4</v>
      </c>
      <c r="V395" s="4">
        <v>0.17</v>
      </c>
      <c r="W395" s="4">
        <v>0</v>
      </c>
    </row>
    <row r="396" spans="1:34" x14ac:dyDescent="0.25">
      <c r="A396" s="4" t="s">
        <v>101</v>
      </c>
      <c r="B396" s="4" t="s">
        <v>102</v>
      </c>
      <c r="C396" s="4">
        <v>7</v>
      </c>
      <c r="D396" s="4">
        <v>2</v>
      </c>
      <c r="E396" s="4">
        <v>14</v>
      </c>
      <c r="F396" s="4">
        <v>2275.6669069999998</v>
      </c>
      <c r="G396" s="4">
        <v>6030.517304</v>
      </c>
      <c r="H396" s="4">
        <v>946.90499999999997</v>
      </c>
      <c r="I396" s="4">
        <v>0.946905</v>
      </c>
      <c r="J396" s="4">
        <v>9.4690499999999995E-4</v>
      </c>
      <c r="K396" s="4">
        <v>2.0875657009999999</v>
      </c>
      <c r="L396" s="4">
        <v>1.2E-2</v>
      </c>
      <c r="M396" s="4">
        <v>3.1</v>
      </c>
      <c r="N396" s="4">
        <v>37.994242890000002</v>
      </c>
      <c r="O396" s="4">
        <v>29.665939975959152</v>
      </c>
      <c r="P396" s="4">
        <v>35.212456508947518</v>
      </c>
      <c r="Q396" s="4">
        <v>89.439639532726702</v>
      </c>
      <c r="R396" s="2">
        <v>13456.260024838362</v>
      </c>
      <c r="S396" s="2">
        <v>32339.005106556982</v>
      </c>
      <c r="T396" s="2">
        <v>85698.363532375995</v>
      </c>
      <c r="U396" s="4">
        <v>150.03333333333333</v>
      </c>
      <c r="V396" s="4">
        <v>0.11333333333333334</v>
      </c>
      <c r="W396" s="4">
        <v>6</v>
      </c>
      <c r="Y396" s="7"/>
      <c r="AB396" s="7"/>
      <c r="AC396" s="7"/>
      <c r="AE396" s="7"/>
      <c r="AF396" s="7"/>
    </row>
    <row r="397" spans="1:34" x14ac:dyDescent="0.25">
      <c r="A397" s="4" t="s">
        <v>103</v>
      </c>
      <c r="B397" s="4" t="s">
        <v>104</v>
      </c>
      <c r="C397" s="4">
        <v>7</v>
      </c>
      <c r="D397" s="4">
        <v>1</v>
      </c>
      <c r="E397" s="4">
        <v>7</v>
      </c>
      <c r="F397" s="4">
        <v>2838.9569820000002</v>
      </c>
      <c r="G397" s="4">
        <v>7523.2360019999996</v>
      </c>
      <c r="H397" s="4">
        <v>1181.29</v>
      </c>
      <c r="I397" s="4">
        <v>1.18129</v>
      </c>
      <c r="J397" s="4">
        <v>1.18129E-3</v>
      </c>
      <c r="K397" s="4">
        <v>2.6042955600000002</v>
      </c>
      <c r="L397" s="4">
        <v>1.2999999999999999E-2</v>
      </c>
      <c r="M397" s="4">
        <v>2.8</v>
      </c>
      <c r="N397" s="4">
        <v>59.001336350000003</v>
      </c>
      <c r="O397" s="4">
        <v>1.3653333485326657</v>
      </c>
      <c r="P397" s="4">
        <v>18.444498687761818</v>
      </c>
      <c r="Q397" s="4">
        <v>46.849026666915016</v>
      </c>
      <c r="R397" s="4">
        <v>619.30552591043613</v>
      </c>
      <c r="S397" s="4">
        <v>1488.3574282875177</v>
      </c>
      <c r="T397" s="4">
        <v>3944.1471849619215</v>
      </c>
      <c r="U397" s="4">
        <v>65.400000000000006</v>
      </c>
      <c r="V397" s="4">
        <v>0.18</v>
      </c>
      <c r="W397" s="4">
        <v>0</v>
      </c>
    </row>
    <row r="398" spans="1:34" x14ac:dyDescent="0.25">
      <c r="A398" s="2" t="s">
        <v>105</v>
      </c>
      <c r="B398" s="4" t="s">
        <v>700</v>
      </c>
      <c r="C398" s="4">
        <v>7</v>
      </c>
      <c r="D398" s="4">
        <v>3</v>
      </c>
      <c r="E398" s="4">
        <v>21</v>
      </c>
      <c r="F398" s="4">
        <v>13000</v>
      </c>
      <c r="G398" s="4">
        <v>34450</v>
      </c>
      <c r="H398" s="4">
        <v>5409.3</v>
      </c>
      <c r="I398" s="4">
        <v>5.4093</v>
      </c>
      <c r="J398" s="4">
        <v>5.4092999999999997E-3</v>
      </c>
      <c r="K398" s="4">
        <v>11.922097200000001</v>
      </c>
      <c r="L398" s="3">
        <v>1.2699999999999999E-2</v>
      </c>
      <c r="M398" s="3">
        <v>3.1</v>
      </c>
      <c r="N398" s="4">
        <v>65.450847322550857</v>
      </c>
      <c r="O398" s="4">
        <v>51.633417764704696</v>
      </c>
      <c r="P398" s="4">
        <v>41.341855415996733</v>
      </c>
      <c r="Q398" s="4">
        <v>105.0083127566317</v>
      </c>
      <c r="R398" s="2">
        <v>23420.552187998248</v>
      </c>
      <c r="S398" s="2">
        <v>56285.874039890041</v>
      </c>
      <c r="T398" s="2">
        <v>149157.5662057086</v>
      </c>
      <c r="U398" s="4">
        <v>109.97499999999999</v>
      </c>
      <c r="V398" s="4">
        <v>0.14750000000000002</v>
      </c>
      <c r="W398" s="4">
        <v>0</v>
      </c>
      <c r="AA398" s="7"/>
      <c r="AB398" s="7"/>
      <c r="AC398" s="7"/>
      <c r="AD398" s="7"/>
      <c r="AE398" s="7"/>
      <c r="AF398" s="7"/>
    </row>
    <row r="399" spans="1:34" x14ac:dyDescent="0.25">
      <c r="A399" s="4" t="s">
        <v>107</v>
      </c>
      <c r="B399" s="4" t="s">
        <v>108</v>
      </c>
      <c r="C399" s="4">
        <v>7</v>
      </c>
      <c r="D399" s="4">
        <v>5</v>
      </c>
      <c r="E399" s="4">
        <v>35</v>
      </c>
      <c r="F399" s="4">
        <v>7506.0987050000003</v>
      </c>
      <c r="G399" s="4">
        <v>19891.16157</v>
      </c>
      <c r="H399" s="4">
        <v>3123.287671</v>
      </c>
      <c r="I399" s="4">
        <v>3.1232876709999999</v>
      </c>
      <c r="J399" s="4">
        <v>3.1232880000000001E-3</v>
      </c>
      <c r="K399" s="4">
        <v>6.8856624660000003</v>
      </c>
      <c r="L399" s="4">
        <v>3.5999999999999999E-3</v>
      </c>
      <c r="M399" s="4">
        <v>3</v>
      </c>
      <c r="N399" s="4">
        <v>95.375427009999996</v>
      </c>
      <c r="O399" s="4">
        <v>15.130923025839611</v>
      </c>
      <c r="P399" s="4">
        <v>48.817553338693159</v>
      </c>
      <c r="Q399" s="4">
        <v>123.99658548028063</v>
      </c>
      <c r="R399" s="4">
        <v>6863.2793977373021</v>
      </c>
      <c r="S399" s="4">
        <v>16494.302806386208</v>
      </c>
      <c r="T399" s="4">
        <v>43709.902436923447</v>
      </c>
      <c r="U399" s="4">
        <v>124</v>
      </c>
      <c r="V399" s="4">
        <v>0.3</v>
      </c>
      <c r="W399" s="4">
        <v>0</v>
      </c>
    </row>
    <row r="400" spans="1:34" x14ac:dyDescent="0.25">
      <c r="A400" s="4" t="s">
        <v>109</v>
      </c>
      <c r="B400" s="4" t="s">
        <v>110</v>
      </c>
      <c r="C400" s="4">
        <v>7</v>
      </c>
      <c r="D400" s="4">
        <v>5</v>
      </c>
      <c r="E400" s="4">
        <v>35</v>
      </c>
      <c r="F400" s="4">
        <v>7506.0987050000003</v>
      </c>
      <c r="G400" s="4">
        <v>19891.16157</v>
      </c>
      <c r="H400" s="4">
        <v>3123.287671</v>
      </c>
      <c r="I400" s="4">
        <v>3.1232876709999999</v>
      </c>
      <c r="J400" s="4">
        <v>3.1232880000000001E-3</v>
      </c>
      <c r="K400" s="4">
        <v>6.8856624660000003</v>
      </c>
      <c r="L400" s="4">
        <v>4.3E-3</v>
      </c>
      <c r="M400" s="4">
        <v>3.1</v>
      </c>
      <c r="N400" s="4">
        <v>77.748400239999995</v>
      </c>
      <c r="O400" s="4">
        <v>200.52034073249951</v>
      </c>
      <c r="P400" s="4">
        <v>90.820611943878447</v>
      </c>
      <c r="Q400" s="4">
        <v>230.68435433745125</v>
      </c>
      <c r="R400" s="4">
        <v>90954.604753880267</v>
      </c>
      <c r="S400" s="4">
        <v>218588.33154020732</v>
      </c>
      <c r="T400" s="4">
        <v>579259.07858154934</v>
      </c>
      <c r="U400" s="4">
        <v>267</v>
      </c>
      <c r="V400" s="4">
        <v>5.7000000000000002E-2</v>
      </c>
      <c r="W400" s="4">
        <v>0</v>
      </c>
    </row>
    <row r="401" spans="1:31" x14ac:dyDescent="0.25">
      <c r="A401" s="4" t="s">
        <v>111</v>
      </c>
      <c r="B401" s="4" t="s">
        <v>112</v>
      </c>
      <c r="C401" s="4">
        <v>7</v>
      </c>
      <c r="D401" s="4">
        <v>2</v>
      </c>
      <c r="E401" s="4">
        <v>14</v>
      </c>
      <c r="F401" s="4">
        <v>2275.6669069999998</v>
      </c>
      <c r="G401" s="4">
        <v>6030.517304</v>
      </c>
      <c r="H401" s="4">
        <v>946.90499999999997</v>
      </c>
      <c r="I401" s="4">
        <v>0.946905</v>
      </c>
      <c r="J401" s="4">
        <v>9.4690499999999995E-4</v>
      </c>
      <c r="K401" s="4">
        <v>2.0875657009999999</v>
      </c>
      <c r="L401" s="4">
        <v>1.2200000000000001E-2</v>
      </c>
      <c r="M401" s="4">
        <v>2.9</v>
      </c>
      <c r="N401" s="4">
        <v>48.54991519</v>
      </c>
      <c r="O401" s="4">
        <v>17.452343985709355</v>
      </c>
      <c r="P401" s="4">
        <v>39.752042915411195</v>
      </c>
      <c r="Q401" s="4">
        <v>100.97018900514443</v>
      </c>
      <c r="R401" s="4">
        <v>7916.2594849494944</v>
      </c>
      <c r="S401" s="4">
        <v>19024.896623286455</v>
      </c>
      <c r="T401" s="4">
        <v>50415.976051709105</v>
      </c>
      <c r="U401" s="4">
        <v>113</v>
      </c>
      <c r="V401" s="4">
        <v>0.16</v>
      </c>
      <c r="W401" s="4">
        <v>0</v>
      </c>
    </row>
    <row r="402" spans="1:31" x14ac:dyDescent="0.25">
      <c r="A402" s="4" t="s">
        <v>113</v>
      </c>
      <c r="B402" s="4" t="s">
        <v>114</v>
      </c>
      <c r="C402" s="4">
        <v>7</v>
      </c>
      <c r="D402" s="4">
        <v>2</v>
      </c>
      <c r="E402" s="4">
        <v>14</v>
      </c>
      <c r="F402" s="4">
        <v>3445.5659700000001</v>
      </c>
      <c r="G402" s="4">
        <v>9130.7498190000006</v>
      </c>
      <c r="H402" s="4">
        <v>1433.7</v>
      </c>
      <c r="I402" s="4">
        <v>1.4337</v>
      </c>
      <c r="J402" s="4">
        <v>1.4337E-3</v>
      </c>
      <c r="K402" s="4">
        <v>3.1607636939999999</v>
      </c>
      <c r="L402" s="4">
        <v>1.2E-2</v>
      </c>
      <c r="M402" s="4">
        <v>3.05</v>
      </c>
      <c r="N402" s="4">
        <v>46.204151209999999</v>
      </c>
      <c r="O402" s="4">
        <v>17.957190459582417</v>
      </c>
      <c r="P402" s="4">
        <v>32.151907399400123</v>
      </c>
      <c r="Q402" s="4">
        <v>81.665844794476314</v>
      </c>
      <c r="R402" s="4">
        <v>8145.2542658519005</v>
      </c>
      <c r="S402" s="4">
        <v>19575.232554318438</v>
      </c>
      <c r="T402" s="4">
        <v>51874.366268943857</v>
      </c>
      <c r="U402" s="4">
        <v>85.9</v>
      </c>
      <c r="V402" s="4">
        <v>0.215</v>
      </c>
      <c r="W402" s="4">
        <v>0</v>
      </c>
    </row>
    <row r="403" spans="1:31" x14ac:dyDescent="0.25">
      <c r="A403" s="4" t="s">
        <v>115</v>
      </c>
      <c r="B403" s="4" t="s">
        <v>116</v>
      </c>
      <c r="C403" s="4">
        <v>7</v>
      </c>
      <c r="D403" s="4">
        <v>7</v>
      </c>
      <c r="E403" s="4">
        <v>49</v>
      </c>
      <c r="F403" s="4">
        <v>9236056.2960000001</v>
      </c>
      <c r="G403" s="4">
        <v>24475549.18</v>
      </c>
      <c r="H403" s="4">
        <v>3843123.0249999999</v>
      </c>
      <c r="I403" s="4">
        <v>3843.1230249999999</v>
      </c>
      <c r="J403" s="4">
        <v>3.8431230250000001</v>
      </c>
      <c r="K403" s="4">
        <v>8472.6258830000006</v>
      </c>
      <c r="L403" s="2">
        <v>1.4999999999999999E-2</v>
      </c>
      <c r="M403" s="4">
        <v>3</v>
      </c>
      <c r="N403" s="4">
        <v>727.04522929999996</v>
      </c>
      <c r="O403" s="4">
        <v>663.85197318617622</v>
      </c>
      <c r="P403" s="4">
        <v>106.99948799243903</v>
      </c>
      <c r="Q403" s="4">
        <v>271.77869950079514</v>
      </c>
      <c r="R403" s="2">
        <v>301118.54795210797</v>
      </c>
      <c r="S403" s="2">
        <v>723668.70452321065</v>
      </c>
      <c r="T403" s="2">
        <v>1917722.0669865082</v>
      </c>
      <c r="U403" s="4">
        <v>271.77999999999997</v>
      </c>
      <c r="V403" s="4">
        <v>0.25</v>
      </c>
      <c r="W403" s="4">
        <v>0</v>
      </c>
      <c r="Y403" s="7"/>
      <c r="Z403" s="7"/>
      <c r="AA403" s="7"/>
    </row>
    <row r="404" spans="1:31" x14ac:dyDescent="0.25">
      <c r="A404" s="4" t="s">
        <v>117</v>
      </c>
      <c r="B404" s="4" t="s">
        <v>118</v>
      </c>
      <c r="C404" s="4">
        <v>7</v>
      </c>
      <c r="D404" s="4">
        <v>2</v>
      </c>
      <c r="E404" s="4">
        <v>14</v>
      </c>
      <c r="F404" s="4">
        <v>2275.6669069999998</v>
      </c>
      <c r="G404" s="4">
        <v>6030.517304</v>
      </c>
      <c r="H404" s="4">
        <v>946.90499999999997</v>
      </c>
      <c r="I404" s="4">
        <v>0.946905</v>
      </c>
      <c r="J404" s="4">
        <v>9.4690499999999995E-4</v>
      </c>
      <c r="K404" s="4">
        <v>2.0875657009999999</v>
      </c>
      <c r="L404" s="4">
        <v>1.4999999999999999E-2</v>
      </c>
      <c r="M404" s="4">
        <v>3</v>
      </c>
      <c r="N404" s="4">
        <v>39.817291709999999</v>
      </c>
      <c r="O404" s="4">
        <v>5.5467723649116873</v>
      </c>
      <c r="P404" s="4">
        <v>21.712244976171029</v>
      </c>
      <c r="Q404" s="4">
        <v>55.149102239474409</v>
      </c>
      <c r="R404" s="4">
        <v>2515.976614977496</v>
      </c>
      <c r="S404" s="4">
        <v>6046.5672073479836</v>
      </c>
      <c r="T404" s="4">
        <v>16023.403099472156</v>
      </c>
      <c r="U404" s="4">
        <v>73.2</v>
      </c>
      <c r="V404" s="4">
        <v>0.1</v>
      </c>
      <c r="W404" s="4">
        <v>0</v>
      </c>
    </row>
    <row r="405" spans="1:31" x14ac:dyDescent="0.25">
      <c r="A405" s="4" t="s">
        <v>119</v>
      </c>
      <c r="B405" s="4" t="s">
        <v>120</v>
      </c>
      <c r="C405" s="4">
        <v>7</v>
      </c>
      <c r="D405" s="4">
        <v>3</v>
      </c>
      <c r="E405" s="4">
        <v>21</v>
      </c>
      <c r="F405" s="4">
        <v>186004.12839999999</v>
      </c>
      <c r="G405" s="4">
        <v>492910.94010000001</v>
      </c>
      <c r="H405" s="4">
        <v>77396.31783</v>
      </c>
      <c r="I405" s="4">
        <v>77.396317830000001</v>
      </c>
      <c r="J405" s="4">
        <v>7.7396318000000006E-2</v>
      </c>
      <c r="K405" s="4">
        <v>170.62947019999999</v>
      </c>
      <c r="L405" s="4">
        <v>2.1399999999999999E-2</v>
      </c>
      <c r="M405" s="4">
        <v>2.96</v>
      </c>
      <c r="N405" s="4">
        <v>164.30247159999999</v>
      </c>
      <c r="O405" s="4">
        <v>89.820745581515325</v>
      </c>
      <c r="P405" s="4">
        <v>52.078997334541128</v>
      </c>
      <c r="Q405" s="4">
        <v>132.28065322973447</v>
      </c>
      <c r="R405" s="2">
        <v>40742.053315997917</v>
      </c>
      <c r="S405" s="2">
        <v>97914.091122321362</v>
      </c>
      <c r="T405" s="2">
        <v>259472.34147415159</v>
      </c>
      <c r="U405" s="4">
        <v>133.76666666666668</v>
      </c>
      <c r="V405" s="4">
        <v>0.3</v>
      </c>
      <c r="W405" s="4">
        <v>6</v>
      </c>
      <c r="Y405" s="7"/>
      <c r="AA405" s="7"/>
      <c r="AB405" s="7"/>
      <c r="AD405" s="7"/>
      <c r="AE405" s="7"/>
    </row>
    <row r="406" spans="1:31" x14ac:dyDescent="0.25">
      <c r="A406" s="4" t="s">
        <v>121</v>
      </c>
      <c r="B406" s="4" t="s">
        <v>122</v>
      </c>
      <c r="C406" s="4">
        <v>7</v>
      </c>
      <c r="D406" s="4">
        <v>7</v>
      </c>
      <c r="E406" s="4">
        <v>49</v>
      </c>
      <c r="F406" s="4">
        <v>9236056.2960000001</v>
      </c>
      <c r="G406" s="4">
        <v>24475549.18</v>
      </c>
      <c r="H406" s="4">
        <v>3843123.0249999999</v>
      </c>
      <c r="I406" s="4">
        <v>3843.1230249999999</v>
      </c>
      <c r="J406" s="4">
        <v>3.8431230250000001</v>
      </c>
      <c r="K406" s="4">
        <v>8472.6258830000006</v>
      </c>
      <c r="L406" s="2">
        <v>1E-3</v>
      </c>
      <c r="M406" s="4">
        <v>3</v>
      </c>
      <c r="N406" s="4">
        <v>727.04522929999996</v>
      </c>
      <c r="O406" s="4">
        <v>39456.739210312153</v>
      </c>
      <c r="P406" s="4">
        <v>1029.8218438115475</v>
      </c>
      <c r="Q406" s="4">
        <v>2615.7474832813305</v>
      </c>
      <c r="R406" s="2">
        <v>17897297.135248773</v>
      </c>
      <c r="S406" s="2">
        <v>43012009.457459204</v>
      </c>
      <c r="T406" s="2">
        <v>113981825.06226689</v>
      </c>
      <c r="U406" s="4">
        <v>2615.7600000000002</v>
      </c>
      <c r="V406" s="4">
        <v>0.25</v>
      </c>
      <c r="W406" s="4">
        <v>0</v>
      </c>
      <c r="Y406" s="7"/>
    </row>
    <row r="407" spans="1:31" x14ac:dyDescent="0.25">
      <c r="A407" s="4" t="s">
        <v>123</v>
      </c>
      <c r="B407" s="4" t="s">
        <v>124</v>
      </c>
      <c r="C407" s="4">
        <v>7</v>
      </c>
      <c r="D407" s="4">
        <v>2</v>
      </c>
      <c r="E407" s="4">
        <v>14</v>
      </c>
      <c r="F407" s="4">
        <v>2275.6669069999998</v>
      </c>
      <c r="G407" s="4">
        <v>6030.517304</v>
      </c>
      <c r="H407" s="4">
        <v>946.90499999999997</v>
      </c>
      <c r="I407" s="4">
        <v>0.946905</v>
      </c>
      <c r="J407" s="4">
        <v>9.4690499999999995E-4</v>
      </c>
      <c r="K407" s="4">
        <v>2.0875657009999999</v>
      </c>
      <c r="L407" s="4">
        <v>9.4999999999999998E-3</v>
      </c>
      <c r="M407" s="4">
        <v>3.1</v>
      </c>
      <c r="N407" s="4">
        <v>40.96812293</v>
      </c>
      <c r="O407" s="4">
        <v>26.061529933700164</v>
      </c>
      <c r="P407" s="4">
        <v>36.414704182626018</v>
      </c>
      <c r="Q407" s="4">
        <v>92.493348623870091</v>
      </c>
      <c r="R407" s="4">
        <v>11821.325186971071</v>
      </c>
      <c r="S407" s="4">
        <v>28409.817800939851</v>
      </c>
      <c r="T407" s="4">
        <v>75286.017172490596</v>
      </c>
      <c r="U407" s="4">
        <v>111</v>
      </c>
      <c r="V407" s="4">
        <v>0.13</v>
      </c>
      <c r="W407" s="4">
        <v>0.22</v>
      </c>
    </row>
    <row r="408" spans="1:31" x14ac:dyDescent="0.25">
      <c r="A408" s="4" t="s">
        <v>125</v>
      </c>
      <c r="B408" s="4" t="s">
        <v>126</v>
      </c>
      <c r="C408" s="4">
        <v>7</v>
      </c>
      <c r="D408" s="4">
        <v>1</v>
      </c>
      <c r="E408" s="4">
        <v>7</v>
      </c>
      <c r="F408" s="4">
        <v>9491.9490490000007</v>
      </c>
      <c r="G408" s="4">
        <v>25153.664980000001</v>
      </c>
      <c r="H408" s="4">
        <v>3949.599999</v>
      </c>
      <c r="I408" s="4">
        <v>3.9495999990000001</v>
      </c>
      <c r="J408" s="4">
        <v>3.9496000000000002E-3</v>
      </c>
      <c r="K408" s="4">
        <v>8.7073671499999996</v>
      </c>
      <c r="L408" s="4">
        <v>1.4999999999999999E-2</v>
      </c>
      <c r="M408" s="4">
        <v>2.9</v>
      </c>
      <c r="N408" s="4">
        <v>73.981780240000006</v>
      </c>
      <c r="O408" s="4">
        <v>6.9546121770560472</v>
      </c>
      <c r="P408" s="4">
        <v>26.954487671011147</v>
      </c>
      <c r="Q408" s="4">
        <v>68.464398684368319</v>
      </c>
      <c r="R408" s="4">
        <v>3154.5627713873805</v>
      </c>
      <c r="S408" s="4">
        <v>7581.2611665161767</v>
      </c>
      <c r="T408" s="4">
        <v>20090.342091267867</v>
      </c>
      <c r="U408" s="4">
        <v>136</v>
      </c>
      <c r="V408" s="4">
        <v>0.1</v>
      </c>
      <c r="W408" s="4">
        <v>0</v>
      </c>
    </row>
    <row r="409" spans="1:31" x14ac:dyDescent="0.25">
      <c r="A409" s="4" t="s">
        <v>127</v>
      </c>
      <c r="B409" s="4" t="s">
        <v>128</v>
      </c>
      <c r="C409" s="4">
        <v>7</v>
      </c>
      <c r="D409" s="4">
        <v>2</v>
      </c>
      <c r="E409" s="4">
        <v>14</v>
      </c>
      <c r="F409" s="4">
        <v>3445.5659700000001</v>
      </c>
      <c r="G409" s="4">
        <v>9130.7498190000006</v>
      </c>
      <c r="H409" s="4">
        <v>1433.7</v>
      </c>
      <c r="I409" s="4">
        <v>1.4337</v>
      </c>
      <c r="J409" s="4">
        <v>1.4337E-3</v>
      </c>
      <c r="K409" s="4">
        <v>3.1607636939999999</v>
      </c>
      <c r="L409" s="4">
        <v>1.4E-2</v>
      </c>
      <c r="M409" s="4">
        <v>3</v>
      </c>
      <c r="N409" s="4">
        <v>46.785371589999997</v>
      </c>
      <c r="O409" s="4">
        <v>7.4244719611899264</v>
      </c>
      <c r="P409" s="4">
        <v>24.485043560243199</v>
      </c>
      <c r="Q409" s="4">
        <v>62.192010643017724</v>
      </c>
      <c r="R409" s="4">
        <v>3367.6878378994684</v>
      </c>
      <c r="S409" s="4">
        <v>8093.4579137213859</v>
      </c>
      <c r="T409" s="4">
        <v>21447.663471361673</v>
      </c>
      <c r="U409" s="4">
        <v>62.2</v>
      </c>
      <c r="V409" s="4">
        <v>0.64</v>
      </c>
      <c r="W409" s="4">
        <v>0</v>
      </c>
    </row>
    <row r="410" spans="1:31" x14ac:dyDescent="0.25">
      <c r="A410" s="4" t="s">
        <v>129</v>
      </c>
      <c r="B410" s="4" t="s">
        <v>130</v>
      </c>
      <c r="C410" s="4">
        <v>7</v>
      </c>
      <c r="D410" s="4">
        <v>2</v>
      </c>
      <c r="E410" s="4">
        <v>14</v>
      </c>
      <c r="F410" s="4">
        <v>2275.6669069999998</v>
      </c>
      <c r="G410" s="4">
        <v>6030.517304</v>
      </c>
      <c r="H410" s="4">
        <v>946.90499999999997</v>
      </c>
      <c r="I410" s="4">
        <v>0.946905</v>
      </c>
      <c r="J410" s="4">
        <v>9.4690499999999995E-4</v>
      </c>
      <c r="K410" s="4">
        <v>2.0875657009999999</v>
      </c>
      <c r="L410" s="4">
        <v>1.2500000000000001E-2</v>
      </c>
      <c r="M410" s="4">
        <v>2.88</v>
      </c>
      <c r="N410" s="4">
        <v>49.457807510000002</v>
      </c>
      <c r="O410" s="4">
        <v>6.0250819002095559</v>
      </c>
      <c r="P410" s="4">
        <v>28.134256954815374</v>
      </c>
      <c r="Q410" s="4">
        <v>71.461012665231053</v>
      </c>
      <c r="R410" s="4">
        <v>2732.9344287040649</v>
      </c>
      <c r="S410" s="4">
        <v>6567.9750749917439</v>
      </c>
      <c r="T410" s="4">
        <v>17405.133948728122</v>
      </c>
      <c r="U410" s="4">
        <v>158</v>
      </c>
      <c r="V410" s="4">
        <v>4.2999999999999997E-2</v>
      </c>
      <c r="W410" s="4">
        <v>0</v>
      </c>
    </row>
    <row r="411" spans="1:31" x14ac:dyDescent="0.25">
      <c r="A411" s="4" t="s">
        <v>131</v>
      </c>
      <c r="B411" s="4" t="s">
        <v>132</v>
      </c>
      <c r="C411" s="4">
        <v>7</v>
      </c>
      <c r="D411" s="4">
        <v>2</v>
      </c>
      <c r="E411" s="4">
        <v>14</v>
      </c>
      <c r="F411" s="4">
        <v>3445.5659700000001</v>
      </c>
      <c r="G411" s="4">
        <v>9130.7498190000006</v>
      </c>
      <c r="H411" s="4">
        <v>1433.7</v>
      </c>
      <c r="I411" s="4">
        <v>1.4337</v>
      </c>
      <c r="J411" s="4">
        <v>1.4337E-3</v>
      </c>
      <c r="K411" s="4">
        <v>3.1607636939999999</v>
      </c>
      <c r="L411" s="4">
        <v>1.4E-2</v>
      </c>
      <c r="M411" s="4">
        <v>2.9</v>
      </c>
      <c r="N411" s="4">
        <v>53.419532879999998</v>
      </c>
      <c r="O411" s="4">
        <v>1.6757287015856983</v>
      </c>
      <c r="P411" s="4">
        <v>16.898023676388796</v>
      </c>
      <c r="Q411" s="4">
        <v>42.920980138027545</v>
      </c>
      <c r="R411" s="4">
        <v>760.09865717706373</v>
      </c>
      <c r="S411" s="4">
        <v>1826.7211179453586</v>
      </c>
      <c r="T411" s="4">
        <v>4840.8109625552006</v>
      </c>
      <c r="U411" s="4">
        <v>45.7</v>
      </c>
      <c r="V411" s="4">
        <v>0.2</v>
      </c>
      <c r="W411" s="4">
        <v>0</v>
      </c>
    </row>
    <row r="412" spans="1:31" x14ac:dyDescent="0.25">
      <c r="A412" s="4" t="s">
        <v>133</v>
      </c>
      <c r="B412" s="4" t="s">
        <v>134</v>
      </c>
      <c r="C412" s="4">
        <v>7</v>
      </c>
      <c r="D412" s="4">
        <v>3</v>
      </c>
      <c r="E412" s="4">
        <v>21</v>
      </c>
      <c r="F412" s="4">
        <v>13000</v>
      </c>
      <c r="G412" s="4">
        <v>34450</v>
      </c>
      <c r="H412" s="4">
        <v>5409.3</v>
      </c>
      <c r="I412" s="4">
        <v>5.4093</v>
      </c>
      <c r="J412" s="4">
        <v>5.4092999999999997E-3</v>
      </c>
      <c r="K412" s="4">
        <v>11.92545097</v>
      </c>
      <c r="L412" s="4">
        <v>1.2699999999999999E-2</v>
      </c>
      <c r="M412" s="4">
        <v>3.1</v>
      </c>
      <c r="N412" s="4">
        <v>65.450847319999994</v>
      </c>
      <c r="O412" s="4">
        <v>44.429910633084837</v>
      </c>
      <c r="P412" s="4">
        <v>39.385813850063023</v>
      </c>
      <c r="Q412" s="4">
        <v>100.03996717916007</v>
      </c>
      <c r="R412" s="4">
        <v>20153.092430026416</v>
      </c>
      <c r="S412" s="4">
        <v>48433.291107970232</v>
      </c>
      <c r="T412" s="4">
        <v>128348.22143612111</v>
      </c>
      <c r="U412" s="4">
        <v>114</v>
      </c>
      <c r="V412" s="4">
        <v>0.1</v>
      </c>
      <c r="W412" s="4">
        <v>0</v>
      </c>
    </row>
    <row r="413" spans="1:31" x14ac:dyDescent="0.25">
      <c r="A413" s="4" t="s">
        <v>135</v>
      </c>
      <c r="B413" s="4" t="s">
        <v>136</v>
      </c>
      <c r="C413" s="4">
        <v>7</v>
      </c>
      <c r="D413" s="4">
        <v>2</v>
      </c>
      <c r="E413" s="4">
        <v>14</v>
      </c>
      <c r="F413" s="4">
        <v>3445.5659700000001</v>
      </c>
      <c r="G413" s="4">
        <v>9130.7498190000006</v>
      </c>
      <c r="H413" s="4">
        <v>1433.7</v>
      </c>
      <c r="I413" s="4">
        <v>1.4337</v>
      </c>
      <c r="J413" s="4">
        <v>1.4337E-3</v>
      </c>
      <c r="K413" s="4">
        <v>3.1607636939999999</v>
      </c>
      <c r="L413" s="4">
        <v>1.2E-2</v>
      </c>
      <c r="M413" s="4">
        <v>3</v>
      </c>
      <c r="N413" s="4">
        <v>49.252205150000002</v>
      </c>
      <c r="O413" s="4">
        <v>2.4707968479792131</v>
      </c>
      <c r="P413" s="4">
        <v>17.86242013099146</v>
      </c>
      <c r="Q413" s="4">
        <v>45.370547132718308</v>
      </c>
      <c r="R413" s="4">
        <v>1120.7359308992993</v>
      </c>
      <c r="S413" s="4">
        <v>2693.429298003603</v>
      </c>
      <c r="T413" s="4">
        <v>7137.5876397095481</v>
      </c>
      <c r="U413" s="4">
        <v>60.5</v>
      </c>
      <c r="V413" s="4">
        <v>9.9000000000000005E-2</v>
      </c>
      <c r="W413" s="4">
        <v>0</v>
      </c>
    </row>
    <row r="414" spans="1:31" x14ac:dyDescent="0.25">
      <c r="A414" s="4" t="s">
        <v>137</v>
      </c>
      <c r="B414" s="4" t="s">
        <v>138</v>
      </c>
      <c r="C414" s="4">
        <v>7</v>
      </c>
      <c r="D414" s="4">
        <v>1</v>
      </c>
      <c r="E414" s="4">
        <v>7</v>
      </c>
      <c r="F414" s="4">
        <v>2118.4811340000001</v>
      </c>
      <c r="G414" s="4">
        <v>5613.9750059999997</v>
      </c>
      <c r="H414" s="4">
        <v>881.49999990000003</v>
      </c>
      <c r="I414" s="4">
        <v>0.88149999999999995</v>
      </c>
      <c r="J414" s="4">
        <v>8.8150000000000001E-4</v>
      </c>
      <c r="K414" s="4">
        <v>1.94337253</v>
      </c>
      <c r="L414" s="4">
        <v>1.2500000000000001E-2</v>
      </c>
      <c r="M414" s="4">
        <v>2.82</v>
      </c>
      <c r="N414" s="4">
        <v>52.391361189999998</v>
      </c>
      <c r="O414" s="4">
        <v>1.2821567714150832</v>
      </c>
      <c r="P414" s="4">
        <v>17.798283422627978</v>
      </c>
      <c r="Q414" s="4">
        <v>45.207639893475069</v>
      </c>
      <c r="R414" s="4">
        <v>581.57722029877402</v>
      </c>
      <c r="S414" s="4">
        <v>1397.686181924475</v>
      </c>
      <c r="T414" s="4">
        <v>3703.8683820998585</v>
      </c>
      <c r="U414" s="4">
        <v>50</v>
      </c>
      <c r="V414" s="4">
        <v>0.33500000000000002</v>
      </c>
      <c r="W414" s="4">
        <v>0</v>
      </c>
    </row>
    <row r="415" spans="1:31" x14ac:dyDescent="0.25">
      <c r="A415" s="4" t="s">
        <v>21</v>
      </c>
      <c r="B415" s="4" t="s">
        <v>22</v>
      </c>
      <c r="C415" s="4">
        <v>8</v>
      </c>
      <c r="D415" s="4">
        <v>1</v>
      </c>
      <c r="E415" s="4">
        <v>8</v>
      </c>
      <c r="F415" s="4">
        <v>314.44364339999998</v>
      </c>
      <c r="G415" s="4">
        <v>833.27565500000003</v>
      </c>
      <c r="H415" s="4">
        <v>130.84</v>
      </c>
      <c r="I415" s="4">
        <v>0.13084000000000001</v>
      </c>
      <c r="J415" s="4">
        <v>1.3083999999999999E-4</v>
      </c>
      <c r="K415" s="4">
        <v>0.28845248099999998</v>
      </c>
      <c r="L415" s="4">
        <v>1.6E-2</v>
      </c>
      <c r="M415" s="4">
        <v>3</v>
      </c>
      <c r="N415" s="4">
        <v>20.14683599</v>
      </c>
      <c r="O415" s="4">
        <v>4.5799951171440277E-2</v>
      </c>
      <c r="P415" s="4">
        <v>4.2950680245908579</v>
      </c>
      <c r="Q415" s="4">
        <v>10.90947278246078</v>
      </c>
      <c r="R415" s="4">
        <v>20.774533103863831</v>
      </c>
      <c r="S415" s="4">
        <v>49.926779869896251</v>
      </c>
      <c r="T415" s="4">
        <v>132.30596665522506</v>
      </c>
      <c r="U415" s="4">
        <v>11</v>
      </c>
      <c r="V415" s="4">
        <v>0.6</v>
      </c>
      <c r="W415" s="4">
        <v>0</v>
      </c>
    </row>
    <row r="416" spans="1:31" x14ac:dyDescent="0.25">
      <c r="A416" s="4" t="s">
        <v>23</v>
      </c>
      <c r="B416" s="4" t="s">
        <v>24</v>
      </c>
      <c r="C416" s="4">
        <v>8</v>
      </c>
      <c r="D416" s="4">
        <v>3</v>
      </c>
      <c r="E416" s="4">
        <v>24</v>
      </c>
      <c r="F416" s="4">
        <v>187644.9615</v>
      </c>
      <c r="G416" s="4">
        <v>497259.14809999999</v>
      </c>
      <c r="H416" s="4">
        <v>78079.068480000002</v>
      </c>
      <c r="I416" s="4">
        <v>78.079068480000004</v>
      </c>
      <c r="J416" s="4">
        <v>7.8079068000000001E-2</v>
      </c>
      <c r="K416" s="4">
        <v>172.13467600000001</v>
      </c>
      <c r="L416" s="4">
        <v>2.5999999999999999E-2</v>
      </c>
      <c r="M416" s="4">
        <v>3</v>
      </c>
      <c r="N416" s="4">
        <v>209.75221239999999</v>
      </c>
      <c r="O416" s="4">
        <v>1548.6196276465967</v>
      </c>
      <c r="P416" s="4">
        <v>118.13506906082436</v>
      </c>
      <c r="Q416" s="4">
        <v>300.06307541449388</v>
      </c>
      <c r="R416" s="4">
        <v>702442.88251335674</v>
      </c>
      <c r="S416" s="4">
        <v>1688158.8140191219</v>
      </c>
      <c r="T416" s="4">
        <v>4473620.8571506729</v>
      </c>
      <c r="U416" s="4">
        <v>330</v>
      </c>
      <c r="V416" s="4">
        <v>0.1</v>
      </c>
      <c r="W416" s="4">
        <v>0</v>
      </c>
    </row>
    <row r="417" spans="1:23" x14ac:dyDescent="0.25">
      <c r="A417" s="4" t="s">
        <v>25</v>
      </c>
      <c r="B417" s="4" t="s">
        <v>26</v>
      </c>
      <c r="C417" s="4">
        <v>8</v>
      </c>
      <c r="D417" s="4">
        <v>3</v>
      </c>
      <c r="E417" s="4">
        <v>24</v>
      </c>
      <c r="F417" s="4">
        <v>187644.9615</v>
      </c>
      <c r="G417" s="4">
        <v>497259.14809999999</v>
      </c>
      <c r="H417" s="4">
        <v>78079.068480000002</v>
      </c>
      <c r="I417" s="4">
        <v>78.079068480000004</v>
      </c>
      <c r="J417" s="4">
        <v>7.8079068000000001E-2</v>
      </c>
      <c r="K417" s="4">
        <v>172.13467600000001</v>
      </c>
      <c r="L417" s="4">
        <v>2.1399999999999999E-2</v>
      </c>
      <c r="M417" s="4">
        <v>2.96</v>
      </c>
      <c r="N417" s="4">
        <v>164.790708</v>
      </c>
      <c r="O417" s="4">
        <v>1219.1635457118855</v>
      </c>
      <c r="P417" s="4">
        <v>125.69748007106431</v>
      </c>
      <c r="Q417" s="4">
        <v>319.27159938050335</v>
      </c>
      <c r="R417" s="4">
        <v>553003.93977732467</v>
      </c>
      <c r="S417" s="4">
        <v>1329016.918474705</v>
      </c>
      <c r="T417" s="4">
        <v>3521894.8339579678</v>
      </c>
      <c r="U417" s="4">
        <v>358.7</v>
      </c>
      <c r="V417" s="4">
        <v>9.1999999999999998E-2</v>
      </c>
      <c r="W417" s="4">
        <v>0</v>
      </c>
    </row>
    <row r="418" spans="1:23" x14ac:dyDescent="0.25">
      <c r="A418" s="4" t="s">
        <v>27</v>
      </c>
      <c r="B418" s="4" t="s">
        <v>28</v>
      </c>
      <c r="C418" s="4">
        <v>8</v>
      </c>
      <c r="D418" s="4">
        <v>1</v>
      </c>
      <c r="E418" s="4">
        <v>8</v>
      </c>
      <c r="F418" s="4">
        <v>12774.81374</v>
      </c>
      <c r="G418" s="4">
        <v>33853.256419999998</v>
      </c>
      <c r="H418" s="4">
        <v>5315.5999970000003</v>
      </c>
      <c r="I418" s="4">
        <v>5.3155999969999996</v>
      </c>
      <c r="J418" s="4">
        <v>5.3156000000000002E-3</v>
      </c>
      <c r="K418" s="4">
        <v>11.718878070000001</v>
      </c>
      <c r="L418" s="4">
        <v>1.0999999999999999E-2</v>
      </c>
      <c r="M418" s="4">
        <v>2.9</v>
      </c>
      <c r="N418" s="4">
        <v>91.212642349999996</v>
      </c>
      <c r="O418" s="4">
        <v>6.7730209639303141</v>
      </c>
      <c r="P418" s="4">
        <v>29.724641495159684</v>
      </c>
      <c r="Q418" s="4">
        <v>75.500589397705596</v>
      </c>
      <c r="R418" s="4">
        <v>3072.1942846977322</v>
      </c>
      <c r="S418" s="4">
        <v>7383.3075815855145</v>
      </c>
      <c r="T418" s="4">
        <v>19565.765091201614</v>
      </c>
      <c r="U418" s="4">
        <v>94.6</v>
      </c>
      <c r="V418" s="4">
        <v>0.2</v>
      </c>
      <c r="W418" s="4">
        <v>0</v>
      </c>
    </row>
    <row r="419" spans="1:23" x14ac:dyDescent="0.25">
      <c r="A419" s="4" t="s">
        <v>29</v>
      </c>
      <c r="B419" s="4" t="s">
        <v>30</v>
      </c>
      <c r="C419" s="4">
        <v>8</v>
      </c>
      <c r="D419" s="4">
        <v>7</v>
      </c>
      <c r="E419" s="2">
        <v>56</v>
      </c>
      <c r="F419" s="4">
        <v>61342.911800000002</v>
      </c>
      <c r="G419" s="4">
        <v>162558.266</v>
      </c>
      <c r="H419" s="4">
        <v>25524.785599999999</v>
      </c>
      <c r="I419" s="4">
        <v>25.524785600000001</v>
      </c>
      <c r="J419" s="4">
        <v>2.5524786000000001E-2</v>
      </c>
      <c r="K419" s="4">
        <v>56.272452829999999</v>
      </c>
      <c r="L419" s="4">
        <v>3.2499999999999999E-3</v>
      </c>
      <c r="M419" s="4">
        <v>3</v>
      </c>
      <c r="N419" s="4">
        <v>198.7740015</v>
      </c>
      <c r="O419" s="4">
        <v>213.14318719559066</v>
      </c>
      <c r="P419" s="4">
        <v>121.98817495439913</v>
      </c>
      <c r="Q419" s="4">
        <v>309.8499643841738</v>
      </c>
      <c r="R419" s="4">
        <v>96680.238406433156</v>
      </c>
      <c r="S419" s="4">
        <v>232348.56622550625</v>
      </c>
      <c r="T419" s="4">
        <v>615723.70049759152</v>
      </c>
      <c r="U419" s="4">
        <v>311</v>
      </c>
      <c r="V419" s="4">
        <v>0.1</v>
      </c>
      <c r="W419" s="4">
        <v>0</v>
      </c>
    </row>
    <row r="420" spans="1:23" x14ac:dyDescent="0.25">
      <c r="A420" s="2" t="s">
        <v>31</v>
      </c>
      <c r="B420" s="4" t="s">
        <v>32</v>
      </c>
      <c r="C420" s="4">
        <v>8</v>
      </c>
      <c r="D420" s="4">
        <v>1</v>
      </c>
      <c r="E420" s="4">
        <v>8</v>
      </c>
      <c r="F420" s="4">
        <v>314.44364339999998</v>
      </c>
      <c r="G420" s="4">
        <v>833.27565500000003</v>
      </c>
      <c r="H420" s="4">
        <v>130.84000001874</v>
      </c>
      <c r="I420" s="4">
        <v>0.13084000001873999</v>
      </c>
      <c r="J420" s="4">
        <v>1.3084000001873999E-4</v>
      </c>
      <c r="K420" s="4">
        <v>0.28845248084131453</v>
      </c>
      <c r="L420" s="3">
        <v>1.1599999999999999E-2</v>
      </c>
      <c r="M420" s="3">
        <v>3</v>
      </c>
      <c r="N420" s="4">
        <v>22.426466342807739</v>
      </c>
      <c r="O420" s="4">
        <v>0.63377161159668749</v>
      </c>
      <c r="P420" s="4">
        <v>11.478363306396623</v>
      </c>
      <c r="Q420" s="4">
        <v>29.155042798247422</v>
      </c>
      <c r="R420" s="2">
        <v>287.47430922185566</v>
      </c>
      <c r="S420" s="2">
        <v>690.87793612558437</v>
      </c>
      <c r="T420" s="2">
        <v>1830.8265307327986</v>
      </c>
      <c r="U420" s="2">
        <v>29.172666666666665</v>
      </c>
      <c r="V420" s="2">
        <v>0.92646666666666677</v>
      </c>
      <c r="W420" s="2">
        <v>0</v>
      </c>
    </row>
    <row r="421" spans="1:23" x14ac:dyDescent="0.25">
      <c r="A421" s="4" t="s">
        <v>33</v>
      </c>
      <c r="B421" s="4" t="s">
        <v>34</v>
      </c>
      <c r="C421" s="4">
        <v>8</v>
      </c>
      <c r="D421" s="4">
        <v>2</v>
      </c>
      <c r="E421" s="4">
        <v>16</v>
      </c>
      <c r="F421" s="4">
        <v>2451.3338140000001</v>
      </c>
      <c r="G421" s="4">
        <v>6496.0346079999999</v>
      </c>
      <c r="H421" s="4">
        <v>1020</v>
      </c>
      <c r="I421" s="4">
        <v>1.02</v>
      </c>
      <c r="J421" s="4">
        <v>1.0200000000000001E-3</v>
      </c>
      <c r="K421" s="4">
        <v>2.2487124000000001</v>
      </c>
      <c r="L421" s="4">
        <v>1.4999999999999999E-2</v>
      </c>
      <c r="M421" s="4">
        <v>3</v>
      </c>
      <c r="N421" s="4">
        <v>40.816551019999999</v>
      </c>
      <c r="O421" s="4">
        <v>6.1485264795531931</v>
      </c>
      <c r="P421" s="4">
        <v>22.470615334563767</v>
      </c>
      <c r="Q421" s="4">
        <v>57.075362949791973</v>
      </c>
      <c r="R421" s="4">
        <v>2788.928014602604</v>
      </c>
      <c r="S421" s="4">
        <v>6702.5426931088768</v>
      </c>
      <c r="T421" s="4">
        <v>17761.738136738524</v>
      </c>
      <c r="U421" s="4">
        <v>58.9</v>
      </c>
      <c r="V421" s="4">
        <v>0.22</v>
      </c>
      <c r="W421" s="4">
        <v>0.20699999999999999</v>
      </c>
    </row>
    <row r="422" spans="1:23" x14ac:dyDescent="0.25">
      <c r="A422" s="4" t="s">
        <v>35</v>
      </c>
      <c r="B422" s="4" t="s">
        <v>36</v>
      </c>
      <c r="C422" s="4">
        <v>8</v>
      </c>
      <c r="D422" s="4">
        <v>1</v>
      </c>
      <c r="E422" s="4">
        <v>8</v>
      </c>
      <c r="F422" s="4">
        <v>314.44364339999998</v>
      </c>
      <c r="G422" s="4">
        <v>833.27565500000003</v>
      </c>
      <c r="H422" s="4">
        <v>130.84</v>
      </c>
      <c r="I422" s="4">
        <v>0.13084000000000001</v>
      </c>
      <c r="J422" s="4">
        <v>1.3083999999999999E-4</v>
      </c>
      <c r="K422" s="4">
        <v>0.28845248099999998</v>
      </c>
      <c r="L422" s="4">
        <v>2.1000000000000001E-2</v>
      </c>
      <c r="M422" s="4">
        <v>3</v>
      </c>
      <c r="N422" s="4">
        <v>18.400957129999998</v>
      </c>
      <c r="O422" s="4">
        <v>0.42873531792242975</v>
      </c>
      <c r="P422" s="4">
        <v>8.2675790819937944</v>
      </c>
      <c r="Q422" s="4">
        <v>20.99965086826424</v>
      </c>
      <c r="R422" s="4">
        <v>194.47130023424887</v>
      </c>
      <c r="S422" s="4">
        <v>467.36673932768292</v>
      </c>
      <c r="T422" s="4">
        <v>1238.5218592183596</v>
      </c>
      <c r="U422" s="4">
        <v>21.02</v>
      </c>
      <c r="V422" s="4">
        <v>0.86</v>
      </c>
      <c r="W422" s="4">
        <v>-6.9989999999999997E-2</v>
      </c>
    </row>
    <row r="423" spans="1:23" x14ac:dyDescent="0.25">
      <c r="A423" s="4" t="s">
        <v>37</v>
      </c>
      <c r="B423" s="4" t="s">
        <v>38</v>
      </c>
      <c r="C423" s="4">
        <v>8</v>
      </c>
      <c r="D423" s="4">
        <v>9</v>
      </c>
      <c r="E423" s="4">
        <v>72</v>
      </c>
      <c r="F423" s="4">
        <v>1772528860</v>
      </c>
      <c r="G423" s="4">
        <v>4697201480</v>
      </c>
      <c r="H423" s="4">
        <v>737549258.60000002</v>
      </c>
      <c r="I423" s="4">
        <v>737549.25859999994</v>
      </c>
      <c r="J423" s="4">
        <v>737.54925860000003</v>
      </c>
      <c r="K423" s="4">
        <v>1626015.8470000001</v>
      </c>
      <c r="L423" s="2">
        <v>6.0000000000000001E-3</v>
      </c>
      <c r="M423" s="4">
        <v>3</v>
      </c>
      <c r="N423" s="4">
        <v>1544.971047</v>
      </c>
      <c r="O423" s="4">
        <v>122040.48826370828</v>
      </c>
      <c r="P423" s="4">
        <v>825.73228346456665</v>
      </c>
      <c r="Q423" s="4">
        <v>2097.3599999999992</v>
      </c>
      <c r="R423" s="2">
        <v>55356700.140481479</v>
      </c>
      <c r="S423" s="2">
        <v>133037010.67166904</v>
      </c>
      <c r="T423" s="2">
        <v>352548078.27992296</v>
      </c>
      <c r="U423" s="2">
        <v>2097.3599999999997</v>
      </c>
      <c r="V423" s="2">
        <v>0.5</v>
      </c>
      <c r="W423" s="2">
        <v>0</v>
      </c>
    </row>
    <row r="424" spans="1:23" x14ac:dyDescent="0.25">
      <c r="A424" s="4" t="s">
        <v>39</v>
      </c>
      <c r="B424" s="4" t="s">
        <v>40</v>
      </c>
      <c r="C424" s="4">
        <v>8</v>
      </c>
      <c r="D424" s="4">
        <v>2</v>
      </c>
      <c r="E424" s="4">
        <v>16</v>
      </c>
      <c r="F424" s="4">
        <v>52871.905789999997</v>
      </c>
      <c r="G424" s="4">
        <v>140110.5503</v>
      </c>
      <c r="H424" s="4">
        <v>22000</v>
      </c>
      <c r="I424" s="4">
        <v>22</v>
      </c>
      <c r="J424" s="4">
        <v>2.1999999999999999E-2</v>
      </c>
      <c r="K424" s="4">
        <v>48.501640000000002</v>
      </c>
      <c r="L424" s="4">
        <v>1.2E-2</v>
      </c>
      <c r="M424" s="4">
        <v>3</v>
      </c>
      <c r="N424" s="4">
        <v>122.39034100000001</v>
      </c>
      <c r="O424" s="4">
        <v>51.163115634360331</v>
      </c>
      <c r="P424" s="4">
        <v>49.050896368692506</v>
      </c>
      <c r="Q424" s="4">
        <v>124.58927677647897</v>
      </c>
      <c r="R424" s="4">
        <v>23207.226476381566</v>
      </c>
      <c r="S424" s="4">
        <v>55773.195088636297</v>
      </c>
      <c r="T424" s="4">
        <v>147798.96698488618</v>
      </c>
      <c r="U424" s="4">
        <v>150.93</v>
      </c>
      <c r="V424" s="4">
        <v>0.11</v>
      </c>
      <c r="W424" s="4">
        <v>0.13</v>
      </c>
    </row>
    <row r="425" spans="1:23" x14ac:dyDescent="0.25">
      <c r="A425" s="4" t="s">
        <v>41</v>
      </c>
      <c r="B425" s="4" t="s">
        <v>42</v>
      </c>
      <c r="C425" s="4">
        <v>8</v>
      </c>
      <c r="D425" s="4">
        <v>4</v>
      </c>
      <c r="E425" s="4">
        <v>32</v>
      </c>
      <c r="F425" s="4">
        <v>24995.308690000002</v>
      </c>
      <c r="G425" s="4">
        <v>66237.568020000006</v>
      </c>
      <c r="H425" s="4">
        <v>10400.54795</v>
      </c>
      <c r="I425" s="4">
        <v>10.40054795</v>
      </c>
      <c r="J425" s="4">
        <v>1.0400548000000001E-2</v>
      </c>
      <c r="K425" s="4">
        <v>22.92925601</v>
      </c>
      <c r="L425" s="4">
        <v>1.34E-2</v>
      </c>
      <c r="M425" s="4">
        <v>3.1</v>
      </c>
      <c r="N425" s="4">
        <v>79.42995741</v>
      </c>
      <c r="O425" s="4">
        <v>33.685084090738826</v>
      </c>
      <c r="P425" s="4">
        <v>35.402746800877338</v>
      </c>
      <c r="Q425" s="4">
        <v>89.922976874228439</v>
      </c>
      <c r="R425" s="4">
        <v>15279.315297302403</v>
      </c>
      <c r="S425" s="4">
        <v>36720.296316516229</v>
      </c>
      <c r="T425" s="4">
        <v>97308.785238768003</v>
      </c>
      <c r="U425" s="4">
        <v>91.5</v>
      </c>
      <c r="V425" s="4">
        <v>0.12690000000000001</v>
      </c>
      <c r="W425" s="4">
        <v>0</v>
      </c>
    </row>
    <row r="426" spans="1:23" x14ac:dyDescent="0.25">
      <c r="A426" s="4" t="s">
        <v>43</v>
      </c>
      <c r="B426" s="4" t="s">
        <v>44</v>
      </c>
      <c r="C426" s="4">
        <v>8</v>
      </c>
      <c r="D426" s="4">
        <v>2</v>
      </c>
      <c r="E426" s="4">
        <v>16</v>
      </c>
      <c r="F426" s="4">
        <v>2451.3338140000001</v>
      </c>
      <c r="G426" s="4">
        <v>6496.0346079999999</v>
      </c>
      <c r="H426" s="4">
        <v>1020</v>
      </c>
      <c r="I426" s="4">
        <v>1.02</v>
      </c>
      <c r="J426" s="4">
        <v>1.0200000000000001E-3</v>
      </c>
      <c r="K426" s="4">
        <v>2.2487124000000001</v>
      </c>
      <c r="L426" s="4">
        <v>1.44E-2</v>
      </c>
      <c r="M426" s="4">
        <v>3</v>
      </c>
      <c r="N426" s="4">
        <v>41.375751340000001</v>
      </c>
      <c r="O426" s="4">
        <v>3.4231381405788768</v>
      </c>
      <c r="P426" s="4">
        <v>18.738824631135429</v>
      </c>
      <c r="Q426" s="4">
        <v>47.596614563083989</v>
      </c>
      <c r="R426" s="2">
        <v>1552.7111885852785</v>
      </c>
      <c r="S426" s="2">
        <v>3731.5818038579146</v>
      </c>
      <c r="T426" s="2">
        <v>9888.691780223473</v>
      </c>
      <c r="U426" s="2">
        <v>47.633333333333333</v>
      </c>
      <c r="V426" s="2">
        <v>0.44799999999999995</v>
      </c>
      <c r="W426" s="2">
        <v>0</v>
      </c>
    </row>
    <row r="427" spans="1:23" x14ac:dyDescent="0.25">
      <c r="A427" s="4" t="s">
        <v>45</v>
      </c>
      <c r="B427" s="4" t="s">
        <v>46</v>
      </c>
      <c r="C427" s="4">
        <v>8</v>
      </c>
      <c r="D427" s="4">
        <v>5</v>
      </c>
      <c r="E427" s="4">
        <v>40</v>
      </c>
      <c r="F427" s="4">
        <v>7633.7023829999998</v>
      </c>
      <c r="G427" s="4">
        <v>20229.311320000001</v>
      </c>
      <c r="H427" s="4">
        <v>3176.383562</v>
      </c>
      <c r="I427" s="4">
        <v>3.1763835619999998</v>
      </c>
      <c r="J427" s="4">
        <v>3.176384E-3</v>
      </c>
      <c r="K427" s="4">
        <v>7.0027187279999996</v>
      </c>
      <c r="L427" s="4">
        <v>3.96E-3</v>
      </c>
      <c r="M427" s="4">
        <v>3.2</v>
      </c>
      <c r="N427" s="4">
        <v>69.99617336</v>
      </c>
      <c r="O427" s="4">
        <v>743.63255624491262</v>
      </c>
      <c r="P427" s="4">
        <v>118.4115978456126</v>
      </c>
      <c r="Q427" s="4">
        <v>300.76545852785603</v>
      </c>
      <c r="R427" s="2">
        <v>337306.45473819191</v>
      </c>
      <c r="S427" s="2">
        <v>810637.95899589499</v>
      </c>
      <c r="T427" s="2">
        <v>2148190.5913391216</v>
      </c>
      <c r="U427" s="2">
        <v>300.78571428571428</v>
      </c>
      <c r="V427" s="2">
        <v>0.24014285714285719</v>
      </c>
      <c r="W427" s="2">
        <v>0</v>
      </c>
    </row>
    <row r="428" spans="1:23" x14ac:dyDescent="0.25">
      <c r="A428" s="2" t="s">
        <v>47</v>
      </c>
      <c r="B428" s="4" t="s">
        <v>48</v>
      </c>
      <c r="C428" s="4">
        <v>8</v>
      </c>
      <c r="D428" s="4">
        <v>1</v>
      </c>
      <c r="E428" s="4">
        <v>8</v>
      </c>
      <c r="F428" s="4">
        <v>345.5659698</v>
      </c>
      <c r="G428" s="4">
        <v>915.74981979999995</v>
      </c>
      <c r="H428" s="4">
        <v>143.79000003377999</v>
      </c>
      <c r="I428" s="4">
        <v>0.14379000003377998</v>
      </c>
      <c r="J428" s="4">
        <v>1.4379000003377998E-4</v>
      </c>
      <c r="K428" s="4">
        <v>0.31700230987447198</v>
      </c>
      <c r="L428" s="3">
        <v>1.23E-2</v>
      </c>
      <c r="M428" s="3">
        <v>3.2</v>
      </c>
      <c r="N428" s="4">
        <v>18.672173165729784</v>
      </c>
      <c r="O428" s="4">
        <v>3.3027278870807972</v>
      </c>
      <c r="P428" s="4">
        <v>15.290683160419015</v>
      </c>
      <c r="Q428" s="4">
        <v>38.838335227464299</v>
      </c>
      <c r="R428" s="2">
        <v>1498.0939513752016</v>
      </c>
      <c r="S428" s="2">
        <v>3600.3219211131977</v>
      </c>
      <c r="T428" s="2">
        <v>9540.8530909499732</v>
      </c>
      <c r="U428" s="2">
        <v>39.200000000000003</v>
      </c>
      <c r="V428" s="2">
        <v>0.58571428571428563</v>
      </c>
      <c r="W428" s="2">
        <v>0</v>
      </c>
    </row>
    <row r="429" spans="1:23" x14ac:dyDescent="0.25">
      <c r="A429" s="2" t="s">
        <v>49</v>
      </c>
      <c r="B429" s="4" t="s">
        <v>50</v>
      </c>
      <c r="C429" s="4">
        <v>8</v>
      </c>
      <c r="D429" s="4">
        <v>1</v>
      </c>
      <c r="E429" s="4">
        <v>8</v>
      </c>
      <c r="F429" s="4">
        <v>2451.3338140000001</v>
      </c>
      <c r="G429" s="4">
        <v>6496.0346079999999</v>
      </c>
      <c r="H429" s="4">
        <v>1020.0000000054</v>
      </c>
      <c r="I429" s="4">
        <v>1.0200000000053999</v>
      </c>
      <c r="J429" s="4">
        <v>1.0200000000053998E-3</v>
      </c>
      <c r="K429" s="4">
        <v>2.2487124000119048</v>
      </c>
      <c r="L429" s="3">
        <v>1.2E-2</v>
      </c>
      <c r="M429" s="3">
        <v>3.1</v>
      </c>
      <c r="N429" s="4">
        <v>38.916622113975315</v>
      </c>
      <c r="O429" s="4">
        <v>3.6069534357875623</v>
      </c>
      <c r="P429" s="4">
        <v>17.844200932900726</v>
      </c>
      <c r="Q429" s="4">
        <v>45.324270369567849</v>
      </c>
      <c r="R429" s="2">
        <v>1636.0885031377572</v>
      </c>
      <c r="S429" s="2">
        <v>3931.9598729578402</v>
      </c>
      <c r="T429" s="2">
        <v>10419.693663338276</v>
      </c>
      <c r="U429" s="2">
        <v>54.3</v>
      </c>
      <c r="V429" s="2">
        <v>0.22500000000000001</v>
      </c>
      <c r="W429" s="2">
        <v>0</v>
      </c>
    </row>
    <row r="430" spans="1:23" x14ac:dyDescent="0.25">
      <c r="A430" s="2" t="s">
        <v>51</v>
      </c>
      <c r="B430" s="4" t="s">
        <v>52</v>
      </c>
      <c r="C430" s="4">
        <v>8</v>
      </c>
      <c r="D430" s="4">
        <v>1</v>
      </c>
      <c r="E430" s="4">
        <v>8</v>
      </c>
      <c r="F430" s="4">
        <v>3970.9204519999998</v>
      </c>
      <c r="G430" s="4">
        <v>10522.939200000001</v>
      </c>
      <c r="H430" s="4">
        <v>1652.3000000771999</v>
      </c>
      <c r="I430" s="4">
        <v>1.6523000000771999</v>
      </c>
      <c r="J430" s="4">
        <v>1.6523000000772E-3</v>
      </c>
      <c r="K430" s="4">
        <v>3.6426936261701961</v>
      </c>
      <c r="L430" s="3">
        <v>1.24E-2</v>
      </c>
      <c r="M430" s="3">
        <v>3.2</v>
      </c>
      <c r="N430" s="4">
        <v>39.94463945663405</v>
      </c>
      <c r="O430" s="4">
        <v>0.22780925292423412</v>
      </c>
      <c r="P430" s="4">
        <v>6.613346260848795</v>
      </c>
      <c r="Q430" s="4">
        <v>16.797899502555939</v>
      </c>
      <c r="R430" s="2">
        <v>103.33266183026286</v>
      </c>
      <c r="S430" s="2">
        <v>248.33612552334262</v>
      </c>
      <c r="T430" s="2">
        <v>658.09073263685787</v>
      </c>
      <c r="U430" s="4">
        <v>20.9</v>
      </c>
      <c r="V430" s="4">
        <v>0.19500000000000001</v>
      </c>
      <c r="W430" s="4">
        <v>-0.35</v>
      </c>
    </row>
    <row r="431" spans="1:23" x14ac:dyDescent="0.25">
      <c r="A431" s="4" t="s">
        <v>53</v>
      </c>
      <c r="B431" s="4" t="s">
        <v>54</v>
      </c>
      <c r="C431" s="4">
        <v>8</v>
      </c>
      <c r="D431" s="4">
        <v>2</v>
      </c>
      <c r="E431" s="4">
        <v>16</v>
      </c>
      <c r="F431" s="4">
        <v>3970.9204519999998</v>
      </c>
      <c r="G431" s="4">
        <v>10522.939200000001</v>
      </c>
      <c r="H431" s="4">
        <v>1652.3</v>
      </c>
      <c r="I431" s="4">
        <v>1.6523000000000001</v>
      </c>
      <c r="J431" s="4">
        <v>1.6523E-3</v>
      </c>
      <c r="K431" s="4">
        <v>3.6426936259999998</v>
      </c>
      <c r="L431" s="4">
        <v>1.2E-2</v>
      </c>
      <c r="M431" s="4">
        <v>2.95</v>
      </c>
      <c r="N431" s="4">
        <v>55.208073880000001</v>
      </c>
      <c r="O431" s="4">
        <v>1.2385753690707848</v>
      </c>
      <c r="P431" s="4">
        <v>15.078399633274598</v>
      </c>
      <c r="Q431" s="4">
        <v>38.299135068517479</v>
      </c>
      <c r="R431" s="4">
        <v>561.80900521213846</v>
      </c>
      <c r="S431" s="4">
        <v>1350.1778543911041</v>
      </c>
      <c r="T431" s="4">
        <v>3577.9713141364259</v>
      </c>
      <c r="U431" s="4">
        <v>41</v>
      </c>
      <c r="V431" s="4">
        <v>0.17</v>
      </c>
      <c r="W431" s="4">
        <v>0</v>
      </c>
    </row>
    <row r="432" spans="1:23" x14ac:dyDescent="0.25">
      <c r="A432" s="4" t="s">
        <v>55</v>
      </c>
      <c r="B432" s="4" t="s">
        <v>56</v>
      </c>
      <c r="C432" s="4">
        <v>8</v>
      </c>
      <c r="D432" s="4">
        <v>1</v>
      </c>
      <c r="E432" s="4">
        <v>8</v>
      </c>
      <c r="F432" s="4">
        <v>10846.19082</v>
      </c>
      <c r="G432" s="4">
        <v>28742.40567</v>
      </c>
      <c r="H432" s="4">
        <v>4513.1000000000004</v>
      </c>
      <c r="I432" s="4">
        <v>4.5130999999999997</v>
      </c>
      <c r="J432" s="4">
        <v>4.5130999999999999E-3</v>
      </c>
      <c r="K432" s="4">
        <v>9.9496705219999999</v>
      </c>
      <c r="L432" s="4">
        <v>1.2999999999999999E-2</v>
      </c>
      <c r="M432" s="4">
        <v>3</v>
      </c>
      <c r="N432" s="4">
        <v>70.281960589999997</v>
      </c>
      <c r="O432" s="4">
        <v>15.157460260179651</v>
      </c>
      <c r="P432" s="4">
        <v>31.838265331928827</v>
      </c>
      <c r="Q432" s="4">
        <v>80.869193943099219</v>
      </c>
      <c r="R432" s="4">
        <v>6875.3164990699761</v>
      </c>
      <c r="S432" s="4">
        <v>16523.23119218932</v>
      </c>
      <c r="T432" s="4">
        <v>43786.562659301693</v>
      </c>
      <c r="U432" s="4">
        <v>152</v>
      </c>
      <c r="V432" s="4">
        <v>9.6000000000000002E-2</v>
      </c>
      <c r="W432" s="4">
        <v>0.09</v>
      </c>
    </row>
    <row r="433" spans="1:23" x14ac:dyDescent="0.25">
      <c r="A433" s="4" t="s">
        <v>57</v>
      </c>
      <c r="B433" s="4" t="s">
        <v>58</v>
      </c>
      <c r="C433" s="4">
        <v>8</v>
      </c>
      <c r="D433" s="4">
        <v>2</v>
      </c>
      <c r="E433" s="4">
        <v>16</v>
      </c>
      <c r="F433" s="4">
        <v>8090.60322</v>
      </c>
      <c r="G433" s="4">
        <v>21440.098529999999</v>
      </c>
      <c r="H433" s="4">
        <v>3366.5</v>
      </c>
      <c r="I433" s="4">
        <v>3.3664999999999998</v>
      </c>
      <c r="J433" s="4">
        <v>3.3665000000000001E-3</v>
      </c>
      <c r="K433" s="4">
        <v>7.42185323</v>
      </c>
      <c r="L433" s="4">
        <v>4.0000000000000001E-3</v>
      </c>
      <c r="M433" s="4">
        <v>3.1</v>
      </c>
      <c r="N433" s="4">
        <v>65.831265509999994</v>
      </c>
      <c r="O433" s="4">
        <v>5.2192756664873734</v>
      </c>
      <c r="P433" s="4">
        <v>28.653099399521899</v>
      </c>
      <c r="Q433" s="4">
        <v>72.778872474785629</v>
      </c>
      <c r="R433" s="4">
        <v>2367.426434708645</v>
      </c>
      <c r="S433" s="4">
        <v>5689.5612465961185</v>
      </c>
      <c r="T433" s="4">
        <v>15077.337303479713</v>
      </c>
      <c r="U433" s="4">
        <v>72.900000000000006</v>
      </c>
      <c r="V433" s="4">
        <v>0.4</v>
      </c>
      <c r="W433" s="4">
        <v>0</v>
      </c>
    </row>
    <row r="434" spans="1:23" x14ac:dyDescent="0.25">
      <c r="A434" s="4" t="s">
        <v>59</v>
      </c>
      <c r="B434" s="4" t="s">
        <v>60</v>
      </c>
      <c r="C434" s="4">
        <v>8</v>
      </c>
      <c r="D434" s="4">
        <v>2</v>
      </c>
      <c r="E434" s="4">
        <v>16</v>
      </c>
      <c r="F434" s="4">
        <v>3970.9204519999998</v>
      </c>
      <c r="G434" s="4">
        <v>10522.939200000001</v>
      </c>
      <c r="H434" s="4">
        <v>1652.3</v>
      </c>
      <c r="I434" s="4">
        <v>1.6523000000000001</v>
      </c>
      <c r="J434" s="4">
        <v>1.6523E-3</v>
      </c>
      <c r="K434" s="4">
        <v>3.6426936259999998</v>
      </c>
      <c r="L434" s="4">
        <v>1.6799999999999999E-2</v>
      </c>
      <c r="M434" s="4">
        <v>3.1</v>
      </c>
      <c r="N434" s="4">
        <v>40.791912869999997</v>
      </c>
      <c r="O434" s="4">
        <v>336.75795576802403</v>
      </c>
      <c r="P434" s="4">
        <v>69.16718528393217</v>
      </c>
      <c r="Q434" s="4">
        <v>175.6846506211877</v>
      </c>
      <c r="R434" s="4">
        <v>152751.02093241649</v>
      </c>
      <c r="S434" s="4">
        <v>367101.70856144308</v>
      </c>
      <c r="T434" s="4">
        <v>972819.5276878241</v>
      </c>
      <c r="U434" s="4">
        <v>263.2</v>
      </c>
      <c r="V434" s="4">
        <v>7.0000000000000007E-2</v>
      </c>
      <c r="W434" s="4">
        <v>0.27</v>
      </c>
    </row>
    <row r="435" spans="1:23" x14ac:dyDescent="0.25">
      <c r="A435" s="4" t="s">
        <v>61</v>
      </c>
      <c r="B435" s="4" t="s">
        <v>62</v>
      </c>
      <c r="C435" s="4">
        <v>8</v>
      </c>
      <c r="D435" s="4">
        <v>1</v>
      </c>
      <c r="E435" s="4">
        <v>8</v>
      </c>
      <c r="F435" s="4">
        <v>455.49146839999997</v>
      </c>
      <c r="G435" s="4">
        <v>1207.0523909999999</v>
      </c>
      <c r="H435" s="4">
        <v>189.53</v>
      </c>
      <c r="I435" s="4">
        <v>0.18953</v>
      </c>
      <c r="J435" s="4">
        <v>1.8953000000000001E-4</v>
      </c>
      <c r="K435" s="4">
        <v>0.41784162899999999</v>
      </c>
      <c r="L435" s="4">
        <v>1.2500000000000001E-2</v>
      </c>
      <c r="M435" s="4">
        <v>3</v>
      </c>
      <c r="N435" s="4">
        <v>24.750804309999999</v>
      </c>
      <c r="O435" s="4">
        <v>0.7890982822677115</v>
      </c>
      <c r="P435" s="4">
        <v>12.044683636751865</v>
      </c>
      <c r="Q435" s="4">
        <v>30.593496437349735</v>
      </c>
      <c r="R435" s="4">
        <v>357.92938568447693</v>
      </c>
      <c r="S435" s="4">
        <v>860.20039818427529</v>
      </c>
      <c r="T435" s="4">
        <v>2279.5310551883294</v>
      </c>
      <c r="U435" s="4">
        <v>33.700000000000003</v>
      </c>
      <c r="V435" s="4">
        <v>0.32</v>
      </c>
      <c r="W435" s="4">
        <v>0.55000000000000004</v>
      </c>
    </row>
    <row r="436" spans="1:23" x14ac:dyDescent="0.25">
      <c r="A436" s="4" t="s">
        <v>63</v>
      </c>
      <c r="B436" s="4" t="s">
        <v>64</v>
      </c>
      <c r="C436" s="4">
        <v>8</v>
      </c>
      <c r="D436" s="4">
        <v>2</v>
      </c>
      <c r="E436" s="4">
        <v>16</v>
      </c>
      <c r="F436" s="4">
        <v>2451.3338140000001</v>
      </c>
      <c r="G436" s="4">
        <v>6496.0346079999999</v>
      </c>
      <c r="H436" s="4">
        <v>1020</v>
      </c>
      <c r="I436" s="4">
        <v>1.02</v>
      </c>
      <c r="J436" s="4">
        <v>1.0200000000000001E-3</v>
      </c>
      <c r="K436" s="4">
        <v>2.2487124000000001</v>
      </c>
      <c r="L436" s="4">
        <v>1.2E-2</v>
      </c>
      <c r="M436" s="4">
        <v>3.1</v>
      </c>
      <c r="N436" s="4">
        <v>38.916622109999999</v>
      </c>
      <c r="O436" s="4">
        <v>2.9496686292408216</v>
      </c>
      <c r="P436" s="4">
        <v>16.722996653081008</v>
      </c>
      <c r="Q436" s="4">
        <v>42.476411498825762</v>
      </c>
      <c r="R436" s="4">
        <v>1337.9487754083796</v>
      </c>
      <c r="S436" s="4">
        <v>3215.4500730794989</v>
      </c>
      <c r="T436" s="4">
        <v>8520.9426936606724</v>
      </c>
      <c r="U436" s="4">
        <v>42.5</v>
      </c>
      <c r="V436" s="4">
        <v>0.47</v>
      </c>
      <c r="W436" s="4">
        <v>0.05</v>
      </c>
    </row>
    <row r="437" spans="1:23" x14ac:dyDescent="0.25">
      <c r="A437" s="4" t="s">
        <v>65</v>
      </c>
      <c r="B437" s="4" t="s">
        <v>66</v>
      </c>
      <c r="C437" s="4">
        <v>8</v>
      </c>
      <c r="D437" s="4">
        <v>3</v>
      </c>
      <c r="E437" s="4">
        <v>24</v>
      </c>
      <c r="F437" s="4">
        <v>18000</v>
      </c>
      <c r="G437" s="4">
        <v>40770</v>
      </c>
      <c r="H437" s="4">
        <v>7489.8</v>
      </c>
      <c r="I437" s="4">
        <v>7.4897999999999998</v>
      </c>
      <c r="J437" s="4">
        <v>7.4897999999999996E-3</v>
      </c>
      <c r="K437" s="4">
        <v>16.512162880000002</v>
      </c>
      <c r="L437" s="4">
        <v>1.2699999999999999E-2</v>
      </c>
      <c r="M437" s="4">
        <v>3.1</v>
      </c>
      <c r="N437" s="4">
        <v>72.695130840000004</v>
      </c>
      <c r="O437" s="4">
        <v>8.2071995022360511</v>
      </c>
      <c r="P437" s="4">
        <v>22.841952676233198</v>
      </c>
      <c r="Q437" s="4">
        <v>58.018559797632328</v>
      </c>
      <c r="R437" s="4">
        <v>3722.7275005379847</v>
      </c>
      <c r="S437" s="4">
        <v>8946.7135316942658</v>
      </c>
      <c r="T437" s="4">
        <v>23708.790858989803</v>
      </c>
      <c r="U437" s="4">
        <v>58.5</v>
      </c>
      <c r="V437" s="4">
        <v>0.2</v>
      </c>
      <c r="W437" s="4">
        <v>0</v>
      </c>
    </row>
    <row r="438" spans="1:23" x14ac:dyDescent="0.25">
      <c r="A438" s="4" t="s">
        <v>67</v>
      </c>
      <c r="B438" s="4" t="s">
        <v>68</v>
      </c>
      <c r="C438" s="4">
        <v>8</v>
      </c>
      <c r="D438" s="4">
        <v>1</v>
      </c>
      <c r="E438" s="4">
        <v>8</v>
      </c>
      <c r="F438" s="4">
        <v>607.61</v>
      </c>
      <c r="G438" s="4">
        <v>1610.16</v>
      </c>
      <c r="H438" s="4">
        <v>252.82652100000001</v>
      </c>
      <c r="I438" s="4">
        <v>0.25282652100000003</v>
      </c>
      <c r="J438" s="4">
        <v>2.5282700000000001E-4</v>
      </c>
      <c r="K438" s="4">
        <v>0.55738640500000003</v>
      </c>
      <c r="L438" s="4">
        <v>1.29E-2</v>
      </c>
      <c r="M438" s="4">
        <v>3.05</v>
      </c>
      <c r="N438" s="4">
        <v>25.54403387</v>
      </c>
      <c r="O438" s="4">
        <v>1.2767749871137366</v>
      </c>
      <c r="P438" s="4">
        <v>13.196986710324596</v>
      </c>
      <c r="Q438" s="4">
        <v>33.520346244224477</v>
      </c>
      <c r="R438" s="4">
        <v>579.13608109957113</v>
      </c>
      <c r="S438" s="4">
        <v>1391.8194691169697</v>
      </c>
      <c r="T438" s="4">
        <v>3688.3215931599693</v>
      </c>
      <c r="U438" s="4">
        <v>42</v>
      </c>
      <c r="V438" s="4">
        <v>0.2</v>
      </c>
      <c r="W438" s="4">
        <v>0</v>
      </c>
    </row>
    <row r="439" spans="1:23" x14ac:dyDescent="0.25">
      <c r="A439" s="4" t="s">
        <v>69</v>
      </c>
      <c r="B439" s="4" t="s">
        <v>70</v>
      </c>
      <c r="C439" s="4">
        <v>8</v>
      </c>
      <c r="D439" s="4">
        <v>1</v>
      </c>
      <c r="E439" s="4">
        <v>8</v>
      </c>
      <c r="F439" s="4">
        <v>345.5659698</v>
      </c>
      <c r="G439" s="4">
        <v>915.74981979999995</v>
      </c>
      <c r="H439" s="4">
        <v>143.79</v>
      </c>
      <c r="I439" s="4">
        <v>0.14379</v>
      </c>
      <c r="J439" s="4">
        <v>1.4379E-4</v>
      </c>
      <c r="K439" s="4">
        <v>0.31700231000000001</v>
      </c>
      <c r="L439" s="4">
        <v>0.01</v>
      </c>
      <c r="M439" s="4">
        <v>2.9</v>
      </c>
      <c r="N439" s="4">
        <v>27.145606300000001</v>
      </c>
      <c r="O439" s="4">
        <v>0.52298069795271684</v>
      </c>
      <c r="P439" s="4">
        <v>12.701042180628697</v>
      </c>
      <c r="Q439" s="4">
        <v>32.260647138796891</v>
      </c>
      <c r="R439" s="4">
        <v>237.22033636305432</v>
      </c>
      <c r="S439" s="4">
        <v>570.10414891385335</v>
      </c>
      <c r="T439" s="4">
        <v>1510.7759946217113</v>
      </c>
      <c r="U439" s="4">
        <v>37.700000000000003</v>
      </c>
      <c r="V439" s="4">
        <v>0.24199999999999999</v>
      </c>
      <c r="W439" s="4">
        <v>0</v>
      </c>
    </row>
    <row r="440" spans="1:23" x14ac:dyDescent="0.25">
      <c r="A440" s="2" t="s">
        <v>71</v>
      </c>
      <c r="B440" s="4" t="s">
        <v>72</v>
      </c>
      <c r="C440" s="4">
        <v>8</v>
      </c>
      <c r="D440" s="4">
        <v>1</v>
      </c>
      <c r="E440" s="4">
        <v>8</v>
      </c>
      <c r="F440" s="4">
        <v>5.1309781299999999</v>
      </c>
      <c r="G440" s="4">
        <v>13.597092050000001</v>
      </c>
      <c r="H440" s="4">
        <v>2.134999999893</v>
      </c>
      <c r="I440" s="4">
        <v>2.1349999998929998E-3</v>
      </c>
      <c r="J440" s="4">
        <v>2.1349999998929997E-6</v>
      </c>
      <c r="K440" s="4">
        <v>4.7068636997641047E-3</v>
      </c>
      <c r="L440" s="3">
        <v>1.0999999999999999E-2</v>
      </c>
      <c r="M440" s="3">
        <v>3.01</v>
      </c>
      <c r="N440" s="4">
        <v>5.7561833111503411</v>
      </c>
      <c r="O440" s="4">
        <v>1.4184754788822251E-2</v>
      </c>
      <c r="P440" s="4">
        <v>3.2693926519725598</v>
      </c>
      <c r="Q440" s="4">
        <v>8.304257336010302</v>
      </c>
      <c r="R440" s="2">
        <v>6.434104194293008</v>
      </c>
      <c r="S440" s="2">
        <v>15.462879582535466</v>
      </c>
      <c r="T440" s="2">
        <v>40.976630893718983</v>
      </c>
      <c r="U440" s="4">
        <v>9</v>
      </c>
      <c r="V440" s="4">
        <v>0.32</v>
      </c>
      <c r="W440" s="4">
        <v>0</v>
      </c>
    </row>
    <row r="441" spans="1:23" x14ac:dyDescent="0.25">
      <c r="A441" s="4" t="s">
        <v>73</v>
      </c>
      <c r="B441" s="4" t="s">
        <v>74</v>
      </c>
      <c r="C441" s="4">
        <v>8</v>
      </c>
      <c r="D441" s="4">
        <v>2</v>
      </c>
      <c r="E441" s="4">
        <v>16</v>
      </c>
      <c r="F441" s="4">
        <v>2451.3338140000001</v>
      </c>
      <c r="G441" s="4">
        <v>6496.0346079999999</v>
      </c>
      <c r="H441" s="4">
        <v>1020</v>
      </c>
      <c r="I441" s="4">
        <v>1.02</v>
      </c>
      <c r="J441" s="4">
        <v>1.0200000000000001E-3</v>
      </c>
      <c r="K441" s="4">
        <v>2.2487124000000001</v>
      </c>
      <c r="L441" s="4">
        <v>1.4E-2</v>
      </c>
      <c r="M441" s="4">
        <v>2.8</v>
      </c>
      <c r="N441" s="4">
        <v>54.525190479999999</v>
      </c>
      <c r="O441" s="4">
        <v>1.1550786367721839</v>
      </c>
      <c r="P441" s="4">
        <v>16.92131302336708</v>
      </c>
      <c r="Q441" s="4">
        <v>42.980135079352387</v>
      </c>
      <c r="R441" s="4">
        <v>523.93547948044738</v>
      </c>
      <c r="S441" s="4">
        <v>1259.1576050960045</v>
      </c>
      <c r="T441" s="4">
        <v>3336.767653504412</v>
      </c>
      <c r="U441" s="4">
        <v>43</v>
      </c>
      <c r="V441" s="4">
        <v>0.48</v>
      </c>
      <c r="W441" s="4">
        <v>0</v>
      </c>
    </row>
    <row r="442" spans="1:23" x14ac:dyDescent="0.25">
      <c r="A442" s="4" t="s">
        <v>75</v>
      </c>
      <c r="B442" s="4" t="s">
        <v>76</v>
      </c>
      <c r="C442" s="4">
        <v>8</v>
      </c>
      <c r="D442" s="4">
        <v>2</v>
      </c>
      <c r="E442" s="4">
        <v>16</v>
      </c>
      <c r="F442" s="4">
        <v>2451.3338140000001</v>
      </c>
      <c r="G442" s="4">
        <v>6496.0346079999999</v>
      </c>
      <c r="H442" s="4">
        <v>1020</v>
      </c>
      <c r="I442" s="4">
        <v>1.02</v>
      </c>
      <c r="J442" s="4">
        <v>1.0200000000000001E-3</v>
      </c>
      <c r="K442" s="4">
        <v>2.2487124000000001</v>
      </c>
      <c r="L442" s="4">
        <v>2.5000000000000001E-3</v>
      </c>
      <c r="M442" s="4">
        <v>3.1</v>
      </c>
      <c r="N442" s="4">
        <v>64.549127330000005</v>
      </c>
      <c r="O442" s="4">
        <v>8.7293866619177649</v>
      </c>
      <c r="P442" s="4">
        <v>39.361598603252915</v>
      </c>
      <c r="Q442" s="4">
        <v>99.978460452262411</v>
      </c>
      <c r="R442" s="4">
        <v>3959.5878935679457</v>
      </c>
      <c r="S442" s="4">
        <v>9515.9526401536805</v>
      </c>
      <c r="T442" s="4">
        <v>25217.274496407252</v>
      </c>
      <c r="U442" s="4">
        <v>122</v>
      </c>
      <c r="V442" s="4">
        <v>0.107</v>
      </c>
      <c r="W442" s="4">
        <v>0</v>
      </c>
    </row>
    <row r="443" spans="1:23" x14ac:dyDescent="0.25">
      <c r="A443" s="4" t="s">
        <v>77</v>
      </c>
      <c r="B443" s="4" t="s">
        <v>78</v>
      </c>
      <c r="C443" s="4">
        <v>8</v>
      </c>
      <c r="D443" s="4">
        <v>3</v>
      </c>
      <c r="E443" s="4">
        <v>24</v>
      </c>
      <c r="F443" s="4">
        <v>184322.0116</v>
      </c>
      <c r="G443" s="4">
        <v>488453.3308</v>
      </c>
      <c r="H443" s="4">
        <v>76696.389030000006</v>
      </c>
      <c r="I443" s="4">
        <v>76.696389030000006</v>
      </c>
      <c r="J443" s="4">
        <v>7.6696389000000004E-2</v>
      </c>
      <c r="K443" s="4">
        <v>169.0863932</v>
      </c>
      <c r="L443" s="4">
        <v>3.5000000000000003E-2</v>
      </c>
      <c r="M443" s="4">
        <v>2.9</v>
      </c>
      <c r="N443" s="4">
        <v>153.62102049999999</v>
      </c>
      <c r="O443" s="4">
        <v>409.48662850803771</v>
      </c>
      <c r="P443" s="4">
        <v>82.049495867376422</v>
      </c>
      <c r="Q443" s="4">
        <v>208.40571950313611</v>
      </c>
      <c r="R443" s="2">
        <v>185740.23119995178</v>
      </c>
      <c r="S443" s="2">
        <v>446383.63662569522</v>
      </c>
      <c r="T443" s="2">
        <v>1182916.6370580923</v>
      </c>
      <c r="U443" s="4">
        <v>208.40700000000004</v>
      </c>
      <c r="V443" s="4">
        <v>0.5</v>
      </c>
      <c r="W443" s="4">
        <v>0</v>
      </c>
    </row>
    <row r="444" spans="1:23" x14ac:dyDescent="0.25">
      <c r="A444" s="4" t="s">
        <v>79</v>
      </c>
      <c r="B444" s="4" t="s">
        <v>80</v>
      </c>
      <c r="C444" s="4">
        <v>8</v>
      </c>
      <c r="D444" s="4">
        <v>2</v>
      </c>
      <c r="E444" s="4">
        <v>16</v>
      </c>
      <c r="F444" s="4">
        <v>3970.9204519999998</v>
      </c>
      <c r="G444" s="4">
        <v>10522.939200000001</v>
      </c>
      <c r="H444" s="4">
        <v>1652.3</v>
      </c>
      <c r="I444" s="4">
        <v>1.6523000000000001</v>
      </c>
      <c r="J444" s="4">
        <v>1.6523E-3</v>
      </c>
      <c r="K444" s="4">
        <v>3.6426936259999998</v>
      </c>
      <c r="L444" s="4">
        <v>3.3999999999999998E-3</v>
      </c>
      <c r="M444" s="4">
        <v>3.2850000000000001</v>
      </c>
      <c r="N444" s="4">
        <v>39.944639459999998</v>
      </c>
      <c r="O444" s="4">
        <v>4.1346671731349414</v>
      </c>
      <c r="P444" s="4">
        <v>22.029174098369474</v>
      </c>
      <c r="Q444" s="4">
        <v>55.954102209858462</v>
      </c>
      <c r="R444" s="4">
        <v>1875.45571261031</v>
      </c>
      <c r="S444" s="4">
        <v>4507.223534271352</v>
      </c>
      <c r="T444" s="4">
        <v>11944.142365819083</v>
      </c>
      <c r="U444" s="4">
        <v>59.9</v>
      </c>
      <c r="V444" s="4">
        <v>0.17</v>
      </c>
      <c r="W444" s="4">
        <v>0</v>
      </c>
    </row>
    <row r="445" spans="1:23" x14ac:dyDescent="0.25">
      <c r="A445" s="4" t="s">
        <v>81</v>
      </c>
      <c r="B445" s="4" t="s">
        <v>82</v>
      </c>
      <c r="C445" s="4">
        <v>8</v>
      </c>
      <c r="D445" s="4">
        <v>2</v>
      </c>
      <c r="E445" s="4">
        <v>16</v>
      </c>
      <c r="F445" s="4">
        <v>2451.3338140000001</v>
      </c>
      <c r="G445" s="4">
        <v>6496.0346079999999</v>
      </c>
      <c r="H445" s="4">
        <v>1020</v>
      </c>
      <c r="I445" s="4">
        <v>1.02</v>
      </c>
      <c r="J445" s="4">
        <v>1.0200000000000001E-3</v>
      </c>
      <c r="K445" s="4">
        <v>2.2487124000000001</v>
      </c>
      <c r="L445" s="4">
        <v>1.4999999999999999E-2</v>
      </c>
      <c r="M445" s="4">
        <v>3</v>
      </c>
      <c r="N445" s="4">
        <v>40.816551019999999</v>
      </c>
      <c r="O445" s="4">
        <v>32.103909769764918</v>
      </c>
      <c r="P445" s="4">
        <v>38.983179539685551</v>
      </c>
      <c r="Q445" s="4">
        <v>99.017276030801298</v>
      </c>
      <c r="R445" s="4">
        <v>14562.105836726927</v>
      </c>
      <c r="S445" s="4">
        <v>34996.649451398531</v>
      </c>
      <c r="T445" s="4">
        <v>92741.121046206099</v>
      </c>
      <c r="U445" s="4">
        <v>106</v>
      </c>
      <c r="V445" s="4">
        <v>0.17</v>
      </c>
      <c r="W445" s="4">
        <v>0</v>
      </c>
    </row>
    <row r="446" spans="1:23" x14ac:dyDescent="0.25">
      <c r="A446" s="4" t="s">
        <v>83</v>
      </c>
      <c r="B446" s="4" t="s">
        <v>84</v>
      </c>
      <c r="C446" s="4">
        <v>8</v>
      </c>
      <c r="D446" s="4">
        <v>7</v>
      </c>
      <c r="E446" s="4">
        <v>56</v>
      </c>
      <c r="F446" s="4">
        <v>61342.911800000002</v>
      </c>
      <c r="G446" s="4">
        <v>162558.266</v>
      </c>
      <c r="H446" s="4">
        <v>25524.785599999999</v>
      </c>
      <c r="I446" s="4">
        <v>25.524785600000001</v>
      </c>
      <c r="J446" s="4">
        <v>2.5524786000000001E-2</v>
      </c>
      <c r="K446" s="4">
        <v>56.272452829999999</v>
      </c>
      <c r="L446" s="4">
        <v>5.4000000000000003E-3</v>
      </c>
      <c r="M446" s="4">
        <v>3</v>
      </c>
      <c r="N446" s="4">
        <v>167.82479069999999</v>
      </c>
      <c r="O446" s="4">
        <v>260.15576490301822</v>
      </c>
      <c r="P446" s="4">
        <v>110.06982275664237</v>
      </c>
      <c r="Q446" s="4">
        <v>279.57734980187161</v>
      </c>
      <c r="R446" s="4">
        <v>118004.81030881433</v>
      </c>
      <c r="S446" s="4">
        <v>283597.23698345188</v>
      </c>
      <c r="T446" s="4">
        <v>751532.6780061475</v>
      </c>
      <c r="U446" s="4">
        <v>280</v>
      </c>
      <c r="V446" s="4">
        <v>0.11600000000000001</v>
      </c>
      <c r="W446" s="4">
        <v>0</v>
      </c>
    </row>
    <row r="447" spans="1:23" x14ac:dyDescent="0.25">
      <c r="A447" s="4" t="s">
        <v>85</v>
      </c>
      <c r="B447" s="4" t="s">
        <v>86</v>
      </c>
      <c r="C447" s="4">
        <v>8</v>
      </c>
      <c r="D447" s="4">
        <v>7</v>
      </c>
      <c r="E447" s="4">
        <v>56</v>
      </c>
      <c r="F447" s="4">
        <v>61342.911800000002</v>
      </c>
      <c r="G447" s="4">
        <v>162558.266</v>
      </c>
      <c r="H447" s="4">
        <v>25524.785599999999</v>
      </c>
      <c r="I447" s="4">
        <v>25.524785600000001</v>
      </c>
      <c r="J447" s="4">
        <v>2.5524786000000001E-2</v>
      </c>
      <c r="K447" s="4">
        <v>56.272452829999999</v>
      </c>
      <c r="L447" s="4">
        <v>5.2399999999999999E-3</v>
      </c>
      <c r="M447" s="4">
        <v>3.141</v>
      </c>
      <c r="N447" s="4">
        <v>134.6296327</v>
      </c>
      <c r="O447" s="4">
        <v>763.8504714776526</v>
      </c>
      <c r="P447" s="4">
        <v>121.59859676570396</v>
      </c>
      <c r="Q447" s="4">
        <v>308.86043578488807</v>
      </c>
      <c r="R447" s="2">
        <v>346477.15773133357</v>
      </c>
      <c r="S447" s="2">
        <v>832677.62011856178</v>
      </c>
      <c r="T447" s="2">
        <v>2206595.6933141886</v>
      </c>
      <c r="U447" s="4">
        <v>309.24444444444441</v>
      </c>
      <c r="V447" s="4">
        <v>0.13655555555555554</v>
      </c>
      <c r="W447" s="4">
        <v>7</v>
      </c>
    </row>
    <row r="448" spans="1:23" x14ac:dyDescent="0.25">
      <c r="A448" s="4" t="s">
        <v>87</v>
      </c>
      <c r="B448" s="4" t="s">
        <v>88</v>
      </c>
      <c r="C448" s="4">
        <v>8</v>
      </c>
      <c r="D448" s="4">
        <v>2</v>
      </c>
      <c r="E448" s="4">
        <v>16</v>
      </c>
      <c r="F448" s="4">
        <v>2451.3338140000001</v>
      </c>
      <c r="G448" s="4">
        <v>6496.0346079999999</v>
      </c>
      <c r="H448" s="4">
        <v>1020</v>
      </c>
      <c r="I448" s="4">
        <v>1.02</v>
      </c>
      <c r="J448" s="4">
        <v>1.0200000000000001E-3</v>
      </c>
      <c r="K448" s="4">
        <v>2.2487124000000001</v>
      </c>
      <c r="L448" s="4">
        <v>6.0000000000000001E-3</v>
      </c>
      <c r="M448" s="4">
        <v>3.1</v>
      </c>
      <c r="N448" s="4">
        <v>48.667785760000001</v>
      </c>
      <c r="O448" s="4">
        <v>0.62275062726868302</v>
      </c>
      <c r="P448" s="4">
        <v>12.662822962525743</v>
      </c>
      <c r="Q448" s="4">
        <v>32.163570324815389</v>
      </c>
      <c r="R448" s="4">
        <v>282.47526887567153</v>
      </c>
      <c r="S448" s="4">
        <v>678.8639002058917</v>
      </c>
      <c r="T448" s="4">
        <v>1798.9893355456129</v>
      </c>
      <c r="U448" s="4">
        <v>40.299999999999997</v>
      </c>
      <c r="V448" s="4">
        <v>0.1</v>
      </c>
      <c r="W448" s="4">
        <v>0</v>
      </c>
    </row>
    <row r="449" spans="1:27" x14ac:dyDescent="0.25">
      <c r="A449" s="4" t="s">
        <v>89</v>
      </c>
      <c r="B449" s="4" t="s">
        <v>90</v>
      </c>
      <c r="C449" s="4">
        <v>8</v>
      </c>
      <c r="D449" s="4">
        <v>8</v>
      </c>
      <c r="E449" s="4">
        <v>64</v>
      </c>
      <c r="F449" s="4">
        <v>72000</v>
      </c>
      <c r="G449" s="4">
        <v>191000</v>
      </c>
      <c r="H449" s="4">
        <v>29959.200000000001</v>
      </c>
      <c r="I449" s="4">
        <v>29.959199999999999</v>
      </c>
      <c r="J449" s="4">
        <v>2.9959199999999998E-2</v>
      </c>
      <c r="K449" s="4">
        <v>66.048651500000005</v>
      </c>
      <c r="L449" s="2">
        <v>0.05</v>
      </c>
      <c r="M449" s="2">
        <v>3.2</v>
      </c>
      <c r="N449" s="4">
        <v>194.93589650000001</v>
      </c>
      <c r="O449" s="4">
        <v>424.66298505925596</v>
      </c>
      <c r="P449" s="4">
        <v>44.999764391142229</v>
      </c>
      <c r="Q449" s="4">
        <v>114.29940155350126</v>
      </c>
      <c r="R449" s="4">
        <v>192624.11892265151</v>
      </c>
      <c r="S449" s="4">
        <v>462927.46676916967</v>
      </c>
      <c r="T449" s="4">
        <v>1226757.7869382997</v>
      </c>
      <c r="U449" s="4">
        <v>114.3</v>
      </c>
      <c r="V449" s="4">
        <v>0.19</v>
      </c>
      <c r="W449" s="4">
        <v>0</v>
      </c>
    </row>
    <row r="450" spans="1:27" x14ac:dyDescent="0.25">
      <c r="A450" s="4" t="s">
        <v>91</v>
      </c>
      <c r="B450" s="4" t="s">
        <v>92</v>
      </c>
      <c r="C450" s="4">
        <v>8</v>
      </c>
      <c r="D450" s="4">
        <v>2</v>
      </c>
      <c r="E450" s="4">
        <v>16</v>
      </c>
      <c r="F450" s="4">
        <v>2451.3338140000001</v>
      </c>
      <c r="G450" s="4">
        <v>6496.0346079999999</v>
      </c>
      <c r="H450" s="4">
        <v>1020</v>
      </c>
      <c r="I450" s="4">
        <v>1.02</v>
      </c>
      <c r="J450" s="4">
        <v>1.0200000000000001E-3</v>
      </c>
      <c r="K450" s="4">
        <v>2.2487124000000001</v>
      </c>
      <c r="L450" s="4">
        <v>1.2999999999999999E-2</v>
      </c>
      <c r="M450" s="4">
        <v>3</v>
      </c>
      <c r="N450" s="4">
        <v>42.810694490000003</v>
      </c>
      <c r="O450" s="4">
        <v>5.3976331040455872</v>
      </c>
      <c r="P450" s="4">
        <v>22.567062855294985</v>
      </c>
      <c r="Q450" s="4">
        <v>57.320339652449263</v>
      </c>
      <c r="R450" s="4">
        <v>2448.3281037301608</v>
      </c>
      <c r="S450" s="4">
        <v>5883.9896749102645</v>
      </c>
      <c r="T450" s="4">
        <v>15592.5726385122</v>
      </c>
      <c r="U450" s="4">
        <v>60.2</v>
      </c>
      <c r="V450" s="4">
        <v>0.19</v>
      </c>
      <c r="W450" s="4">
        <v>0</v>
      </c>
    </row>
    <row r="451" spans="1:27" x14ac:dyDescent="0.25">
      <c r="A451" s="4" t="s">
        <v>93</v>
      </c>
      <c r="B451" s="4" t="s">
        <v>94</v>
      </c>
      <c r="C451" s="4">
        <v>8</v>
      </c>
      <c r="D451" s="4">
        <v>9</v>
      </c>
      <c r="E451" s="4">
        <v>72</v>
      </c>
      <c r="F451" s="4">
        <v>1772528860</v>
      </c>
      <c r="G451" s="4">
        <v>4697201480</v>
      </c>
      <c r="H451" s="4">
        <v>737549258.60000002</v>
      </c>
      <c r="I451" s="4">
        <v>737549.25859999994</v>
      </c>
      <c r="J451" s="4">
        <v>737.54925860000003</v>
      </c>
      <c r="K451" s="4">
        <v>1626015.8470000001</v>
      </c>
      <c r="L451" s="2">
        <v>1.7000000000000001E-2</v>
      </c>
      <c r="M451" s="4">
        <v>3</v>
      </c>
      <c r="N451" s="4">
        <v>1544.971047</v>
      </c>
      <c r="O451" s="4">
        <v>149223.61728922545</v>
      </c>
      <c r="P451" s="4">
        <v>623.99999049649261</v>
      </c>
      <c r="Q451" s="4">
        <v>1584.9599758610914</v>
      </c>
      <c r="R451" s="2">
        <v>67686774.722730204</v>
      </c>
      <c r="S451" s="2">
        <v>162669489.84073585</v>
      </c>
      <c r="T451" s="2">
        <v>431074148.07795</v>
      </c>
      <c r="U451" s="4">
        <v>1584.96</v>
      </c>
      <c r="V451" s="2">
        <v>0.25</v>
      </c>
      <c r="W451" s="4">
        <v>0</v>
      </c>
    </row>
    <row r="452" spans="1:27" x14ac:dyDescent="0.25">
      <c r="A452" s="4" t="s">
        <v>95</v>
      </c>
      <c r="B452" s="2" t="s">
        <v>96</v>
      </c>
      <c r="C452" s="4">
        <v>8</v>
      </c>
      <c r="D452" s="4">
        <v>2</v>
      </c>
      <c r="E452" s="4">
        <v>16</v>
      </c>
      <c r="F452" s="4">
        <v>2451.3338140000001</v>
      </c>
      <c r="G452" s="4">
        <v>6496.0346079999999</v>
      </c>
      <c r="H452" s="4">
        <v>1020</v>
      </c>
      <c r="I452" s="4">
        <v>1.02</v>
      </c>
      <c r="J452" s="4">
        <v>1.0200000000000001E-3</v>
      </c>
      <c r="K452" s="4">
        <v>2.2487124000000001</v>
      </c>
      <c r="L452" s="4">
        <v>0.01</v>
      </c>
      <c r="M452" s="4">
        <v>3</v>
      </c>
      <c r="N452" s="4">
        <v>42.275504699999999</v>
      </c>
      <c r="O452" s="4">
        <v>48.947364830513955</v>
      </c>
      <c r="P452" s="4">
        <v>51.360763881473304</v>
      </c>
      <c r="Q452" s="4">
        <v>130.45634025894219</v>
      </c>
      <c r="R452" s="4">
        <v>22202.17762268053</v>
      </c>
      <c r="S452" s="4">
        <v>53357.792892767437</v>
      </c>
      <c r="T452" s="4">
        <v>141398.1511658337</v>
      </c>
      <c r="U452" s="4">
        <v>136</v>
      </c>
      <c r="V452" s="4">
        <v>0.2</v>
      </c>
      <c r="W452" s="4">
        <v>0</v>
      </c>
      <c r="AA452" s="2"/>
    </row>
    <row r="453" spans="1:27" x14ac:dyDescent="0.25">
      <c r="A453" s="4" t="s">
        <v>97</v>
      </c>
      <c r="B453" s="4" t="s">
        <v>98</v>
      </c>
      <c r="C453" s="4">
        <v>8</v>
      </c>
      <c r="D453" s="4">
        <v>2</v>
      </c>
      <c r="E453" s="4">
        <v>16</v>
      </c>
      <c r="F453" s="4">
        <v>27187.840120000001</v>
      </c>
      <c r="G453" s="4">
        <v>72047.776320000004</v>
      </c>
      <c r="H453" s="4">
        <v>11312.860269999999</v>
      </c>
      <c r="I453" s="4">
        <v>11.31286027</v>
      </c>
      <c r="J453" s="4">
        <v>1.1312859999999999E-2</v>
      </c>
      <c r="K453" s="4">
        <v>24.940558020000001</v>
      </c>
      <c r="L453" s="2">
        <v>6.5000000000000002E-2</v>
      </c>
      <c r="M453" s="4">
        <v>3</v>
      </c>
      <c r="N453" s="4">
        <v>82.701643930000003</v>
      </c>
      <c r="O453" s="4">
        <v>1.8835411090205088</v>
      </c>
      <c r="P453" s="4">
        <v>9.2912814947198665</v>
      </c>
      <c r="Q453" s="4">
        <v>23.599854996588462</v>
      </c>
      <c r="R453" s="4">
        <v>854.36089168224396</v>
      </c>
      <c r="S453" s="4">
        <v>2053.2585716948906</v>
      </c>
      <c r="T453" s="4">
        <v>5441.1352149914601</v>
      </c>
      <c r="U453" s="4">
        <v>23.6</v>
      </c>
      <c r="V453" s="4">
        <v>0.75</v>
      </c>
      <c r="W453" s="4">
        <v>0</v>
      </c>
    </row>
    <row r="454" spans="1:27" x14ac:dyDescent="0.25">
      <c r="A454" s="4" t="s">
        <v>99</v>
      </c>
      <c r="B454" s="4" t="s">
        <v>100</v>
      </c>
      <c r="C454" s="4">
        <v>8</v>
      </c>
      <c r="D454" s="4">
        <v>2</v>
      </c>
      <c r="E454" s="4">
        <v>16</v>
      </c>
      <c r="F454" s="4">
        <v>2451.3338140000001</v>
      </c>
      <c r="G454" s="4">
        <v>6496.0346079999999</v>
      </c>
      <c r="H454" s="4">
        <v>1020</v>
      </c>
      <c r="I454" s="4">
        <v>1.02</v>
      </c>
      <c r="J454" s="4">
        <v>1.0200000000000001E-3</v>
      </c>
      <c r="K454" s="4">
        <v>2.2487124000000001</v>
      </c>
      <c r="L454" s="4">
        <v>1.4999999999999999E-2</v>
      </c>
      <c r="M454" s="4">
        <v>3.1</v>
      </c>
      <c r="N454" s="4">
        <v>36.213778660000003</v>
      </c>
      <c r="O454" s="4">
        <v>2.9683492422888915</v>
      </c>
      <c r="P454" s="4">
        <v>15.593271815874219</v>
      </c>
      <c r="Q454" s="4">
        <v>39.606910412320516</v>
      </c>
      <c r="R454" s="4">
        <v>1346.4221690308948</v>
      </c>
      <c r="S454" s="4">
        <v>3235.8139125952775</v>
      </c>
      <c r="T454" s="4">
        <v>8574.9068683774858</v>
      </c>
      <c r="U454" s="4">
        <v>42.4</v>
      </c>
      <c r="V454" s="4">
        <v>0.17</v>
      </c>
      <c r="W454" s="4">
        <v>0</v>
      </c>
    </row>
    <row r="455" spans="1:27" x14ac:dyDescent="0.25">
      <c r="A455" s="4" t="s">
        <v>101</v>
      </c>
      <c r="B455" s="4" t="s">
        <v>102</v>
      </c>
      <c r="C455" s="4">
        <v>8</v>
      </c>
      <c r="D455" s="4">
        <v>2</v>
      </c>
      <c r="E455" s="4">
        <v>16</v>
      </c>
      <c r="F455" s="4">
        <v>2451.3338140000001</v>
      </c>
      <c r="G455" s="4">
        <v>6496.0346079999999</v>
      </c>
      <c r="H455" s="4">
        <v>1020</v>
      </c>
      <c r="I455" s="4">
        <v>1.02</v>
      </c>
      <c r="J455" s="4">
        <v>1.0200000000000001E-3</v>
      </c>
      <c r="K455" s="4">
        <v>2.2487124000000001</v>
      </c>
      <c r="L455" s="4">
        <v>1.2E-2</v>
      </c>
      <c r="M455" s="4">
        <v>3.1</v>
      </c>
      <c r="N455" s="4">
        <v>38.916622109999999</v>
      </c>
      <c r="O455" s="4">
        <v>36.864033523591324</v>
      </c>
      <c r="P455" s="4">
        <v>37.768532470878924</v>
      </c>
      <c r="Q455" s="4">
        <v>95.932072476032474</v>
      </c>
      <c r="R455" s="2">
        <v>16721.264219498746</v>
      </c>
      <c r="S455" s="2">
        <v>40185.686660655476</v>
      </c>
      <c r="T455" s="2">
        <v>106492.069650737</v>
      </c>
      <c r="U455" s="4">
        <v>150.03333333333333</v>
      </c>
      <c r="V455" s="4">
        <v>0.11333333333333334</v>
      </c>
      <c r="W455" s="4">
        <v>7</v>
      </c>
    </row>
    <row r="456" spans="1:27" x14ac:dyDescent="0.25">
      <c r="A456" s="4" t="s">
        <v>103</v>
      </c>
      <c r="B456" s="4" t="s">
        <v>104</v>
      </c>
      <c r="C456" s="4">
        <v>8</v>
      </c>
      <c r="D456" s="4">
        <v>1</v>
      </c>
      <c r="E456" s="4">
        <v>8</v>
      </c>
      <c r="F456" s="4">
        <v>3436.6738770000002</v>
      </c>
      <c r="G456" s="4">
        <v>9107.1857729999992</v>
      </c>
      <c r="H456" s="4">
        <v>1430</v>
      </c>
      <c r="I456" s="4">
        <v>1.43</v>
      </c>
      <c r="J456" s="4">
        <v>1.4300000000000001E-3</v>
      </c>
      <c r="K456" s="4">
        <v>3.1526065999999999</v>
      </c>
      <c r="L456" s="4">
        <v>1.2999999999999999E-2</v>
      </c>
      <c r="M456" s="4">
        <v>2.8</v>
      </c>
      <c r="N456" s="4">
        <v>63.168037949999999</v>
      </c>
      <c r="O456" s="4">
        <v>1.629591029664694</v>
      </c>
      <c r="P456" s="4">
        <v>19.647608103224108</v>
      </c>
      <c r="Q456" s="4">
        <v>49.904924582189238</v>
      </c>
      <c r="R456" s="4">
        <v>739.1709363358284</v>
      </c>
      <c r="S456" s="4">
        <v>1776.4261868200635</v>
      </c>
      <c r="T456" s="4">
        <v>4707.5293950731684</v>
      </c>
      <c r="U456" s="4">
        <v>65.400000000000006</v>
      </c>
      <c r="V456" s="4">
        <v>0.18</v>
      </c>
      <c r="W456" s="4">
        <v>0</v>
      </c>
    </row>
    <row r="457" spans="1:27" x14ac:dyDescent="0.25">
      <c r="A457" s="2" t="s">
        <v>105</v>
      </c>
      <c r="B457" s="4" t="s">
        <v>700</v>
      </c>
      <c r="C457" s="4">
        <v>8</v>
      </c>
      <c r="D457" s="4">
        <v>3</v>
      </c>
      <c r="E457" s="4">
        <v>24</v>
      </c>
      <c r="F457" s="4">
        <v>18000</v>
      </c>
      <c r="G457" s="4">
        <v>40770</v>
      </c>
      <c r="H457" s="4">
        <v>7489.8</v>
      </c>
      <c r="I457" s="4">
        <v>7.4897999999999998</v>
      </c>
      <c r="J457" s="4">
        <v>7.4897999999999996E-3</v>
      </c>
      <c r="K457" s="4">
        <v>16.507519200000001</v>
      </c>
      <c r="L457" s="3">
        <v>1.2699999999999999E-2</v>
      </c>
      <c r="M457" s="3">
        <v>3.1</v>
      </c>
      <c r="N457" s="4">
        <v>72.695130842069446</v>
      </c>
      <c r="O457" s="4">
        <v>54.388853887715449</v>
      </c>
      <c r="P457" s="4">
        <v>42.041046989817076</v>
      </c>
      <c r="Q457" s="4">
        <v>106.78425935413537</v>
      </c>
      <c r="R457" s="2">
        <v>24670.398475798753</v>
      </c>
      <c r="S457" s="2">
        <v>59289.590184568013</v>
      </c>
      <c r="T457" s="2">
        <v>157117.41398910523</v>
      </c>
      <c r="U457" s="4">
        <v>109.97499999999999</v>
      </c>
      <c r="V457" s="4">
        <v>0.14750000000000002</v>
      </c>
      <c r="W457" s="4">
        <v>0</v>
      </c>
    </row>
    <row r="458" spans="1:27" x14ac:dyDescent="0.25">
      <c r="A458" s="4" t="s">
        <v>107</v>
      </c>
      <c r="B458" s="4" t="s">
        <v>108</v>
      </c>
      <c r="C458" s="4">
        <v>8</v>
      </c>
      <c r="D458" s="4">
        <v>5</v>
      </c>
      <c r="E458" s="4">
        <v>40</v>
      </c>
      <c r="F458" s="4">
        <v>7633.7023829999998</v>
      </c>
      <c r="G458" s="4">
        <v>20229.311320000001</v>
      </c>
      <c r="H458" s="4">
        <v>3176.383562</v>
      </c>
      <c r="I458" s="4">
        <v>3.1763835619999998</v>
      </c>
      <c r="J458" s="4">
        <v>3.176384E-3</v>
      </c>
      <c r="K458" s="4">
        <v>7.0027187279999996</v>
      </c>
      <c r="L458" s="4">
        <v>3.5999999999999999E-3</v>
      </c>
      <c r="M458" s="4">
        <v>3</v>
      </c>
      <c r="N458" s="4">
        <v>95.912853749999996</v>
      </c>
      <c r="O458" s="4">
        <v>15.131894126228008</v>
      </c>
      <c r="P458" s="4">
        <v>48.818597684121329</v>
      </c>
      <c r="Q458" s="4">
        <v>123.99923811766818</v>
      </c>
      <c r="R458" s="4">
        <v>6863.7198819878295</v>
      </c>
      <c r="S458" s="4">
        <v>16495.361408286059</v>
      </c>
      <c r="T458" s="4">
        <v>43712.707731958057</v>
      </c>
      <c r="U458" s="4">
        <v>124</v>
      </c>
      <c r="V458" s="4">
        <v>0.3</v>
      </c>
      <c r="W458" s="4">
        <v>0</v>
      </c>
    </row>
    <row r="459" spans="1:27" x14ac:dyDescent="0.25">
      <c r="A459" s="4" t="s">
        <v>109</v>
      </c>
      <c r="B459" s="4" t="s">
        <v>110</v>
      </c>
      <c r="C459" s="4">
        <v>8</v>
      </c>
      <c r="D459" s="4">
        <v>5</v>
      </c>
      <c r="E459" s="4">
        <v>40</v>
      </c>
      <c r="F459" s="4">
        <v>7633.7023829999998</v>
      </c>
      <c r="G459" s="4">
        <v>20229.311320000001</v>
      </c>
      <c r="H459" s="4">
        <v>3176.383562</v>
      </c>
      <c r="I459" s="4">
        <v>3.1763835619999998</v>
      </c>
      <c r="J459" s="4">
        <v>3.176384E-3</v>
      </c>
      <c r="K459" s="4">
        <v>7.0027187279999996</v>
      </c>
      <c r="L459" s="4">
        <v>4.3E-3</v>
      </c>
      <c r="M459" s="4">
        <v>3.1</v>
      </c>
      <c r="N459" s="4">
        <v>78.172330489999993</v>
      </c>
      <c r="O459" s="4">
        <v>225.79670099887431</v>
      </c>
      <c r="P459" s="4">
        <v>94.366187719272247</v>
      </c>
      <c r="Q459" s="4">
        <v>239.69011680695152</v>
      </c>
      <c r="R459" s="4">
        <v>102419.78254704861</v>
      </c>
      <c r="S459" s="4">
        <v>246142.23154782169</v>
      </c>
      <c r="T459" s="4">
        <v>652276.91360172746</v>
      </c>
      <c r="U459" s="4">
        <v>267</v>
      </c>
      <c r="V459" s="4">
        <v>5.7000000000000002E-2</v>
      </c>
      <c r="W459" s="4">
        <v>0</v>
      </c>
    </row>
    <row r="460" spans="1:27" x14ac:dyDescent="0.25">
      <c r="A460" s="4" t="s">
        <v>111</v>
      </c>
      <c r="B460" s="4" t="s">
        <v>112</v>
      </c>
      <c r="C460" s="4">
        <v>8</v>
      </c>
      <c r="D460" s="4">
        <v>2</v>
      </c>
      <c r="E460" s="4">
        <v>16</v>
      </c>
      <c r="F460" s="4">
        <v>2451.3338140000001</v>
      </c>
      <c r="G460" s="4">
        <v>6496.0346079999999</v>
      </c>
      <c r="H460" s="4">
        <v>1020</v>
      </c>
      <c r="I460" s="4">
        <v>1.02</v>
      </c>
      <c r="J460" s="4">
        <v>1.0200000000000001E-3</v>
      </c>
      <c r="K460" s="4">
        <v>2.2487124000000001</v>
      </c>
      <c r="L460" s="4">
        <v>1.2200000000000001E-2</v>
      </c>
      <c r="M460" s="4">
        <v>2.9</v>
      </c>
      <c r="N460" s="4">
        <v>49.810884719999997</v>
      </c>
      <c r="O460" s="4">
        <v>19.15535032069835</v>
      </c>
      <c r="P460" s="4">
        <v>41.049041074766585</v>
      </c>
      <c r="Q460" s="4">
        <v>104.26456432990713</v>
      </c>
      <c r="R460" s="4">
        <v>8688.7310832244784</v>
      </c>
      <c r="S460" s="4">
        <v>20881.353240145345</v>
      </c>
      <c r="T460" s="4">
        <v>55335.586086385163</v>
      </c>
      <c r="U460" s="4">
        <v>113</v>
      </c>
      <c r="V460" s="4">
        <v>0.16</v>
      </c>
      <c r="W460" s="4">
        <v>0</v>
      </c>
    </row>
    <row r="461" spans="1:27" x14ac:dyDescent="0.25">
      <c r="A461" s="4" t="s">
        <v>113</v>
      </c>
      <c r="B461" s="4" t="s">
        <v>114</v>
      </c>
      <c r="C461" s="4">
        <v>8</v>
      </c>
      <c r="D461" s="4">
        <v>2</v>
      </c>
      <c r="E461" s="4">
        <v>16</v>
      </c>
      <c r="F461" s="4">
        <v>3970.9204519999998</v>
      </c>
      <c r="G461" s="4">
        <v>10522.939200000001</v>
      </c>
      <c r="H461" s="4">
        <v>1652.3</v>
      </c>
      <c r="I461" s="4">
        <v>1.6523000000000001</v>
      </c>
      <c r="J461" s="4">
        <v>1.6523E-3</v>
      </c>
      <c r="K461" s="4">
        <v>3.6426936259999998</v>
      </c>
      <c r="L461" s="4">
        <v>1.2E-2</v>
      </c>
      <c r="M461" s="4">
        <v>3.05</v>
      </c>
      <c r="N461" s="4">
        <v>48.404724909999999</v>
      </c>
      <c r="O461" s="4">
        <v>18.968171209230924</v>
      </c>
      <c r="P461" s="4">
        <v>32.734505326904241</v>
      </c>
      <c r="Q461" s="4">
        <v>83.14564353033677</v>
      </c>
      <c r="R461" s="4">
        <v>8603.8279654683902</v>
      </c>
      <c r="S461" s="4">
        <v>20677.308256352779</v>
      </c>
      <c r="T461" s="4">
        <v>54794.866879334862</v>
      </c>
      <c r="U461" s="4">
        <v>85.9</v>
      </c>
      <c r="V461" s="4">
        <v>0.215</v>
      </c>
      <c r="W461" s="4">
        <v>0</v>
      </c>
    </row>
    <row r="462" spans="1:27" x14ac:dyDescent="0.25">
      <c r="A462" s="4" t="s">
        <v>115</v>
      </c>
      <c r="B462" s="4" t="s">
        <v>116</v>
      </c>
      <c r="C462" s="4">
        <v>8</v>
      </c>
      <c r="D462" s="4">
        <v>7</v>
      </c>
      <c r="E462" s="4">
        <v>56</v>
      </c>
      <c r="F462" s="4">
        <v>9236057.0460000001</v>
      </c>
      <c r="G462" s="4">
        <v>24475551.170000002</v>
      </c>
      <c r="H462" s="4">
        <v>3843123.3369999998</v>
      </c>
      <c r="I462" s="4">
        <v>3843.123337</v>
      </c>
      <c r="J462" s="4">
        <v>3.8431233370000002</v>
      </c>
      <c r="K462" s="4">
        <v>8472.6265710000007</v>
      </c>
      <c r="L462" s="2">
        <v>1.4999999999999999E-2</v>
      </c>
      <c r="M462" s="4">
        <v>3</v>
      </c>
      <c r="N462" s="4">
        <v>727.04524900000001</v>
      </c>
      <c r="O462" s="4">
        <v>663.85984704790872</v>
      </c>
      <c r="P462" s="4">
        <v>106.99991102642703</v>
      </c>
      <c r="Q462" s="4">
        <v>271.77977400712467</v>
      </c>
      <c r="R462" s="2">
        <v>301122.11947995966</v>
      </c>
      <c r="S462" s="2">
        <v>723677.28786339739</v>
      </c>
      <c r="T462" s="2">
        <v>1917744.812838003</v>
      </c>
      <c r="U462" s="4">
        <v>271.77999999999997</v>
      </c>
      <c r="V462" s="4">
        <v>0.25</v>
      </c>
      <c r="W462" s="4">
        <v>0</v>
      </c>
    </row>
    <row r="463" spans="1:27" x14ac:dyDescent="0.25">
      <c r="A463" s="4" t="s">
        <v>117</v>
      </c>
      <c r="B463" s="4" t="s">
        <v>118</v>
      </c>
      <c r="C463" s="4">
        <v>8</v>
      </c>
      <c r="D463" s="4">
        <v>2</v>
      </c>
      <c r="E463" s="4">
        <v>16</v>
      </c>
      <c r="F463" s="4">
        <v>2451.3338140000001</v>
      </c>
      <c r="G463" s="4">
        <v>6496.0346079999999</v>
      </c>
      <c r="H463" s="4">
        <v>1020</v>
      </c>
      <c r="I463" s="4">
        <v>1.02</v>
      </c>
      <c r="J463" s="4">
        <v>1.0200000000000001E-3</v>
      </c>
      <c r="K463" s="4">
        <v>2.2487124000000001</v>
      </c>
      <c r="L463" s="4">
        <v>1.4999999999999999E-2</v>
      </c>
      <c r="M463" s="4">
        <v>3</v>
      </c>
      <c r="N463" s="4">
        <v>40.816551019999999</v>
      </c>
      <c r="O463" s="4">
        <v>6.5938013924562711</v>
      </c>
      <c r="P463" s="4">
        <v>23.000462552280009</v>
      </c>
      <c r="Q463" s="4">
        <v>58.421174882791227</v>
      </c>
      <c r="R463" s="4">
        <v>2990.9015578450121</v>
      </c>
      <c r="S463" s="4">
        <v>7187.9393363254312</v>
      </c>
      <c r="T463" s="4">
        <v>19048.039241262391</v>
      </c>
      <c r="U463" s="4">
        <v>73.2</v>
      </c>
      <c r="V463" s="4">
        <v>0.1</v>
      </c>
      <c r="W463" s="4">
        <v>0</v>
      </c>
    </row>
    <row r="464" spans="1:27" x14ac:dyDescent="0.25">
      <c r="A464" s="4" t="s">
        <v>119</v>
      </c>
      <c r="B464" s="4" t="s">
        <v>120</v>
      </c>
      <c r="C464" s="4">
        <v>8</v>
      </c>
      <c r="D464" s="4">
        <v>3</v>
      </c>
      <c r="E464" s="4">
        <v>24</v>
      </c>
      <c r="F464" s="4">
        <v>187644.9615</v>
      </c>
      <c r="G464" s="4">
        <v>497259.14809999999</v>
      </c>
      <c r="H464" s="4">
        <v>78079.068480000002</v>
      </c>
      <c r="I464" s="4">
        <v>78.079068480000004</v>
      </c>
      <c r="J464" s="4">
        <v>7.8079068000000001E-2</v>
      </c>
      <c r="K464" s="4">
        <v>172.13467600000001</v>
      </c>
      <c r="L464" s="4">
        <v>2.1399999999999999E-2</v>
      </c>
      <c r="M464" s="4">
        <v>2.96</v>
      </c>
      <c r="N464" s="4">
        <v>164.790708</v>
      </c>
      <c r="O464" s="4">
        <v>91.17502421205873</v>
      </c>
      <c r="P464" s="4">
        <v>52.342962677592993</v>
      </c>
      <c r="Q464" s="4">
        <v>132.9511252010862</v>
      </c>
      <c r="R464" s="2">
        <v>41356.34450021261</v>
      </c>
      <c r="S464" s="2">
        <v>99390.397741438603</v>
      </c>
      <c r="T464" s="2">
        <v>263384.55401481228</v>
      </c>
      <c r="U464" s="4">
        <v>133.76666666666668</v>
      </c>
      <c r="V464" s="4">
        <v>0.3</v>
      </c>
      <c r="W464" s="4">
        <v>7</v>
      </c>
    </row>
    <row r="465" spans="1:23" x14ac:dyDescent="0.25">
      <c r="A465" s="4" t="s">
        <v>121</v>
      </c>
      <c r="B465" s="4" t="s">
        <v>122</v>
      </c>
      <c r="C465" s="4">
        <v>8</v>
      </c>
      <c r="D465" s="4">
        <v>7</v>
      </c>
      <c r="E465" s="4">
        <v>56</v>
      </c>
      <c r="F465" s="4">
        <v>9236057.0460000001</v>
      </c>
      <c r="G465" s="4">
        <v>24475551.170000002</v>
      </c>
      <c r="H465" s="4">
        <v>3843123.3369999998</v>
      </c>
      <c r="I465" s="4">
        <v>3843.123337</v>
      </c>
      <c r="J465" s="4">
        <v>3.8431233370000002</v>
      </c>
      <c r="K465" s="4">
        <v>8472.6265710000007</v>
      </c>
      <c r="L465" s="2">
        <v>1E-3</v>
      </c>
      <c r="M465" s="4">
        <v>3</v>
      </c>
      <c r="N465" s="4">
        <v>727.04524900000001</v>
      </c>
      <c r="O465" s="4">
        <v>39457.207201553443</v>
      </c>
      <c r="P465" s="4">
        <v>1029.8259153230072</v>
      </c>
      <c r="Q465" s="4">
        <v>2615.757824920438</v>
      </c>
      <c r="R465" s="2">
        <v>17897509.412757501</v>
      </c>
      <c r="S465" s="2">
        <v>43012519.61729753</v>
      </c>
      <c r="T465" s="2">
        <v>113983176.98583846</v>
      </c>
      <c r="U465" s="4">
        <v>2615.7600000000002</v>
      </c>
      <c r="V465" s="4">
        <v>0.25</v>
      </c>
      <c r="W465" s="4">
        <v>0</v>
      </c>
    </row>
    <row r="466" spans="1:23" x14ac:dyDescent="0.25">
      <c r="A466" s="4" t="s">
        <v>123</v>
      </c>
      <c r="B466" s="4" t="s">
        <v>124</v>
      </c>
      <c r="C466" s="4">
        <v>8</v>
      </c>
      <c r="D466" s="4">
        <v>2</v>
      </c>
      <c r="E466" s="4">
        <v>16</v>
      </c>
      <c r="F466" s="4">
        <v>2451.3338140000001</v>
      </c>
      <c r="G466" s="4">
        <v>6496.0346079999999</v>
      </c>
      <c r="H466" s="4">
        <v>1020</v>
      </c>
      <c r="I466" s="4">
        <v>1.02</v>
      </c>
      <c r="J466" s="4">
        <v>1.0200000000000001E-3</v>
      </c>
      <c r="K466" s="4">
        <v>2.2487124000000001</v>
      </c>
      <c r="L466" s="4">
        <v>9.4999999999999998E-3</v>
      </c>
      <c r="M466" s="4">
        <v>3.1</v>
      </c>
      <c r="N466" s="4">
        <v>41.962698490000001</v>
      </c>
      <c r="O466" s="4">
        <v>29.943518855926555</v>
      </c>
      <c r="P466" s="4">
        <v>38.082841381307588</v>
      </c>
      <c r="Q466" s="4">
        <v>96.73041710852128</v>
      </c>
      <c r="R466" s="4">
        <v>13582.167836600664</v>
      </c>
      <c r="S466" s="4">
        <v>32641.595377555062</v>
      </c>
      <c r="T466" s="4">
        <v>86500.227750520906</v>
      </c>
      <c r="U466" s="4">
        <v>111</v>
      </c>
      <c r="V466" s="4">
        <v>0.13</v>
      </c>
      <c r="W466" s="4">
        <v>0.22</v>
      </c>
    </row>
    <row r="467" spans="1:23" x14ac:dyDescent="0.25">
      <c r="A467" s="4" t="s">
        <v>125</v>
      </c>
      <c r="B467" s="4" t="s">
        <v>126</v>
      </c>
      <c r="C467" s="4">
        <v>8</v>
      </c>
      <c r="D467" s="4">
        <v>1</v>
      </c>
      <c r="E467" s="4">
        <v>8</v>
      </c>
      <c r="F467" s="4">
        <v>14744.532569999999</v>
      </c>
      <c r="G467" s="4">
        <v>39073.011299999998</v>
      </c>
      <c r="H467" s="4">
        <v>6135.2000019999996</v>
      </c>
      <c r="I467" s="4">
        <v>6.1352000020000004</v>
      </c>
      <c r="J467" s="4">
        <v>6.1352000000000004E-3</v>
      </c>
      <c r="K467" s="4">
        <v>13.52578463</v>
      </c>
      <c r="L467" s="4">
        <v>1.4999999999999999E-2</v>
      </c>
      <c r="M467" s="4">
        <v>2.9</v>
      </c>
      <c r="N467" s="4">
        <v>86.115610500000003</v>
      </c>
      <c r="O467" s="4">
        <v>9.0214285789135484</v>
      </c>
      <c r="P467" s="4">
        <v>29.484748377975539</v>
      </c>
      <c r="Q467" s="4">
        <v>74.891260880057871</v>
      </c>
      <c r="R467" s="4">
        <v>4092.0560363752252</v>
      </c>
      <c r="S467" s="4">
        <v>9834.3091477414673</v>
      </c>
      <c r="T467" s="4">
        <v>26060.919241514886</v>
      </c>
      <c r="U467" s="4">
        <v>136</v>
      </c>
      <c r="V467" s="4">
        <v>0.1</v>
      </c>
      <c r="W467" s="4">
        <v>0</v>
      </c>
    </row>
    <row r="468" spans="1:23" x14ac:dyDescent="0.25">
      <c r="A468" s="4" t="s">
        <v>127</v>
      </c>
      <c r="B468" s="4" t="s">
        <v>128</v>
      </c>
      <c r="C468" s="4">
        <v>8</v>
      </c>
      <c r="D468" s="4">
        <v>2</v>
      </c>
      <c r="E468" s="4">
        <v>16</v>
      </c>
      <c r="F468" s="4">
        <v>3970.9204519999998</v>
      </c>
      <c r="G468" s="4">
        <v>10522.939200000001</v>
      </c>
      <c r="H468" s="4">
        <v>1652.3</v>
      </c>
      <c r="I468" s="4">
        <v>1.6523000000000001</v>
      </c>
      <c r="J468" s="4">
        <v>1.6523E-3</v>
      </c>
      <c r="K468" s="4">
        <v>3.6426936259999998</v>
      </c>
      <c r="L468" s="4">
        <v>1.4E-2</v>
      </c>
      <c r="M468" s="4">
        <v>3</v>
      </c>
      <c r="N468" s="4">
        <v>49.051650180000003</v>
      </c>
      <c r="O468" s="4">
        <v>7.4265379077991023</v>
      </c>
      <c r="P468" s="4">
        <v>24.487314433367043</v>
      </c>
      <c r="Q468" s="4">
        <v>62.197778660752292</v>
      </c>
      <c r="R468" s="4">
        <v>3368.6249366326633</v>
      </c>
      <c r="S468" s="4">
        <v>8095.7100135368019</v>
      </c>
      <c r="T468" s="4">
        <v>21453.631535872526</v>
      </c>
      <c r="U468" s="4">
        <v>62.2</v>
      </c>
      <c r="V468" s="4">
        <v>0.64</v>
      </c>
      <c r="W468" s="4">
        <v>0</v>
      </c>
    </row>
    <row r="469" spans="1:23" x14ac:dyDescent="0.25">
      <c r="A469" s="4" t="s">
        <v>129</v>
      </c>
      <c r="B469" s="4" t="s">
        <v>130</v>
      </c>
      <c r="C469" s="4">
        <v>8</v>
      </c>
      <c r="D469" s="4">
        <v>2</v>
      </c>
      <c r="E469" s="4">
        <v>16</v>
      </c>
      <c r="F469" s="4">
        <v>2451.3338140000001</v>
      </c>
      <c r="G469" s="4">
        <v>6496.0346079999999</v>
      </c>
      <c r="H469" s="4">
        <v>1020</v>
      </c>
      <c r="I469" s="4">
        <v>1.02</v>
      </c>
      <c r="J469" s="4">
        <v>1.0200000000000001E-3</v>
      </c>
      <c r="K469" s="4">
        <v>2.2487124000000001</v>
      </c>
      <c r="L469" s="4">
        <v>1.2500000000000001E-2</v>
      </c>
      <c r="M469" s="4">
        <v>2.88</v>
      </c>
      <c r="N469" s="4">
        <v>50.751393550000003</v>
      </c>
      <c r="O469" s="4">
        <v>7.9238918771271942</v>
      </c>
      <c r="P469" s="4">
        <v>30.941860018103274</v>
      </c>
      <c r="Q469" s="4">
        <v>78.592324445982314</v>
      </c>
      <c r="R469" s="4">
        <v>3594.2211705995564</v>
      </c>
      <c r="S469" s="4">
        <v>8637.8783239595214</v>
      </c>
      <c r="T469" s="4">
        <v>22890.377558492732</v>
      </c>
      <c r="U469" s="4">
        <v>158</v>
      </c>
      <c r="V469" s="4">
        <v>4.2999999999999997E-2</v>
      </c>
      <c r="W469" s="4">
        <v>0</v>
      </c>
    </row>
    <row r="470" spans="1:23" x14ac:dyDescent="0.25">
      <c r="A470" s="4" t="s">
        <v>131</v>
      </c>
      <c r="B470" s="4" t="s">
        <v>132</v>
      </c>
      <c r="C470" s="4">
        <v>8</v>
      </c>
      <c r="D470" s="4">
        <v>2</v>
      </c>
      <c r="E470" s="4">
        <v>16</v>
      </c>
      <c r="F470" s="4">
        <v>3970.9204519999998</v>
      </c>
      <c r="G470" s="4">
        <v>10522.939200000001</v>
      </c>
      <c r="H470" s="4">
        <v>1652.3</v>
      </c>
      <c r="I470" s="4">
        <v>1.6523000000000001</v>
      </c>
      <c r="J470" s="4">
        <v>1.6523E-3</v>
      </c>
      <c r="K470" s="4">
        <v>3.6426936259999998</v>
      </c>
      <c r="L470" s="4">
        <v>1.4E-2</v>
      </c>
      <c r="M470" s="4">
        <v>2.9</v>
      </c>
      <c r="N470" s="4">
        <v>56.098600009999998</v>
      </c>
      <c r="O470" s="4">
        <v>1.7815785625344518</v>
      </c>
      <c r="P470" s="4">
        <v>17.258727274877426</v>
      </c>
      <c r="Q470" s="4">
        <v>43.837167278188666</v>
      </c>
      <c r="R470" s="4">
        <v>808.11140356816679</v>
      </c>
      <c r="S470" s="4">
        <v>1942.1086363089805</v>
      </c>
      <c r="T470" s="4">
        <v>5146.5878862187983</v>
      </c>
      <c r="U470" s="4">
        <v>45.7</v>
      </c>
      <c r="V470" s="4">
        <v>0.2</v>
      </c>
      <c r="W470" s="4">
        <v>0</v>
      </c>
    </row>
    <row r="471" spans="1:23" x14ac:dyDescent="0.25">
      <c r="A471" s="4" t="s">
        <v>133</v>
      </c>
      <c r="B471" s="4" t="s">
        <v>134</v>
      </c>
      <c r="C471" s="4">
        <v>8</v>
      </c>
      <c r="D471" s="4">
        <v>3</v>
      </c>
      <c r="E471" s="4">
        <v>24</v>
      </c>
      <c r="F471" s="4">
        <v>18000</v>
      </c>
      <c r="G471" s="4">
        <v>40770</v>
      </c>
      <c r="H471" s="4">
        <v>7489.8</v>
      </c>
      <c r="I471" s="4">
        <v>7.4897999999999998</v>
      </c>
      <c r="J471" s="4">
        <v>7.4897999999999996E-3</v>
      </c>
      <c r="K471" s="4">
        <v>16.512162880000002</v>
      </c>
      <c r="L471" s="4">
        <v>1.2699999999999999E-2</v>
      </c>
      <c r="M471" s="4">
        <v>3.1</v>
      </c>
      <c r="N471" s="4">
        <v>72.695130840000004</v>
      </c>
      <c r="O471" s="4">
        <v>49.603030832113362</v>
      </c>
      <c r="P471" s="4">
        <v>40.81029658464842</v>
      </c>
      <c r="Q471" s="4">
        <v>103.65815332500698</v>
      </c>
      <c r="R471" s="4">
        <v>22499.58307196404</v>
      </c>
      <c r="S471" s="4">
        <v>54072.538024426911</v>
      </c>
      <c r="T471" s="4">
        <v>143292.22576473129</v>
      </c>
      <c r="U471" s="4">
        <v>114</v>
      </c>
      <c r="V471" s="4">
        <v>0.1</v>
      </c>
      <c r="W471" s="4">
        <v>0</v>
      </c>
    </row>
    <row r="472" spans="1:23" x14ac:dyDescent="0.25">
      <c r="A472" s="4" t="s">
        <v>135</v>
      </c>
      <c r="B472" s="4" t="s">
        <v>136</v>
      </c>
      <c r="C472" s="4">
        <v>8</v>
      </c>
      <c r="D472" s="4">
        <v>2</v>
      </c>
      <c r="E472" s="4">
        <v>16</v>
      </c>
      <c r="F472" s="4">
        <v>3970.9204519999998</v>
      </c>
      <c r="G472" s="4">
        <v>10522.939200000001</v>
      </c>
      <c r="H472" s="4">
        <v>1652.3</v>
      </c>
      <c r="I472" s="4">
        <v>1.6523000000000001</v>
      </c>
      <c r="J472" s="4">
        <v>1.6523E-3</v>
      </c>
      <c r="K472" s="4">
        <v>3.6426936259999998</v>
      </c>
      <c r="L472" s="4">
        <v>1.2E-2</v>
      </c>
      <c r="M472" s="4">
        <v>3</v>
      </c>
      <c r="N472" s="4">
        <v>51.637976899999998</v>
      </c>
      <c r="O472" s="4">
        <v>2.941927648731653</v>
      </c>
      <c r="P472" s="4">
        <v>18.932383060319836</v>
      </c>
      <c r="Q472" s="4">
        <v>48.088252973212384</v>
      </c>
      <c r="R472" s="4">
        <v>1334.4375215373411</v>
      </c>
      <c r="S472" s="4">
        <v>3207.0115874485491</v>
      </c>
      <c r="T472" s="4">
        <v>8498.580706738654</v>
      </c>
      <c r="U472" s="4">
        <v>60.5</v>
      </c>
      <c r="V472" s="4">
        <v>9.9000000000000005E-2</v>
      </c>
      <c r="W472" s="4">
        <v>0</v>
      </c>
    </row>
    <row r="473" spans="1:23" x14ac:dyDescent="0.25">
      <c r="A473" s="4" t="s">
        <v>137</v>
      </c>
      <c r="B473" s="4" t="s">
        <v>138</v>
      </c>
      <c r="C473" s="4">
        <v>8</v>
      </c>
      <c r="D473" s="4">
        <v>1</v>
      </c>
      <c r="E473" s="4">
        <v>8</v>
      </c>
      <c r="F473" s="4">
        <v>2453.016102</v>
      </c>
      <c r="G473" s="4">
        <v>6500.492671</v>
      </c>
      <c r="H473" s="4">
        <v>1020.7</v>
      </c>
      <c r="I473" s="4">
        <v>1.0206999999999999</v>
      </c>
      <c r="J473" s="4">
        <v>1.0207E-3</v>
      </c>
      <c r="K473" s="4">
        <v>2.2502556340000002</v>
      </c>
      <c r="L473" s="4">
        <v>1.2500000000000001E-2</v>
      </c>
      <c r="M473" s="4">
        <v>2.82</v>
      </c>
      <c r="N473" s="4">
        <v>55.187376929999999</v>
      </c>
      <c r="O473" s="4">
        <v>1.3942857702158813</v>
      </c>
      <c r="P473" s="4">
        <v>18.335370981215004</v>
      </c>
      <c r="Q473" s="4">
        <v>46.571842292286107</v>
      </c>
      <c r="R473" s="4">
        <v>632.43813909693336</v>
      </c>
      <c r="S473" s="4">
        <v>1519.9186231601377</v>
      </c>
      <c r="T473" s="4">
        <v>4027.7843513743646</v>
      </c>
      <c r="U473" s="4">
        <v>50</v>
      </c>
      <c r="V473" s="4">
        <v>0.33500000000000002</v>
      </c>
      <c r="W473" s="4">
        <v>0</v>
      </c>
    </row>
    <row r="474" spans="1:23" x14ac:dyDescent="0.25">
      <c r="A474" s="4" t="s">
        <v>21</v>
      </c>
      <c r="B474" s="4" t="s">
        <v>22</v>
      </c>
      <c r="C474" s="4">
        <v>9</v>
      </c>
      <c r="D474" s="4">
        <v>1</v>
      </c>
      <c r="E474" s="4">
        <v>9</v>
      </c>
      <c r="F474" s="4">
        <v>345.5659698</v>
      </c>
      <c r="G474" s="4">
        <v>915.74981979999995</v>
      </c>
      <c r="H474" s="4">
        <v>143.79</v>
      </c>
      <c r="I474" s="4">
        <v>0.14379</v>
      </c>
      <c r="J474" s="4">
        <v>1.4379E-4</v>
      </c>
      <c r="K474" s="4">
        <v>0.31700231000000001</v>
      </c>
      <c r="L474" s="4">
        <v>1.6E-2</v>
      </c>
      <c r="M474" s="4">
        <v>3</v>
      </c>
      <c r="N474" s="4">
        <v>20.790721789999999</v>
      </c>
      <c r="O474" s="4">
        <v>4.6316301602295648E-2</v>
      </c>
      <c r="P474" s="4">
        <v>4.3111486652091582</v>
      </c>
      <c r="Q474" s="4">
        <v>10.950317609631261</v>
      </c>
      <c r="R474" s="4">
        <v>21.008745998083864</v>
      </c>
      <c r="S474" s="4">
        <v>50.489656328007364</v>
      </c>
      <c r="T474" s="4">
        <v>133.79758926921951</v>
      </c>
      <c r="U474" s="4">
        <v>11</v>
      </c>
      <c r="V474" s="4">
        <v>0.6</v>
      </c>
      <c r="W474" s="4">
        <v>0</v>
      </c>
    </row>
    <row r="475" spans="1:23" x14ac:dyDescent="0.25">
      <c r="A475" s="4" t="s">
        <v>23</v>
      </c>
      <c r="B475" s="4" t="s">
        <v>24</v>
      </c>
      <c r="C475" s="4">
        <v>9</v>
      </c>
      <c r="D475" s="4">
        <v>3</v>
      </c>
      <c r="E475" s="4">
        <v>27</v>
      </c>
      <c r="F475" s="4">
        <v>188385.81349999999</v>
      </c>
      <c r="G475" s="4">
        <v>499222.4057</v>
      </c>
      <c r="H475" s="4">
        <v>78387.337</v>
      </c>
      <c r="I475" s="4">
        <v>78.387337000000002</v>
      </c>
      <c r="J475" s="4">
        <v>7.8387337000000001E-2</v>
      </c>
      <c r="K475" s="4">
        <v>172.8142909</v>
      </c>
      <c r="L475" s="4">
        <v>2.5999999999999999E-2</v>
      </c>
      <c r="M475" s="4">
        <v>3</v>
      </c>
      <c r="N475" s="4">
        <v>210.0486598</v>
      </c>
      <c r="O475" s="4">
        <v>1671.886622813181</v>
      </c>
      <c r="P475" s="4">
        <v>121.18983495900891</v>
      </c>
      <c r="Q475" s="4">
        <v>307.82218079588262</v>
      </c>
      <c r="R475" s="4">
        <v>758355.9174883567</v>
      </c>
      <c r="S475" s="4">
        <v>1822532.8466434909</v>
      </c>
      <c r="T475" s="4">
        <v>4829712.0436052512</v>
      </c>
      <c r="U475" s="4">
        <v>330</v>
      </c>
      <c r="V475" s="4">
        <v>0.1</v>
      </c>
      <c r="W475" s="4">
        <v>0</v>
      </c>
    </row>
    <row r="476" spans="1:23" x14ac:dyDescent="0.25">
      <c r="A476" s="4" t="s">
        <v>25</v>
      </c>
      <c r="B476" s="4" t="s">
        <v>26</v>
      </c>
      <c r="C476" s="4">
        <v>9</v>
      </c>
      <c r="D476" s="4">
        <v>3</v>
      </c>
      <c r="E476" s="4">
        <v>27</v>
      </c>
      <c r="F476" s="4">
        <v>188385.81349999999</v>
      </c>
      <c r="G476" s="4">
        <v>499222.4057</v>
      </c>
      <c r="H476" s="4">
        <v>78387.337</v>
      </c>
      <c r="I476" s="4">
        <v>78.387337000000002</v>
      </c>
      <c r="J476" s="4">
        <v>7.8387337000000001E-2</v>
      </c>
      <c r="K476" s="4">
        <v>172.8142909</v>
      </c>
      <c r="L476" s="4">
        <v>2.1399999999999999E-2</v>
      </c>
      <c r="M476" s="4">
        <v>2.96</v>
      </c>
      <c r="N476" s="4">
        <v>165.0102253</v>
      </c>
      <c r="O476" s="4">
        <v>1329.8181106350455</v>
      </c>
      <c r="P476" s="4">
        <v>129.44142510657142</v>
      </c>
      <c r="Q476" s="4">
        <v>328.78121977069139</v>
      </c>
      <c r="R476" s="4">
        <v>603196.06582315569</v>
      </c>
      <c r="S476" s="4">
        <v>1449642.0711923952</v>
      </c>
      <c r="T476" s="4">
        <v>3841551.4886598471</v>
      </c>
      <c r="U476" s="4">
        <v>358.7</v>
      </c>
      <c r="V476" s="4">
        <v>9.1999999999999998E-2</v>
      </c>
      <c r="W476" s="4">
        <v>0</v>
      </c>
    </row>
    <row r="477" spans="1:23" x14ac:dyDescent="0.25">
      <c r="A477" s="4" t="s">
        <v>27</v>
      </c>
      <c r="B477" s="4" t="s">
        <v>28</v>
      </c>
      <c r="C477" s="4">
        <v>9</v>
      </c>
      <c r="D477" s="4">
        <v>1</v>
      </c>
      <c r="E477" s="4">
        <v>9</v>
      </c>
      <c r="F477" s="4">
        <v>13862.052390000001</v>
      </c>
      <c r="G477" s="4">
        <v>36734.438840000003</v>
      </c>
      <c r="H477" s="4">
        <v>5767.9999989999997</v>
      </c>
      <c r="I477" s="4">
        <v>5.7679999989999997</v>
      </c>
      <c r="J477" s="4">
        <v>5.7679999999999997E-3</v>
      </c>
      <c r="K477" s="4">
        <v>12.716248159999999</v>
      </c>
      <c r="L477" s="4">
        <v>1.0999999999999999E-2</v>
      </c>
      <c r="M477" s="4">
        <v>2.9</v>
      </c>
      <c r="N477" s="4">
        <v>93.818199050000004</v>
      </c>
      <c r="O477" s="4">
        <v>7.7134843081816431</v>
      </c>
      <c r="P477" s="4">
        <v>31.087687076471614</v>
      </c>
      <c r="Q477" s="4">
        <v>78.962725174237903</v>
      </c>
      <c r="R477" s="4">
        <v>3498.7817892342641</v>
      </c>
      <c r="S477" s="4">
        <v>8408.5118703058488</v>
      </c>
      <c r="T477" s="4">
        <v>22282.5564563105</v>
      </c>
      <c r="U477" s="4">
        <v>94.6</v>
      </c>
      <c r="V477" s="4">
        <v>0.2</v>
      </c>
      <c r="W477" s="4">
        <v>0</v>
      </c>
    </row>
    <row r="478" spans="1:23" x14ac:dyDescent="0.25">
      <c r="A478" s="4" t="s">
        <v>29</v>
      </c>
      <c r="B478" s="4" t="s">
        <v>30</v>
      </c>
      <c r="C478" s="4">
        <v>9</v>
      </c>
      <c r="D478" s="4">
        <v>7</v>
      </c>
      <c r="E478" s="2">
        <v>63</v>
      </c>
      <c r="F478" s="4">
        <v>64280.782099999997</v>
      </c>
      <c r="G478" s="4">
        <v>170344.27299999999</v>
      </c>
      <c r="H478" s="4">
        <v>26747.23343</v>
      </c>
      <c r="I478" s="4">
        <v>26.747233430000001</v>
      </c>
      <c r="J478" s="4">
        <v>2.6747232999999999E-2</v>
      </c>
      <c r="K478" s="4">
        <v>58.967485770000003</v>
      </c>
      <c r="L478" s="4">
        <v>3.2499999999999999E-3</v>
      </c>
      <c r="M478" s="4">
        <v>3</v>
      </c>
      <c r="N478" s="4">
        <v>201.89791579999999</v>
      </c>
      <c r="O478" s="4">
        <v>214.3401747990811</v>
      </c>
      <c r="P478" s="4">
        <v>122.21610598989921</v>
      </c>
      <c r="Q478" s="4">
        <v>310.428909214344</v>
      </c>
      <c r="R478" s="4">
        <v>97223.183496058773</v>
      </c>
      <c r="S478" s="4">
        <v>233653.40902681754</v>
      </c>
      <c r="T478" s="4">
        <v>619181.53392106644</v>
      </c>
      <c r="U478" s="4">
        <v>311</v>
      </c>
      <c r="V478" s="4">
        <v>0.1</v>
      </c>
      <c r="W478" s="4">
        <v>0</v>
      </c>
    </row>
    <row r="479" spans="1:23" x14ac:dyDescent="0.25">
      <c r="A479" s="2" t="s">
        <v>31</v>
      </c>
      <c r="B479" s="4" t="s">
        <v>32</v>
      </c>
      <c r="C479" s="4">
        <v>9</v>
      </c>
      <c r="D479" s="4">
        <v>1</v>
      </c>
      <c r="E479" s="4">
        <v>9</v>
      </c>
      <c r="F479" s="4">
        <v>345.5659698</v>
      </c>
      <c r="G479" s="4">
        <v>915.74981979999995</v>
      </c>
      <c r="H479" s="4">
        <v>143.79000003377999</v>
      </c>
      <c r="I479" s="4">
        <v>0.14379000003377998</v>
      </c>
      <c r="J479" s="4">
        <v>1.4379000003377998E-4</v>
      </c>
      <c r="K479" s="4">
        <v>0.31700230987447198</v>
      </c>
      <c r="L479" s="3">
        <v>1.1599999999999999E-2</v>
      </c>
      <c r="M479" s="3">
        <v>3</v>
      </c>
      <c r="N479" s="4">
        <v>23.143208333852019</v>
      </c>
      <c r="O479" s="4">
        <v>0.63446611257453456</v>
      </c>
      <c r="P479" s="4">
        <v>11.482554524125634</v>
      </c>
      <c r="Q479" s="4">
        <v>29.165688491279113</v>
      </c>
      <c r="R479" s="2">
        <v>287.78932994100325</v>
      </c>
      <c r="S479" s="2">
        <v>691.63501547945987</v>
      </c>
      <c r="T479" s="2">
        <v>1832.8327910205685</v>
      </c>
      <c r="U479" s="2">
        <v>29.172666666666665</v>
      </c>
      <c r="V479" s="2">
        <v>0.92646666666666677</v>
      </c>
      <c r="W479" s="2">
        <v>0</v>
      </c>
    </row>
    <row r="480" spans="1:23" x14ac:dyDescent="0.25">
      <c r="A480" s="4" t="s">
        <v>33</v>
      </c>
      <c r="B480" s="4" t="s">
        <v>34</v>
      </c>
      <c r="C480" s="4">
        <v>9</v>
      </c>
      <c r="D480" s="4">
        <v>2</v>
      </c>
      <c r="E480" s="4">
        <v>18</v>
      </c>
      <c r="F480" s="4">
        <v>2643.5952900000002</v>
      </c>
      <c r="G480" s="4">
        <v>7005.5275179999999</v>
      </c>
      <c r="H480" s="4">
        <v>1100</v>
      </c>
      <c r="I480" s="4">
        <v>1.1000000000000001</v>
      </c>
      <c r="J480" s="4">
        <v>1.1000000000000001E-3</v>
      </c>
      <c r="K480" s="4">
        <v>2.4250820000000002</v>
      </c>
      <c r="L480" s="4">
        <v>1.4999999999999999E-2</v>
      </c>
      <c r="M480" s="4">
        <v>3</v>
      </c>
      <c r="N480" s="4">
        <v>41.85690786</v>
      </c>
      <c r="O480" s="4">
        <v>6.3608306234498766</v>
      </c>
      <c r="P480" s="4">
        <v>22.72632570252296</v>
      </c>
      <c r="Q480" s="4">
        <v>57.724867284408319</v>
      </c>
      <c r="R480" s="4">
        <v>2885.2276689179434</v>
      </c>
      <c r="S480" s="4">
        <v>6933.976613597556</v>
      </c>
      <c r="T480" s="4">
        <v>18375.038026033522</v>
      </c>
      <c r="U480" s="4">
        <v>58.9</v>
      </c>
      <c r="V480" s="4">
        <v>0.22</v>
      </c>
      <c r="W480" s="4">
        <v>0.20699999999999999</v>
      </c>
    </row>
    <row r="481" spans="1:23" x14ac:dyDescent="0.25">
      <c r="A481" s="4" t="s">
        <v>35</v>
      </c>
      <c r="B481" s="4" t="s">
        <v>36</v>
      </c>
      <c r="C481" s="4">
        <v>9</v>
      </c>
      <c r="D481" s="4">
        <v>1</v>
      </c>
      <c r="E481" s="4">
        <v>9</v>
      </c>
      <c r="F481" s="4">
        <v>345.5659698</v>
      </c>
      <c r="G481" s="4">
        <v>915.74981979999995</v>
      </c>
      <c r="H481" s="4">
        <v>143.79</v>
      </c>
      <c r="I481" s="4">
        <v>0.14379</v>
      </c>
      <c r="J481" s="4">
        <v>1.4379E-4</v>
      </c>
      <c r="K481" s="4">
        <v>0.31700231000000001</v>
      </c>
      <c r="L481" s="4">
        <v>2.1000000000000001E-2</v>
      </c>
      <c r="M481" s="4">
        <v>3</v>
      </c>
      <c r="N481" s="4">
        <v>18.989045260000001</v>
      </c>
      <c r="O481" s="4">
        <v>0.42945466893523687</v>
      </c>
      <c r="P481" s="4">
        <v>8.2722004011973755</v>
      </c>
      <c r="Q481" s="4">
        <v>21.011389019041335</v>
      </c>
      <c r="R481" s="4">
        <v>194.79759275305352</v>
      </c>
      <c r="S481" s="4">
        <v>468.15090784199356</v>
      </c>
      <c r="T481" s="4">
        <v>1240.5999057812828</v>
      </c>
      <c r="U481" s="4">
        <v>21.02</v>
      </c>
      <c r="V481" s="4">
        <v>0.86</v>
      </c>
      <c r="W481" s="4">
        <v>-6.9989999999999997E-2</v>
      </c>
    </row>
    <row r="482" spans="1:23" x14ac:dyDescent="0.25">
      <c r="A482" s="4" t="s">
        <v>37</v>
      </c>
      <c r="B482" s="4" t="s">
        <v>38</v>
      </c>
      <c r="C482" s="4">
        <v>9</v>
      </c>
      <c r="D482" s="4">
        <v>9</v>
      </c>
      <c r="E482" s="4">
        <v>81</v>
      </c>
      <c r="F482" s="4">
        <v>1772528862</v>
      </c>
      <c r="G482" s="4">
        <v>4697201484</v>
      </c>
      <c r="H482" s="4">
        <v>737549259.5</v>
      </c>
      <c r="I482" s="4">
        <v>737549.25950000004</v>
      </c>
      <c r="J482" s="4">
        <v>737.54925949999995</v>
      </c>
      <c r="K482" s="4">
        <v>1626015.848</v>
      </c>
      <c r="L482" s="2">
        <v>6.0000000000000001E-3</v>
      </c>
      <c r="M482" s="4">
        <v>3</v>
      </c>
      <c r="N482" s="4">
        <v>1544.971047</v>
      </c>
      <c r="O482" s="4">
        <v>122040.48826370835</v>
      </c>
      <c r="P482" s="4">
        <v>825.73228346456676</v>
      </c>
      <c r="Q482" s="4">
        <v>2097.3599999999997</v>
      </c>
      <c r="R482" s="2">
        <v>55356700.140481509</v>
      </c>
      <c r="S482" s="2">
        <v>133037010.6716691</v>
      </c>
      <c r="T482" s="2">
        <v>352548078.27992308</v>
      </c>
      <c r="U482" s="2">
        <v>2097.3599999999997</v>
      </c>
      <c r="V482" s="2">
        <v>0.5</v>
      </c>
      <c r="W482" s="2">
        <v>0</v>
      </c>
    </row>
    <row r="483" spans="1:23" x14ac:dyDescent="0.25">
      <c r="A483" s="4" t="s">
        <v>39</v>
      </c>
      <c r="B483" s="4" t="s">
        <v>40</v>
      </c>
      <c r="C483" s="4">
        <v>9</v>
      </c>
      <c r="D483" s="4">
        <v>2</v>
      </c>
      <c r="E483" s="4">
        <v>18</v>
      </c>
      <c r="F483" s="4">
        <v>57678.44268</v>
      </c>
      <c r="G483" s="4">
        <v>152847.8731</v>
      </c>
      <c r="H483" s="4">
        <v>24000</v>
      </c>
      <c r="I483" s="4">
        <v>24</v>
      </c>
      <c r="J483" s="4">
        <v>2.4E-2</v>
      </c>
      <c r="K483" s="4">
        <v>52.910879999999999</v>
      </c>
      <c r="L483" s="4">
        <v>1.2E-2</v>
      </c>
      <c r="M483" s="4">
        <v>3</v>
      </c>
      <c r="N483" s="4">
        <v>125.992105</v>
      </c>
      <c r="O483" s="4">
        <v>57.842821896938077</v>
      </c>
      <c r="P483" s="4">
        <v>51.0988482130699</v>
      </c>
      <c r="Q483" s="4">
        <v>129.79107446119755</v>
      </c>
      <c r="R483" s="4">
        <v>26237.093874199669</v>
      </c>
      <c r="S483" s="4">
        <v>63054.779798605312</v>
      </c>
      <c r="T483" s="4">
        <v>167095.16646630407</v>
      </c>
      <c r="U483" s="4">
        <v>150.93</v>
      </c>
      <c r="V483" s="4">
        <v>0.11</v>
      </c>
      <c r="W483" s="4">
        <v>0.13</v>
      </c>
    </row>
    <row r="484" spans="1:23" x14ac:dyDescent="0.25">
      <c r="A484" s="4" t="s">
        <v>41</v>
      </c>
      <c r="B484" s="4" t="s">
        <v>42</v>
      </c>
      <c r="C484" s="4">
        <v>9</v>
      </c>
      <c r="D484" s="4">
        <v>4</v>
      </c>
      <c r="E484" s="4">
        <v>36</v>
      </c>
      <c r="F484" s="4">
        <v>28445.111649999999</v>
      </c>
      <c r="G484" s="4">
        <v>75379.545880000005</v>
      </c>
      <c r="H484" s="4">
        <v>11836.01096</v>
      </c>
      <c r="I484" s="4">
        <v>11.836010959999999</v>
      </c>
      <c r="J484" s="4">
        <v>1.1836011E-2</v>
      </c>
      <c r="K484" s="4">
        <v>26.093906480000001</v>
      </c>
      <c r="L484" s="4">
        <v>1.34E-2</v>
      </c>
      <c r="M484" s="4">
        <v>3.1</v>
      </c>
      <c r="N484" s="4">
        <v>82.812701989999994</v>
      </c>
      <c r="O484" s="4">
        <v>34.419423392181123</v>
      </c>
      <c r="P484" s="4">
        <v>35.649893333371722</v>
      </c>
      <c r="Q484" s="4">
        <v>90.550729066764177</v>
      </c>
      <c r="R484" s="4">
        <v>15612.40639755655</v>
      </c>
      <c r="S484" s="4">
        <v>37520.803647095767</v>
      </c>
      <c r="T484" s="4">
        <v>99430.129664803782</v>
      </c>
      <c r="U484" s="4">
        <v>91.5</v>
      </c>
      <c r="V484" s="4">
        <v>0.12690000000000001</v>
      </c>
      <c r="W484" s="4">
        <v>0</v>
      </c>
    </row>
    <row r="485" spans="1:23" x14ac:dyDescent="0.25">
      <c r="A485" s="4" t="s">
        <v>43</v>
      </c>
      <c r="B485" s="4" t="s">
        <v>44</v>
      </c>
      <c r="C485" s="4">
        <v>9</v>
      </c>
      <c r="D485" s="4">
        <v>2</v>
      </c>
      <c r="E485" s="4">
        <v>18</v>
      </c>
      <c r="F485" s="4">
        <v>2643.5952900000002</v>
      </c>
      <c r="G485" s="4">
        <v>7005.5275179999999</v>
      </c>
      <c r="H485" s="4">
        <v>1100</v>
      </c>
      <c r="I485" s="4">
        <v>1.1000000000000001</v>
      </c>
      <c r="J485" s="4">
        <v>1.1000000000000001E-3</v>
      </c>
      <c r="K485" s="4">
        <v>2.4250820000000002</v>
      </c>
      <c r="L485" s="4">
        <v>1.44E-2</v>
      </c>
      <c r="M485" s="4">
        <v>3</v>
      </c>
      <c r="N485" s="4">
        <v>42.430361419999997</v>
      </c>
      <c r="O485" s="4">
        <v>3.4278287746907621</v>
      </c>
      <c r="P485" s="4">
        <v>18.747379827112582</v>
      </c>
      <c r="Q485" s="4">
        <v>47.618344760865959</v>
      </c>
      <c r="R485" s="2">
        <v>1554.8388269591867</v>
      </c>
      <c r="S485" s="2">
        <v>3736.6950900244819</v>
      </c>
      <c r="T485" s="2">
        <v>9902.241988564876</v>
      </c>
      <c r="U485" s="2">
        <v>47.633333333333333</v>
      </c>
      <c r="V485" s="2">
        <v>0.44799999999999995</v>
      </c>
      <c r="W485" s="2">
        <v>0</v>
      </c>
    </row>
    <row r="486" spans="1:23" x14ac:dyDescent="0.25">
      <c r="A486" s="4" t="s">
        <v>45</v>
      </c>
      <c r="B486" s="4" t="s">
        <v>46</v>
      </c>
      <c r="C486" s="4">
        <v>9</v>
      </c>
      <c r="D486" s="4">
        <v>5</v>
      </c>
      <c r="E486" s="4">
        <v>45</v>
      </c>
      <c r="F486" s="4">
        <v>7678.7389750000002</v>
      </c>
      <c r="G486" s="4">
        <v>20348.65828</v>
      </c>
      <c r="H486" s="4">
        <v>3195.1232869999999</v>
      </c>
      <c r="I486" s="4">
        <v>3.1951232869999999</v>
      </c>
      <c r="J486" s="4">
        <v>3.1951229999999998E-3</v>
      </c>
      <c r="K486" s="4">
        <v>7.044032702</v>
      </c>
      <c r="L486" s="4">
        <v>3.96E-3</v>
      </c>
      <c r="M486" s="4">
        <v>3.2</v>
      </c>
      <c r="N486" s="4">
        <v>70.124961499999998</v>
      </c>
      <c r="O486" s="4">
        <v>743.74458810105307</v>
      </c>
      <c r="P486" s="4">
        <v>118.41717233265014</v>
      </c>
      <c r="Q486" s="4">
        <v>300.77961772493137</v>
      </c>
      <c r="R486" s="2">
        <v>337357.27159376809</v>
      </c>
      <c r="S486" s="2">
        <v>810760.08554137964</v>
      </c>
      <c r="T486" s="2">
        <v>2148514.226684656</v>
      </c>
      <c r="U486" s="2">
        <v>300.78571428571428</v>
      </c>
      <c r="V486" s="2">
        <v>0.24014285714285719</v>
      </c>
      <c r="W486" s="2">
        <v>0</v>
      </c>
    </row>
    <row r="487" spans="1:23" x14ac:dyDescent="0.25">
      <c r="A487" s="2" t="s">
        <v>47</v>
      </c>
      <c r="B487" s="4" t="s">
        <v>48</v>
      </c>
      <c r="C487" s="4">
        <v>9</v>
      </c>
      <c r="D487" s="4">
        <v>1</v>
      </c>
      <c r="E487" s="4">
        <v>9</v>
      </c>
      <c r="F487" s="4">
        <v>372.74693589999998</v>
      </c>
      <c r="G487" s="4">
        <v>987.77937999999995</v>
      </c>
      <c r="H487" s="4">
        <v>155.10000002799001</v>
      </c>
      <c r="I487" s="4">
        <v>0.15510000002799001</v>
      </c>
      <c r="J487" s="4">
        <v>1.5510000002799001E-4</v>
      </c>
      <c r="K487" s="4">
        <v>0.34193656206170731</v>
      </c>
      <c r="L487" s="3">
        <v>1.23E-2</v>
      </c>
      <c r="M487" s="3">
        <v>3.2</v>
      </c>
      <c r="N487" s="4">
        <v>19.11924945060121</v>
      </c>
      <c r="O487" s="4">
        <v>3.3465536012826043</v>
      </c>
      <c r="P487" s="4">
        <v>15.353802481134966</v>
      </c>
      <c r="Q487" s="4">
        <v>38.998658302082816</v>
      </c>
      <c r="R487" s="2">
        <v>1517.9729845880943</v>
      </c>
      <c r="S487" s="2">
        <v>3648.0965743525458</v>
      </c>
      <c r="T487" s="2">
        <v>9667.4559220342453</v>
      </c>
      <c r="U487" s="2">
        <v>39.200000000000003</v>
      </c>
      <c r="V487" s="2">
        <v>0.58571428571428563</v>
      </c>
      <c r="W487" s="2">
        <v>0</v>
      </c>
    </row>
    <row r="488" spans="1:23" x14ac:dyDescent="0.25">
      <c r="A488" s="2" t="s">
        <v>49</v>
      </c>
      <c r="B488" s="4" t="s">
        <v>50</v>
      </c>
      <c r="C488" s="4">
        <v>9</v>
      </c>
      <c r="D488" s="4">
        <v>1</v>
      </c>
      <c r="E488" s="4">
        <v>9</v>
      </c>
      <c r="F488" s="4">
        <v>2643.5952900000002</v>
      </c>
      <c r="G488" s="4">
        <v>7005.5275179999999</v>
      </c>
      <c r="H488" s="4">
        <v>1100.000000169</v>
      </c>
      <c r="I488" s="4">
        <v>1.100000000169</v>
      </c>
      <c r="J488" s="4">
        <v>1.1000000001690001E-3</v>
      </c>
      <c r="K488" s="4">
        <v>2.4250820003725808</v>
      </c>
      <c r="L488" s="3">
        <v>1.2E-2</v>
      </c>
      <c r="M488" s="3">
        <v>3.1</v>
      </c>
      <c r="N488" s="4">
        <v>39.876163449959911</v>
      </c>
      <c r="O488" s="4">
        <v>4.0720692802737393</v>
      </c>
      <c r="P488" s="4">
        <v>18.556194612165676</v>
      </c>
      <c r="Q488" s="4">
        <v>47.132734314900816</v>
      </c>
      <c r="R488" s="2">
        <v>1847.0617522628568</v>
      </c>
      <c r="S488" s="2">
        <v>4438.9852253373138</v>
      </c>
      <c r="T488" s="2">
        <v>11763.310847143881</v>
      </c>
      <c r="U488" s="2">
        <v>54.3</v>
      </c>
      <c r="V488" s="2">
        <v>0.22500000000000001</v>
      </c>
      <c r="W488" s="2">
        <v>0</v>
      </c>
    </row>
    <row r="489" spans="1:23" x14ac:dyDescent="0.25">
      <c r="A489" s="2" t="s">
        <v>51</v>
      </c>
      <c r="B489" s="4" t="s">
        <v>52</v>
      </c>
      <c r="C489" s="4">
        <v>9</v>
      </c>
      <c r="D489" s="4">
        <v>1</v>
      </c>
      <c r="E489" s="4">
        <v>9</v>
      </c>
      <c r="F489" s="4">
        <v>4109.5890410000002</v>
      </c>
      <c r="G489" s="4">
        <v>10890.410959999999</v>
      </c>
      <c r="H489" s="4">
        <v>1709.9999999601</v>
      </c>
      <c r="I489" s="4">
        <v>1.7099999999601001</v>
      </c>
      <c r="J489" s="4">
        <v>1.7099999999601002E-3</v>
      </c>
      <c r="K489" s="4">
        <v>3.7699001999120356</v>
      </c>
      <c r="L489" s="3">
        <v>1.24E-2</v>
      </c>
      <c r="M489" s="3">
        <v>3.2</v>
      </c>
      <c r="N489" s="4">
        <v>40.375415800387913</v>
      </c>
      <c r="O489" s="4">
        <v>0.26087551618474653</v>
      </c>
      <c r="P489" s="4">
        <v>6.8994683227851157</v>
      </c>
      <c r="Q489" s="4">
        <v>17.524649539874193</v>
      </c>
      <c r="R489" s="2">
        <v>118.33128438676349</v>
      </c>
      <c r="S489" s="2">
        <v>284.38184183312541</v>
      </c>
      <c r="T489" s="2">
        <v>753.61188085778235</v>
      </c>
      <c r="U489" s="4">
        <v>20.9</v>
      </c>
      <c r="V489" s="4">
        <v>0.19500000000000001</v>
      </c>
      <c r="W489" s="4">
        <v>-0.35</v>
      </c>
    </row>
    <row r="490" spans="1:23" x14ac:dyDescent="0.25">
      <c r="A490" s="4" t="s">
        <v>53</v>
      </c>
      <c r="B490" s="4" t="s">
        <v>54</v>
      </c>
      <c r="C490" s="4">
        <v>9</v>
      </c>
      <c r="D490" s="4">
        <v>2</v>
      </c>
      <c r="E490" s="4">
        <v>18</v>
      </c>
      <c r="F490" s="4">
        <v>4109.5890410000002</v>
      </c>
      <c r="G490" s="4">
        <v>10890.410959999999</v>
      </c>
      <c r="H490" s="4">
        <v>1710</v>
      </c>
      <c r="I490" s="4">
        <v>1.71</v>
      </c>
      <c r="J490" s="4">
        <v>1.7099999999999999E-3</v>
      </c>
      <c r="K490" s="4">
        <v>3.7699001999999999</v>
      </c>
      <c r="L490" s="4">
        <v>1.2E-2</v>
      </c>
      <c r="M490" s="4">
        <v>2.95</v>
      </c>
      <c r="N490" s="4">
        <v>55.854206490000003</v>
      </c>
      <c r="O490" s="4">
        <v>1.3143238586178687</v>
      </c>
      <c r="P490" s="4">
        <v>15.384883659834832</v>
      </c>
      <c r="Q490" s="4">
        <v>39.077604495980474</v>
      </c>
      <c r="R490" s="4">
        <v>596.16798297115542</v>
      </c>
      <c r="S490" s="4">
        <v>1432.751701444738</v>
      </c>
      <c r="T490" s="4">
        <v>3796.7920088285555</v>
      </c>
      <c r="U490" s="4">
        <v>41</v>
      </c>
      <c r="V490" s="4">
        <v>0.17</v>
      </c>
      <c r="W490" s="4">
        <v>0</v>
      </c>
    </row>
    <row r="491" spans="1:23" x14ac:dyDescent="0.25">
      <c r="A491" s="4" t="s">
        <v>55</v>
      </c>
      <c r="B491" s="4" t="s">
        <v>56</v>
      </c>
      <c r="C491" s="4">
        <v>9</v>
      </c>
      <c r="D491" s="4">
        <v>1</v>
      </c>
      <c r="E491" s="4">
        <v>9</v>
      </c>
      <c r="F491" s="4">
        <v>18022.110069999999</v>
      </c>
      <c r="G491" s="4">
        <v>47758.591679999998</v>
      </c>
      <c r="H491" s="4">
        <v>7499</v>
      </c>
      <c r="I491" s="4">
        <v>7.4989999999999997</v>
      </c>
      <c r="J491" s="4">
        <v>7.4989999999999996E-3</v>
      </c>
      <c r="K491" s="4">
        <v>16.532445379999999</v>
      </c>
      <c r="L491" s="4">
        <v>1.2999999999999999E-2</v>
      </c>
      <c r="M491" s="4">
        <v>3</v>
      </c>
      <c r="N491" s="4">
        <v>83.244075370000004</v>
      </c>
      <c r="O491" s="4">
        <v>19.12126104006353</v>
      </c>
      <c r="P491" s="4">
        <v>34.401662308403012</v>
      </c>
      <c r="Q491" s="4">
        <v>87.380222263343654</v>
      </c>
      <c r="R491" s="4">
        <v>8673.2684272407623</v>
      </c>
      <c r="S491" s="4">
        <v>20844.192326942473</v>
      </c>
      <c r="T491" s="4">
        <v>55237.109666397555</v>
      </c>
      <c r="U491" s="4">
        <v>152</v>
      </c>
      <c r="V491" s="4">
        <v>9.6000000000000002E-2</v>
      </c>
      <c r="W491" s="4">
        <v>0.09</v>
      </c>
    </row>
    <row r="492" spans="1:23" x14ac:dyDescent="0.25">
      <c r="A492" s="4" t="s">
        <v>57</v>
      </c>
      <c r="B492" s="4" t="s">
        <v>58</v>
      </c>
      <c r="C492" s="4">
        <v>9</v>
      </c>
      <c r="D492" s="4">
        <v>2</v>
      </c>
      <c r="E492" s="4">
        <v>18</v>
      </c>
      <c r="F492" s="4">
        <v>8291.2761339999997</v>
      </c>
      <c r="G492" s="4">
        <v>21971.88176</v>
      </c>
      <c r="H492" s="4">
        <v>3449.9999990000001</v>
      </c>
      <c r="I492" s="4">
        <v>3.4499999990000001</v>
      </c>
      <c r="J492" s="4">
        <v>3.4499999999999999E-3</v>
      </c>
      <c r="K492" s="4">
        <v>7.6059389990000001</v>
      </c>
      <c r="L492" s="4">
        <v>4.0000000000000001E-3</v>
      </c>
      <c r="M492" s="4">
        <v>3.1</v>
      </c>
      <c r="N492" s="4">
        <v>66.371102100000002</v>
      </c>
      <c r="O492" s="4">
        <v>5.2341185935672314</v>
      </c>
      <c r="P492" s="4">
        <v>28.67935980101155</v>
      </c>
      <c r="Q492" s="4">
        <v>72.845573894569341</v>
      </c>
      <c r="R492" s="4">
        <v>2374.1590811873389</v>
      </c>
      <c r="S492" s="4">
        <v>5705.7416034302787</v>
      </c>
      <c r="T492" s="4">
        <v>15120.215249090237</v>
      </c>
      <c r="U492" s="4">
        <v>72.900000000000006</v>
      </c>
      <c r="V492" s="4">
        <v>0.4</v>
      </c>
      <c r="W492" s="4">
        <v>0</v>
      </c>
    </row>
    <row r="493" spans="1:23" x14ac:dyDescent="0.25">
      <c r="A493" s="4" t="s">
        <v>59</v>
      </c>
      <c r="B493" s="4" t="s">
        <v>60</v>
      </c>
      <c r="C493" s="4">
        <v>9</v>
      </c>
      <c r="D493" s="4">
        <v>2</v>
      </c>
      <c r="E493" s="4">
        <v>18</v>
      </c>
      <c r="F493" s="4">
        <v>4109.5890410000002</v>
      </c>
      <c r="G493" s="4">
        <v>10890.410959999999</v>
      </c>
      <c r="H493" s="4">
        <v>1710</v>
      </c>
      <c r="I493" s="4">
        <v>1.71</v>
      </c>
      <c r="J493" s="4">
        <v>1.7099999999999999E-3</v>
      </c>
      <c r="K493" s="4">
        <v>3.7699001999999999</v>
      </c>
      <c r="L493" s="4">
        <v>1.6799999999999999E-2</v>
      </c>
      <c r="M493" s="4">
        <v>3.1</v>
      </c>
      <c r="N493" s="4">
        <v>41.246095969999999</v>
      </c>
      <c r="O493" s="4">
        <v>409.44909648971856</v>
      </c>
      <c r="P493" s="4">
        <v>73.668429249498331</v>
      </c>
      <c r="Q493" s="4">
        <v>187.11781029372577</v>
      </c>
      <c r="R493" s="4">
        <v>185723.20694256542</v>
      </c>
      <c r="S493" s="4">
        <v>446342.72276511759</v>
      </c>
      <c r="T493" s="4">
        <v>1182808.2153275616</v>
      </c>
      <c r="U493" s="4">
        <v>263.2</v>
      </c>
      <c r="V493" s="4">
        <v>7.0000000000000007E-2</v>
      </c>
      <c r="W493" s="4">
        <v>0.27</v>
      </c>
    </row>
    <row r="494" spans="1:23" x14ac:dyDescent="0.25">
      <c r="A494" s="4" t="s">
        <v>61</v>
      </c>
      <c r="B494" s="4" t="s">
        <v>62</v>
      </c>
      <c r="C494" s="4">
        <v>9</v>
      </c>
      <c r="D494" s="4">
        <v>1</v>
      </c>
      <c r="E494" s="4">
        <v>9</v>
      </c>
      <c r="F494" s="4">
        <v>520.11535690000005</v>
      </c>
      <c r="G494" s="4">
        <v>1378.3056959999999</v>
      </c>
      <c r="H494" s="4">
        <v>216.42</v>
      </c>
      <c r="I494" s="4">
        <v>0.21642</v>
      </c>
      <c r="J494" s="4">
        <v>2.1641999999999999E-4</v>
      </c>
      <c r="K494" s="4">
        <v>0.47712386000000001</v>
      </c>
      <c r="L494" s="4">
        <v>1.2500000000000001E-2</v>
      </c>
      <c r="M494" s="4">
        <v>3</v>
      </c>
      <c r="N494" s="4">
        <v>25.869962149999999</v>
      </c>
      <c r="O494" s="4">
        <v>0.85677353898074948</v>
      </c>
      <c r="P494" s="4">
        <v>12.379612373746269</v>
      </c>
      <c r="Q494" s="4">
        <v>31.444215429315523</v>
      </c>
      <c r="R494" s="4">
        <v>388.6264022737476</v>
      </c>
      <c r="S494" s="4">
        <v>933.97356951152983</v>
      </c>
      <c r="T494" s="4">
        <v>2475.029959205554</v>
      </c>
      <c r="U494" s="4">
        <v>33.700000000000003</v>
      </c>
      <c r="V494" s="4">
        <v>0.32</v>
      </c>
      <c r="W494" s="4">
        <v>0.55000000000000004</v>
      </c>
    </row>
    <row r="495" spans="1:23" x14ac:dyDescent="0.25">
      <c r="A495" s="4" t="s">
        <v>63</v>
      </c>
      <c r="B495" s="4" t="s">
        <v>64</v>
      </c>
      <c r="C495" s="4">
        <v>9</v>
      </c>
      <c r="D495" s="4">
        <v>2</v>
      </c>
      <c r="E495" s="4">
        <v>18</v>
      </c>
      <c r="F495" s="4">
        <v>2643.5952900000002</v>
      </c>
      <c r="G495" s="4">
        <v>7005.5275179999999</v>
      </c>
      <c r="H495" s="4">
        <v>1100</v>
      </c>
      <c r="I495" s="4">
        <v>1.1000000000000001</v>
      </c>
      <c r="J495" s="4">
        <v>1.1000000000000001E-3</v>
      </c>
      <c r="K495" s="4">
        <v>2.4250820000000002</v>
      </c>
      <c r="L495" s="4">
        <v>1.2E-2</v>
      </c>
      <c r="M495" s="4">
        <v>3.1</v>
      </c>
      <c r="N495" s="4">
        <v>39.87616345</v>
      </c>
      <c r="O495" s="4">
        <v>2.9527640833468047</v>
      </c>
      <c r="P495" s="4">
        <v>16.728655777498801</v>
      </c>
      <c r="Q495" s="4">
        <v>42.490785674846954</v>
      </c>
      <c r="R495" s="4">
        <v>1339.3528514423369</v>
      </c>
      <c r="S495" s="4">
        <v>3218.8244447064089</v>
      </c>
      <c r="T495" s="4">
        <v>8529.8847784719837</v>
      </c>
      <c r="U495" s="4">
        <v>42.5</v>
      </c>
      <c r="V495" s="4">
        <v>0.47</v>
      </c>
      <c r="W495" s="4">
        <v>0.05</v>
      </c>
    </row>
    <row r="496" spans="1:23" x14ac:dyDescent="0.25">
      <c r="A496" s="4" t="s">
        <v>65</v>
      </c>
      <c r="B496" s="4" t="s">
        <v>66</v>
      </c>
      <c r="C496" s="4">
        <v>9</v>
      </c>
      <c r="D496" s="4">
        <v>3</v>
      </c>
      <c r="E496" s="4">
        <v>27</v>
      </c>
      <c r="F496" s="4">
        <v>30000</v>
      </c>
      <c r="G496" s="4">
        <v>79500</v>
      </c>
      <c r="H496" s="4">
        <v>12483</v>
      </c>
      <c r="I496" s="4">
        <v>12.483000000000001</v>
      </c>
      <c r="J496" s="4">
        <v>1.2482999999999999E-2</v>
      </c>
      <c r="K496" s="4">
        <v>27.52027146</v>
      </c>
      <c r="L496" s="4">
        <v>1.2699999999999999E-2</v>
      </c>
      <c r="M496" s="4">
        <v>3.1</v>
      </c>
      <c r="N496" s="4">
        <v>85.717488009999997</v>
      </c>
      <c r="O496" s="4">
        <v>8.3028299656065201</v>
      </c>
      <c r="P496" s="4">
        <v>22.927472446794159</v>
      </c>
      <c r="Q496" s="4">
        <v>58.235780014857163</v>
      </c>
      <c r="R496" s="4">
        <v>3766.1048006488736</v>
      </c>
      <c r="S496" s="4">
        <v>9050.9608282837635</v>
      </c>
      <c r="T496" s="4">
        <v>23985.046194951974</v>
      </c>
      <c r="U496" s="4">
        <v>58.5</v>
      </c>
      <c r="V496" s="4">
        <v>0.2</v>
      </c>
      <c r="W496" s="4">
        <v>0</v>
      </c>
    </row>
    <row r="497" spans="1:34" x14ac:dyDescent="0.25">
      <c r="A497" s="4" t="s">
        <v>67</v>
      </c>
      <c r="B497" s="4" t="s">
        <v>68</v>
      </c>
      <c r="C497" s="4">
        <v>9</v>
      </c>
      <c r="D497" s="4">
        <v>1</v>
      </c>
      <c r="E497" s="4">
        <v>9</v>
      </c>
      <c r="F497" s="4">
        <v>704.28</v>
      </c>
      <c r="G497" s="4">
        <v>1866.37</v>
      </c>
      <c r="H497" s="4">
        <v>293.05090799999999</v>
      </c>
      <c r="I497" s="4">
        <v>0.293050908</v>
      </c>
      <c r="J497" s="4">
        <v>2.9305100000000001E-4</v>
      </c>
      <c r="K497" s="4">
        <v>0.64606589299999995</v>
      </c>
      <c r="L497" s="4">
        <v>1.29E-2</v>
      </c>
      <c r="M497" s="4">
        <v>3.05</v>
      </c>
      <c r="N497" s="4">
        <v>26.810973130000001</v>
      </c>
      <c r="O497" s="4">
        <v>1.4638727094694686</v>
      </c>
      <c r="P497" s="4">
        <v>13.802144367989513</v>
      </c>
      <c r="Q497" s="4">
        <v>35.057446694693361</v>
      </c>
      <c r="R497" s="4">
        <v>664.00228133168912</v>
      </c>
      <c r="S497" s="4">
        <v>1595.7757301891108</v>
      </c>
      <c r="T497" s="4">
        <v>4228.8056850011435</v>
      </c>
      <c r="U497" s="4">
        <v>42</v>
      </c>
      <c r="V497" s="4">
        <v>0.2</v>
      </c>
      <c r="W497" s="4">
        <v>0</v>
      </c>
    </row>
    <row r="498" spans="1:34" x14ac:dyDescent="0.25">
      <c r="A498" s="4" t="s">
        <v>69</v>
      </c>
      <c r="B498" s="4" t="s">
        <v>70</v>
      </c>
      <c r="C498" s="4">
        <v>9</v>
      </c>
      <c r="D498" s="4">
        <v>1</v>
      </c>
      <c r="E498" s="4">
        <v>9</v>
      </c>
      <c r="F498" s="4">
        <v>372.74693589999998</v>
      </c>
      <c r="G498" s="4">
        <v>987.77937999999995</v>
      </c>
      <c r="H498" s="4">
        <v>155.1</v>
      </c>
      <c r="I498" s="4">
        <v>0.15509999999999999</v>
      </c>
      <c r="J498" s="4">
        <v>1.551E-4</v>
      </c>
      <c r="K498" s="4">
        <v>0.341936562</v>
      </c>
      <c r="L498" s="4">
        <v>0.01</v>
      </c>
      <c r="M498" s="4">
        <v>2.9</v>
      </c>
      <c r="N498" s="4">
        <v>27.86368495</v>
      </c>
      <c r="O498" s="4">
        <v>0.57985818507813769</v>
      </c>
      <c r="P498" s="4">
        <v>13.161339541113493</v>
      </c>
      <c r="Q498" s="4">
        <v>33.429802434428275</v>
      </c>
      <c r="R498" s="4">
        <v>263.01956122966209</v>
      </c>
      <c r="S498" s="4">
        <v>632.10661194343209</v>
      </c>
      <c r="T498" s="4">
        <v>1675.082521650095</v>
      </c>
      <c r="U498" s="4">
        <v>37.700000000000003</v>
      </c>
      <c r="V498" s="4">
        <v>0.24199999999999999</v>
      </c>
      <c r="W498" s="4">
        <v>0</v>
      </c>
    </row>
    <row r="499" spans="1:34" x14ac:dyDescent="0.25">
      <c r="A499" s="2" t="s">
        <v>71</v>
      </c>
      <c r="B499" s="4" t="s">
        <v>72</v>
      </c>
      <c r="C499" s="4">
        <v>9</v>
      </c>
      <c r="D499" s="4">
        <v>1</v>
      </c>
      <c r="E499" s="4">
        <v>9</v>
      </c>
      <c r="F499" s="4">
        <v>5.1429944729999999</v>
      </c>
      <c r="G499" s="4">
        <v>13.628935350000001</v>
      </c>
      <c r="H499" s="4">
        <v>2.1400000002152995</v>
      </c>
      <c r="I499" s="4">
        <v>2.1400000002152995E-3</v>
      </c>
      <c r="J499" s="4">
        <v>2.1400000002152995E-6</v>
      </c>
      <c r="K499" s="4">
        <v>4.7178868004746528E-3</v>
      </c>
      <c r="L499" s="3">
        <v>1.0999999999999999E-2</v>
      </c>
      <c r="M499" s="3">
        <v>3.01</v>
      </c>
      <c r="N499" s="4">
        <v>5.7606583930870281</v>
      </c>
      <c r="O499" s="4">
        <v>1.5187121066583507E-2</v>
      </c>
      <c r="P499" s="4">
        <v>3.3444043836585813</v>
      </c>
      <c r="Q499" s="4">
        <v>8.4947871344927961</v>
      </c>
      <c r="R499" s="2">
        <v>6.8887704305429089</v>
      </c>
      <c r="S499" s="2">
        <v>16.555564601160558</v>
      </c>
      <c r="T499" s="2">
        <v>43.872246193075476</v>
      </c>
      <c r="U499" s="4">
        <v>9</v>
      </c>
      <c r="V499" s="4">
        <v>0.32</v>
      </c>
      <c r="W499" s="4">
        <v>0</v>
      </c>
    </row>
    <row r="500" spans="1:34" x14ac:dyDescent="0.25">
      <c r="A500" s="4" t="s">
        <v>73</v>
      </c>
      <c r="B500" s="4" t="s">
        <v>74</v>
      </c>
      <c r="C500" s="4">
        <v>9</v>
      </c>
      <c r="D500" s="4">
        <v>2</v>
      </c>
      <c r="E500" s="4">
        <v>18</v>
      </c>
      <c r="F500" s="4">
        <v>2643.5952900000002</v>
      </c>
      <c r="G500" s="4">
        <v>7005.5275179999999</v>
      </c>
      <c r="H500" s="4">
        <v>1100</v>
      </c>
      <c r="I500" s="4">
        <v>1.1000000000000001</v>
      </c>
      <c r="J500" s="4">
        <v>1.1000000000000001E-3</v>
      </c>
      <c r="K500" s="4">
        <v>2.4250820000000002</v>
      </c>
      <c r="L500" s="4">
        <v>1.4E-2</v>
      </c>
      <c r="M500" s="4">
        <v>2.8</v>
      </c>
      <c r="N500" s="4">
        <v>56.015575650000002</v>
      </c>
      <c r="O500" s="4">
        <v>1.1560013370918456</v>
      </c>
      <c r="P500" s="4">
        <v>16.926139316221878</v>
      </c>
      <c r="Q500" s="4">
        <v>42.992393863203567</v>
      </c>
      <c r="R500" s="4">
        <v>524.35400980297993</v>
      </c>
      <c r="S500" s="4">
        <v>1260.1634458134583</v>
      </c>
      <c r="T500" s="4">
        <v>3339.4331314056644</v>
      </c>
      <c r="U500" s="4">
        <v>43</v>
      </c>
      <c r="V500" s="4">
        <v>0.48</v>
      </c>
      <c r="W500" s="4">
        <v>0</v>
      </c>
    </row>
    <row r="501" spans="1:34" x14ac:dyDescent="0.25">
      <c r="A501" s="4" t="s">
        <v>75</v>
      </c>
      <c r="B501" s="4" t="s">
        <v>76</v>
      </c>
      <c r="C501" s="4">
        <v>9</v>
      </c>
      <c r="D501" s="4">
        <v>2</v>
      </c>
      <c r="E501" s="4">
        <v>18</v>
      </c>
      <c r="F501" s="4">
        <v>2643.5952900000002</v>
      </c>
      <c r="G501" s="4">
        <v>7005.5275179999999</v>
      </c>
      <c r="H501" s="4">
        <v>1100</v>
      </c>
      <c r="I501" s="4">
        <v>1.1000000000000001</v>
      </c>
      <c r="J501" s="4">
        <v>1.1000000000000001E-3</v>
      </c>
      <c r="K501" s="4">
        <v>2.4250820000000002</v>
      </c>
      <c r="L501" s="4">
        <v>2.5000000000000001E-3</v>
      </c>
      <c r="M501" s="4">
        <v>3.1</v>
      </c>
      <c r="N501" s="4">
        <v>66.140672339999995</v>
      </c>
      <c r="O501" s="4">
        <v>9.9296577637612291</v>
      </c>
      <c r="P501" s="4">
        <v>41.031868350559428</v>
      </c>
      <c r="Q501" s="4">
        <v>104.22094561042094</v>
      </c>
      <c r="R501" s="4">
        <v>4504.0223547646438</v>
      </c>
      <c r="S501" s="4">
        <v>10824.374801164729</v>
      </c>
      <c r="T501" s="4">
        <v>28684.593223086533</v>
      </c>
      <c r="U501" s="4">
        <v>122</v>
      </c>
      <c r="V501" s="4">
        <v>0.107</v>
      </c>
      <c r="W501" s="4">
        <v>0</v>
      </c>
      <c r="AA501" s="2"/>
      <c r="AB501" s="2"/>
    </row>
    <row r="502" spans="1:34" x14ac:dyDescent="0.25">
      <c r="A502" s="4" t="s">
        <v>77</v>
      </c>
      <c r="B502" s="4" t="s">
        <v>78</v>
      </c>
      <c r="C502" s="4">
        <v>9</v>
      </c>
      <c r="D502" s="4">
        <v>3</v>
      </c>
      <c r="E502" s="4">
        <v>27</v>
      </c>
      <c r="F502" s="4">
        <v>185026.83429999999</v>
      </c>
      <c r="G502" s="4">
        <v>490321.11090000003</v>
      </c>
      <c r="H502" s="4">
        <v>76989.66575</v>
      </c>
      <c r="I502" s="4">
        <v>76.98966575</v>
      </c>
      <c r="J502" s="4">
        <v>7.6989665999999998E-2</v>
      </c>
      <c r="K502" s="4">
        <v>169.7329569</v>
      </c>
      <c r="L502" s="4">
        <v>3.5000000000000003E-2</v>
      </c>
      <c r="M502" s="4">
        <v>2.9</v>
      </c>
      <c r="N502" s="4">
        <v>153.8233281</v>
      </c>
      <c r="O502" s="4">
        <v>409.4922968603928</v>
      </c>
      <c r="P502" s="4">
        <v>82.049887512806976</v>
      </c>
      <c r="Q502" s="4">
        <v>208.40671428252972</v>
      </c>
      <c r="R502" s="2">
        <v>185742.80232438823</v>
      </c>
      <c r="S502" s="2">
        <v>446389.81572792178</v>
      </c>
      <c r="T502" s="2">
        <v>1182933.0116789928</v>
      </c>
      <c r="U502" s="4">
        <v>208.40700000000004</v>
      </c>
      <c r="V502" s="4">
        <v>0.5</v>
      </c>
      <c r="W502" s="4">
        <v>0</v>
      </c>
    </row>
    <row r="503" spans="1:34" x14ac:dyDescent="0.25">
      <c r="A503" s="4" t="s">
        <v>79</v>
      </c>
      <c r="B503" s="4" t="s">
        <v>80</v>
      </c>
      <c r="C503" s="4">
        <v>9</v>
      </c>
      <c r="D503" s="4">
        <v>2</v>
      </c>
      <c r="E503" s="4">
        <v>18</v>
      </c>
      <c r="F503" s="4">
        <v>4109.5890410000002</v>
      </c>
      <c r="G503" s="4">
        <v>10890.410959999999</v>
      </c>
      <c r="H503" s="4">
        <v>1710</v>
      </c>
      <c r="I503" s="4">
        <v>1.71</v>
      </c>
      <c r="J503" s="4">
        <v>1.7099999999999999E-3</v>
      </c>
      <c r="K503" s="4">
        <v>3.7699001999999999</v>
      </c>
      <c r="L503" s="4">
        <v>3.3999999999999998E-3</v>
      </c>
      <c r="M503" s="4">
        <v>3.2850000000000001</v>
      </c>
      <c r="N503" s="4">
        <v>40.375415799999999</v>
      </c>
      <c r="O503" s="4">
        <v>4.417210160077591</v>
      </c>
      <c r="P503" s="4">
        <v>22.476939785953814</v>
      </c>
      <c r="Q503" s="4">
        <v>57.091427056322686</v>
      </c>
      <c r="R503" s="4">
        <v>2003.6152080982622</v>
      </c>
      <c r="S503" s="4">
        <v>4815.2252057156029</v>
      </c>
      <c r="T503" s="4">
        <v>12760.346795146348</v>
      </c>
      <c r="U503" s="4">
        <v>59.9</v>
      </c>
      <c r="V503" s="4">
        <v>0.17</v>
      </c>
      <c r="W503" s="4">
        <v>0</v>
      </c>
    </row>
    <row r="504" spans="1:34" x14ac:dyDescent="0.25">
      <c r="A504" s="4" t="s">
        <v>81</v>
      </c>
      <c r="B504" s="4" t="s">
        <v>82</v>
      </c>
      <c r="C504" s="4">
        <v>9</v>
      </c>
      <c r="D504" s="4">
        <v>2</v>
      </c>
      <c r="E504" s="4">
        <v>18</v>
      </c>
      <c r="F504" s="4">
        <v>2643.5952900000002</v>
      </c>
      <c r="G504" s="4">
        <v>7005.5275179999999</v>
      </c>
      <c r="H504" s="4">
        <v>1100</v>
      </c>
      <c r="I504" s="4">
        <v>1.1000000000000001</v>
      </c>
      <c r="J504" s="4">
        <v>1.1000000000000001E-3</v>
      </c>
      <c r="K504" s="4">
        <v>2.4250820000000002</v>
      </c>
      <c r="L504" s="4">
        <v>1.4999999999999999E-2</v>
      </c>
      <c r="M504" s="4">
        <v>3</v>
      </c>
      <c r="N504" s="4">
        <v>41.85690786</v>
      </c>
      <c r="O504" s="4">
        <v>34.101605570848228</v>
      </c>
      <c r="P504" s="4">
        <v>39.775552876646145</v>
      </c>
      <c r="Q504" s="4">
        <v>101.02990430668122</v>
      </c>
      <c r="R504" s="4">
        <v>15468.246487307668</v>
      </c>
      <c r="S504" s="4">
        <v>37174.3486837483</v>
      </c>
      <c r="T504" s="4">
        <v>98512.024011932997</v>
      </c>
      <c r="U504" s="4">
        <v>106</v>
      </c>
      <c r="V504" s="4">
        <v>0.17</v>
      </c>
      <c r="W504" s="4">
        <v>0</v>
      </c>
    </row>
    <row r="505" spans="1:34" x14ac:dyDescent="0.25">
      <c r="A505" s="4" t="s">
        <v>83</v>
      </c>
      <c r="B505" s="4" t="s">
        <v>84</v>
      </c>
      <c r="C505" s="4">
        <v>9</v>
      </c>
      <c r="D505" s="4">
        <v>7</v>
      </c>
      <c r="E505" s="4">
        <v>63</v>
      </c>
      <c r="F505" s="4">
        <v>64280.782099999997</v>
      </c>
      <c r="G505" s="4">
        <v>170344.27299999999</v>
      </c>
      <c r="H505" s="4">
        <v>26747.23343</v>
      </c>
      <c r="I505" s="4">
        <v>26.747233430000001</v>
      </c>
      <c r="J505" s="4">
        <v>2.6747232999999999E-2</v>
      </c>
      <c r="K505" s="4">
        <v>58.967485770000003</v>
      </c>
      <c r="L505" s="4">
        <v>5.4000000000000003E-3</v>
      </c>
      <c r="M505" s="4">
        <v>3</v>
      </c>
      <c r="N505" s="4">
        <v>170.46231</v>
      </c>
      <c r="O505" s="4">
        <v>260.81235998792533</v>
      </c>
      <c r="P505" s="4">
        <v>110.16234500515094</v>
      </c>
      <c r="Q505" s="4">
        <v>279.8123563130834</v>
      </c>
      <c r="R505" s="4">
        <v>118302.63718369848</v>
      </c>
      <c r="S505" s="4">
        <v>284312.99491395935</v>
      </c>
      <c r="T505" s="4">
        <v>753429.4365219922</v>
      </c>
      <c r="U505" s="4">
        <v>280</v>
      </c>
      <c r="V505" s="4">
        <v>0.11600000000000001</v>
      </c>
      <c r="W505" s="4">
        <v>0</v>
      </c>
    </row>
    <row r="506" spans="1:34" x14ac:dyDescent="0.25">
      <c r="A506" s="4" t="s">
        <v>85</v>
      </c>
      <c r="B506" s="4" t="s">
        <v>86</v>
      </c>
      <c r="C506" s="4">
        <v>9</v>
      </c>
      <c r="D506" s="4">
        <v>7</v>
      </c>
      <c r="E506" s="4">
        <v>63</v>
      </c>
      <c r="F506" s="4">
        <v>64280.782099999997</v>
      </c>
      <c r="G506" s="4">
        <v>170344.27299999999</v>
      </c>
      <c r="H506" s="4">
        <v>26747.23343</v>
      </c>
      <c r="I506" s="4">
        <v>26.747233430000001</v>
      </c>
      <c r="J506" s="4">
        <v>2.6747232999999999E-2</v>
      </c>
      <c r="K506" s="4">
        <v>58.967485770000003</v>
      </c>
      <c r="L506" s="4">
        <v>5.2399999999999999E-3</v>
      </c>
      <c r="M506" s="4">
        <v>3.141</v>
      </c>
      <c r="N506" s="4">
        <v>136.64977099999999</v>
      </c>
      <c r="O506" s="4">
        <v>765.52003667905785</v>
      </c>
      <c r="P506" s="4">
        <v>121.68315042698129</v>
      </c>
      <c r="Q506" s="4">
        <v>309.07520208453246</v>
      </c>
      <c r="R506" s="2">
        <v>347234.46066853148</v>
      </c>
      <c r="S506" s="2">
        <v>834497.62237089989</v>
      </c>
      <c r="T506" s="2">
        <v>2211418.6992828846</v>
      </c>
      <c r="U506" s="4">
        <v>309.24444444444441</v>
      </c>
      <c r="V506" s="4">
        <v>0.13655555555555554</v>
      </c>
      <c r="W506" s="4">
        <v>8</v>
      </c>
    </row>
    <row r="507" spans="1:34" x14ac:dyDescent="0.25">
      <c r="A507" s="4" t="s">
        <v>87</v>
      </c>
      <c r="B507" s="4" t="s">
        <v>88</v>
      </c>
      <c r="C507" s="4">
        <v>9</v>
      </c>
      <c r="D507" s="4">
        <v>2</v>
      </c>
      <c r="E507" s="4">
        <v>18</v>
      </c>
      <c r="F507" s="4">
        <v>2643.5952900000002</v>
      </c>
      <c r="G507" s="4">
        <v>7005.5275179999999</v>
      </c>
      <c r="H507" s="4">
        <v>1100</v>
      </c>
      <c r="I507" s="4">
        <v>1.1000000000000001</v>
      </c>
      <c r="J507" s="4">
        <v>1.1000000000000001E-3</v>
      </c>
      <c r="K507" s="4">
        <v>2.4250820000000002</v>
      </c>
      <c r="L507" s="4">
        <v>6.0000000000000001E-3</v>
      </c>
      <c r="M507" s="4">
        <v>3.1</v>
      </c>
      <c r="N507" s="4">
        <v>49.867755070000001</v>
      </c>
      <c r="O507" s="4">
        <v>0.71561051185720059</v>
      </c>
      <c r="P507" s="4">
        <v>13.243486143570891</v>
      </c>
      <c r="Q507" s="4">
        <v>33.638454804670062</v>
      </c>
      <c r="R507" s="4">
        <v>324.59585409603494</v>
      </c>
      <c r="S507" s="4">
        <v>780.09097355451797</v>
      </c>
      <c r="T507" s="4">
        <v>2067.2410799194727</v>
      </c>
      <c r="U507" s="4">
        <v>40.299999999999997</v>
      </c>
      <c r="V507" s="4">
        <v>0.1</v>
      </c>
      <c r="W507" s="4">
        <v>0</v>
      </c>
    </row>
    <row r="508" spans="1:34" x14ac:dyDescent="0.25">
      <c r="A508" s="4" t="s">
        <v>89</v>
      </c>
      <c r="B508" s="4" t="s">
        <v>90</v>
      </c>
      <c r="C508" s="4">
        <v>9</v>
      </c>
      <c r="D508" s="4">
        <v>8</v>
      </c>
      <c r="E508" s="4">
        <v>72</v>
      </c>
      <c r="F508" s="4">
        <v>84000</v>
      </c>
      <c r="G508" s="4">
        <v>223000</v>
      </c>
      <c r="H508" s="4">
        <v>34952.400000000001</v>
      </c>
      <c r="I508" s="4">
        <v>34.952399999999997</v>
      </c>
      <c r="J508" s="4">
        <v>3.4952400000000002E-2</v>
      </c>
      <c r="K508" s="4">
        <v>77.056760089999997</v>
      </c>
      <c r="L508" s="2">
        <v>0.05</v>
      </c>
      <c r="M508" s="2">
        <v>3.2</v>
      </c>
      <c r="N508" s="4">
        <v>205.2001631</v>
      </c>
      <c r="O508" s="4">
        <v>424.66854396014895</v>
      </c>
      <c r="P508" s="4">
        <v>44.999948469542133</v>
      </c>
      <c r="Q508" s="4">
        <v>114.29986911263701</v>
      </c>
      <c r="R508" s="4">
        <v>192626.64040068083</v>
      </c>
      <c r="S508" s="4">
        <v>462933.52655775257</v>
      </c>
      <c r="T508" s="4">
        <v>1226773.8453780443</v>
      </c>
      <c r="U508" s="4">
        <v>114.3</v>
      </c>
      <c r="V508" s="4">
        <v>0.19</v>
      </c>
      <c r="W508" s="4">
        <v>0</v>
      </c>
    </row>
    <row r="509" spans="1:34" x14ac:dyDescent="0.25">
      <c r="A509" s="4" t="s">
        <v>91</v>
      </c>
      <c r="B509" s="4" t="s">
        <v>92</v>
      </c>
      <c r="C509" s="4">
        <v>9</v>
      </c>
      <c r="D509" s="4">
        <v>2</v>
      </c>
      <c r="E509" s="4">
        <v>18</v>
      </c>
      <c r="F509" s="4">
        <v>2643.5952900000002</v>
      </c>
      <c r="G509" s="4">
        <v>7005.5275179999999</v>
      </c>
      <c r="H509" s="4">
        <v>1100</v>
      </c>
      <c r="I509" s="4">
        <v>1.1000000000000001</v>
      </c>
      <c r="J509" s="4">
        <v>1.1000000000000001E-3</v>
      </c>
      <c r="K509" s="4">
        <v>2.4250820000000002</v>
      </c>
      <c r="L509" s="4">
        <v>1.2999999999999999E-2</v>
      </c>
      <c r="M509" s="4">
        <v>3</v>
      </c>
      <c r="N509" s="4">
        <v>43.901879260000001</v>
      </c>
      <c r="O509" s="4">
        <v>5.658917770664913</v>
      </c>
      <c r="P509" s="4">
        <v>22.925476935697247</v>
      </c>
      <c r="Q509" s="4">
        <v>58.230711416671014</v>
      </c>
      <c r="R509" s="4">
        <v>2566.8449758529418</v>
      </c>
      <c r="S509" s="4">
        <v>6168.8175338931551</v>
      </c>
      <c r="T509" s="4">
        <v>16347.36646481686</v>
      </c>
      <c r="U509" s="4">
        <v>60.2</v>
      </c>
      <c r="V509" s="4">
        <v>0.19</v>
      </c>
      <c r="W509" s="4">
        <v>0</v>
      </c>
    </row>
    <row r="510" spans="1:34" x14ac:dyDescent="0.25">
      <c r="A510" s="4" t="s">
        <v>93</v>
      </c>
      <c r="B510" s="4" t="s">
        <v>94</v>
      </c>
      <c r="C510" s="4">
        <v>9</v>
      </c>
      <c r="D510" s="4">
        <v>9</v>
      </c>
      <c r="E510" s="4">
        <v>81</v>
      </c>
      <c r="F510" s="4">
        <v>1772528862</v>
      </c>
      <c r="G510" s="4">
        <v>4697201484</v>
      </c>
      <c r="H510" s="4">
        <v>737549259.5</v>
      </c>
      <c r="I510" s="4">
        <v>737549.25950000004</v>
      </c>
      <c r="J510" s="4">
        <v>737.54925949999995</v>
      </c>
      <c r="K510" s="4">
        <v>1626015.848</v>
      </c>
      <c r="L510" s="2">
        <v>1.7000000000000001E-2</v>
      </c>
      <c r="M510" s="4">
        <v>3</v>
      </c>
      <c r="N510" s="4">
        <v>1544.971047</v>
      </c>
      <c r="O510" s="4">
        <v>149223.62338862984</v>
      </c>
      <c r="P510" s="4">
        <v>623.99999899833767</v>
      </c>
      <c r="Q510" s="4">
        <v>1584.9599974557777</v>
      </c>
      <c r="R510" s="2">
        <v>67686777.489376783</v>
      </c>
      <c r="S510" s="2">
        <v>162669496.48973033</v>
      </c>
      <c r="T510" s="2">
        <v>431074165.69778538</v>
      </c>
      <c r="U510" s="4">
        <v>1584.96</v>
      </c>
      <c r="V510" s="2">
        <v>0.25</v>
      </c>
      <c r="W510" s="4">
        <v>0</v>
      </c>
    </row>
    <row r="511" spans="1:34" x14ac:dyDescent="0.25">
      <c r="A511" s="4" t="s">
        <v>95</v>
      </c>
      <c r="B511" s="2" t="s">
        <v>96</v>
      </c>
      <c r="C511" s="4">
        <v>9</v>
      </c>
      <c r="D511" s="4">
        <v>2</v>
      </c>
      <c r="E511" s="4">
        <v>18</v>
      </c>
      <c r="F511" s="4">
        <v>2643.5952900000002</v>
      </c>
      <c r="G511" s="4">
        <v>7005.5275179999999</v>
      </c>
      <c r="H511" s="4">
        <v>1100</v>
      </c>
      <c r="I511" s="4">
        <v>1.1000000000000001</v>
      </c>
      <c r="J511" s="4">
        <v>1.1000000000000001E-3</v>
      </c>
      <c r="K511" s="4">
        <v>2.4250820000000002</v>
      </c>
      <c r="L511" s="4">
        <v>0.01</v>
      </c>
      <c r="M511" s="4">
        <v>3</v>
      </c>
      <c r="N511" s="4">
        <v>43.353048229999999</v>
      </c>
      <c r="O511" s="4">
        <v>51.03351009969122</v>
      </c>
      <c r="P511" s="4">
        <v>52.08030462486937</v>
      </c>
      <c r="Q511" s="4">
        <v>132.2839737471682</v>
      </c>
      <c r="R511" s="4">
        <v>23148.438324832045</v>
      </c>
      <c r="S511" s="4">
        <v>55631.911379072444</v>
      </c>
      <c r="T511" s="4">
        <v>147424.56515454198</v>
      </c>
      <c r="U511" s="4">
        <v>136</v>
      </c>
      <c r="V511" s="4">
        <v>0.2</v>
      </c>
      <c r="W511" s="4">
        <v>0</v>
      </c>
      <c r="AA511" s="8"/>
      <c r="AB511" s="8"/>
      <c r="AC511" s="8"/>
      <c r="AD511" s="8"/>
      <c r="AE511" s="8"/>
      <c r="AF511" s="8"/>
      <c r="AH511" s="8"/>
    </row>
    <row r="512" spans="1:34" x14ac:dyDescent="0.25">
      <c r="A512" s="4" t="s">
        <v>97</v>
      </c>
      <c r="B512" s="4" t="s">
        <v>98</v>
      </c>
      <c r="C512" s="4">
        <v>9</v>
      </c>
      <c r="D512" s="4">
        <v>2</v>
      </c>
      <c r="E512" s="4">
        <v>18</v>
      </c>
      <c r="F512" s="4">
        <v>27188.59073</v>
      </c>
      <c r="G512" s="4">
        <v>72049.765429999999</v>
      </c>
      <c r="H512" s="4">
        <v>11313.1726</v>
      </c>
      <c r="I512" s="4">
        <v>11.3131726</v>
      </c>
      <c r="J512" s="4">
        <v>1.1313172999999999E-2</v>
      </c>
      <c r="K512" s="4">
        <v>24.941246580000001</v>
      </c>
      <c r="L512" s="2">
        <v>6.5000000000000002E-2</v>
      </c>
      <c r="M512" s="4">
        <v>3</v>
      </c>
      <c r="N512" s="4">
        <v>82.702405010000007</v>
      </c>
      <c r="O512" s="4">
        <v>1.8835680811712319</v>
      </c>
      <c r="P512" s="4">
        <v>9.2913258446321105</v>
      </c>
      <c r="Q512" s="4">
        <v>23.599967645365563</v>
      </c>
      <c r="R512" s="4">
        <v>854.37312605856425</v>
      </c>
      <c r="S512" s="4">
        <v>2053.2879741854463</v>
      </c>
      <c r="T512" s="4">
        <v>5441.2131315914321</v>
      </c>
      <c r="U512" s="4">
        <v>23.6</v>
      </c>
      <c r="V512" s="4">
        <v>0.75</v>
      </c>
      <c r="W512" s="4">
        <v>0</v>
      </c>
      <c r="Y512" s="2"/>
      <c r="Z512" s="2"/>
    </row>
    <row r="513" spans="1:23" x14ac:dyDescent="0.25">
      <c r="A513" s="4" t="s">
        <v>99</v>
      </c>
      <c r="B513" s="4" t="s">
        <v>100</v>
      </c>
      <c r="C513" s="4">
        <v>9</v>
      </c>
      <c r="D513" s="4">
        <v>2</v>
      </c>
      <c r="E513" s="4">
        <v>18</v>
      </c>
      <c r="F513" s="4">
        <v>2643.5952900000002</v>
      </c>
      <c r="G513" s="4">
        <v>7005.5275179999999</v>
      </c>
      <c r="H513" s="4">
        <v>1100</v>
      </c>
      <c r="I513" s="4">
        <v>1.1000000000000001</v>
      </c>
      <c r="J513" s="4">
        <v>1.1000000000000001E-3</v>
      </c>
      <c r="K513" s="4">
        <v>2.4250820000000002</v>
      </c>
      <c r="L513" s="4">
        <v>1.4999999999999999E-2</v>
      </c>
      <c r="M513" s="4">
        <v>3.1</v>
      </c>
      <c r="N513" s="4">
        <v>37.106677779999998</v>
      </c>
      <c r="O513" s="4">
        <v>3.1594085870510749</v>
      </c>
      <c r="P513" s="4">
        <v>15.91022115065846</v>
      </c>
      <c r="Q513" s="4">
        <v>40.411961722672487</v>
      </c>
      <c r="R513" s="4">
        <v>1433.0853330964405</v>
      </c>
      <c r="S513" s="4">
        <v>3444.088760145255</v>
      </c>
      <c r="T513" s="4">
        <v>9126.8352143849261</v>
      </c>
      <c r="U513" s="4">
        <v>42.4</v>
      </c>
      <c r="V513" s="4">
        <v>0.17</v>
      </c>
      <c r="W513" s="4">
        <v>0</v>
      </c>
    </row>
    <row r="514" spans="1:23" x14ac:dyDescent="0.25">
      <c r="A514" s="4" t="s">
        <v>101</v>
      </c>
      <c r="B514" s="4" t="s">
        <v>102</v>
      </c>
      <c r="C514" s="4">
        <v>9</v>
      </c>
      <c r="D514" s="4">
        <v>2</v>
      </c>
      <c r="E514" s="4">
        <v>18</v>
      </c>
      <c r="F514" s="4">
        <v>2643.5952900000002</v>
      </c>
      <c r="G514" s="4">
        <v>7005.5275179999999</v>
      </c>
      <c r="H514" s="4">
        <v>1100</v>
      </c>
      <c r="I514" s="4">
        <v>1.1000000000000001</v>
      </c>
      <c r="J514" s="4">
        <v>1.1000000000000001E-3</v>
      </c>
      <c r="K514" s="4">
        <v>2.4250820000000002</v>
      </c>
      <c r="L514" s="4">
        <v>1.2E-2</v>
      </c>
      <c r="M514" s="4">
        <v>3.1</v>
      </c>
      <c r="N514" s="4">
        <v>39.87616345</v>
      </c>
      <c r="O514" s="4">
        <v>44.217272357953462</v>
      </c>
      <c r="P514" s="4">
        <v>40.050732543424154</v>
      </c>
      <c r="Q514" s="4">
        <v>101.72886066029736</v>
      </c>
      <c r="R514" s="2">
        <v>20056.641216152198</v>
      </c>
      <c r="S514" s="2">
        <v>48201.49294917615</v>
      </c>
      <c r="T514" s="2">
        <v>127733.9563153168</v>
      </c>
      <c r="U514" s="4">
        <v>150.03333333333333</v>
      </c>
      <c r="V514" s="4">
        <v>0.11333333333333334</v>
      </c>
      <c r="W514" s="4">
        <v>8</v>
      </c>
    </row>
    <row r="515" spans="1:23" x14ac:dyDescent="0.25">
      <c r="A515" s="4" t="s">
        <v>103</v>
      </c>
      <c r="B515" s="4" t="s">
        <v>104</v>
      </c>
      <c r="C515" s="4">
        <v>9</v>
      </c>
      <c r="D515" s="4">
        <v>1</v>
      </c>
      <c r="E515" s="4">
        <v>9</v>
      </c>
      <c r="F515" s="4">
        <v>3845.2295119999999</v>
      </c>
      <c r="G515" s="4">
        <v>10189.85821</v>
      </c>
      <c r="H515" s="4">
        <v>1600</v>
      </c>
      <c r="I515" s="4">
        <v>1.6</v>
      </c>
      <c r="J515" s="4">
        <v>1.6000000000000001E-3</v>
      </c>
      <c r="K515" s="4">
        <v>3.5273919999999999</v>
      </c>
      <c r="L515" s="4">
        <v>1.2999999999999999E-2</v>
      </c>
      <c r="M515" s="4">
        <v>2.8</v>
      </c>
      <c r="N515" s="4">
        <v>65.753704429999999</v>
      </c>
      <c r="O515" s="4">
        <v>1.8738577039644053</v>
      </c>
      <c r="P515" s="4">
        <v>20.652529559028189</v>
      </c>
      <c r="Q515" s="4">
        <v>52.457425079931603</v>
      </c>
      <c r="R515" s="4">
        <v>849.96856780960229</v>
      </c>
      <c r="S515" s="4">
        <v>2042.7026383311756</v>
      </c>
      <c r="T515" s="4">
        <v>5413.1619915776155</v>
      </c>
      <c r="U515" s="4">
        <v>65.400000000000006</v>
      </c>
      <c r="V515" s="4">
        <v>0.18</v>
      </c>
      <c r="W515" s="4">
        <v>0</v>
      </c>
    </row>
    <row r="516" spans="1:23" x14ac:dyDescent="0.25">
      <c r="A516" s="2" t="s">
        <v>105</v>
      </c>
      <c r="B516" s="4" t="s">
        <v>700</v>
      </c>
      <c r="C516" s="4">
        <v>9</v>
      </c>
      <c r="D516" s="4">
        <v>3</v>
      </c>
      <c r="E516" s="4">
        <v>27</v>
      </c>
      <c r="F516" s="4">
        <v>30000</v>
      </c>
      <c r="G516" s="4">
        <v>79500</v>
      </c>
      <c r="H516" s="4">
        <v>12483</v>
      </c>
      <c r="I516" s="4">
        <v>12.483000000000001</v>
      </c>
      <c r="J516" s="4">
        <v>1.2483000000000001E-2</v>
      </c>
      <c r="K516" s="4">
        <v>27.512532000000004</v>
      </c>
      <c r="L516" s="3">
        <v>1.2699999999999999E-2</v>
      </c>
      <c r="M516" s="3">
        <v>3.1</v>
      </c>
      <c r="N516" s="4">
        <v>85.717488006455042</v>
      </c>
      <c r="O516" s="4">
        <v>56.21057907277568</v>
      </c>
      <c r="P516" s="4">
        <v>42.490227472605369</v>
      </c>
      <c r="Q516" s="4">
        <v>107.92517778041764</v>
      </c>
      <c r="R516" s="2">
        <v>25496.720102682404</v>
      </c>
      <c r="S516" s="2">
        <v>61275.462875949052</v>
      </c>
      <c r="T516" s="2">
        <v>162379.97662126497</v>
      </c>
      <c r="U516" s="4">
        <v>109.97499999999999</v>
      </c>
      <c r="V516" s="4">
        <v>0.14750000000000002</v>
      </c>
      <c r="W516" s="4">
        <v>0</v>
      </c>
    </row>
    <row r="517" spans="1:23" x14ac:dyDescent="0.25">
      <c r="A517" s="4" t="s">
        <v>107</v>
      </c>
      <c r="B517" s="4" t="s">
        <v>108</v>
      </c>
      <c r="C517" s="4">
        <v>9</v>
      </c>
      <c r="D517" s="4">
        <v>5</v>
      </c>
      <c r="E517" s="4">
        <v>45</v>
      </c>
      <c r="F517" s="4">
        <v>7678.7389750000002</v>
      </c>
      <c r="G517" s="4">
        <v>20348.65828</v>
      </c>
      <c r="H517" s="4">
        <v>3195.1232869999999</v>
      </c>
      <c r="I517" s="4">
        <v>3.1951232869999999</v>
      </c>
      <c r="J517" s="4">
        <v>3.1951229999999998E-3</v>
      </c>
      <c r="K517" s="4">
        <v>7.044032702</v>
      </c>
      <c r="L517" s="4">
        <v>3.5999999999999999E-3</v>
      </c>
      <c r="M517" s="4">
        <v>3</v>
      </c>
      <c r="N517" s="4">
        <v>96.101103210000005</v>
      </c>
      <c r="O517" s="4">
        <v>15.132110813682905</v>
      </c>
      <c r="P517" s="4">
        <v>48.818830709083976</v>
      </c>
      <c r="Q517" s="4">
        <v>123.99983000107329</v>
      </c>
      <c r="R517" s="4">
        <v>6863.818169880934</v>
      </c>
      <c r="S517" s="4">
        <v>16495.597620478093</v>
      </c>
      <c r="T517" s="4">
        <v>43713.333694266941</v>
      </c>
      <c r="U517" s="4">
        <v>124</v>
      </c>
      <c r="V517" s="4">
        <v>0.3</v>
      </c>
      <c r="W517" s="4">
        <v>0</v>
      </c>
    </row>
    <row r="518" spans="1:23" x14ac:dyDescent="0.25">
      <c r="A518" s="4" t="s">
        <v>109</v>
      </c>
      <c r="B518" s="4" t="s">
        <v>110</v>
      </c>
      <c r="C518" s="4">
        <v>9</v>
      </c>
      <c r="D518" s="4">
        <v>5</v>
      </c>
      <c r="E518" s="4">
        <v>45</v>
      </c>
      <c r="F518" s="4">
        <v>7678.7389750000002</v>
      </c>
      <c r="G518" s="4">
        <v>20348.65828</v>
      </c>
      <c r="H518" s="4">
        <v>3195.1232869999999</v>
      </c>
      <c r="I518" s="4">
        <v>3.1951232869999999</v>
      </c>
      <c r="J518" s="4">
        <v>3.1951229999999998E-3</v>
      </c>
      <c r="K518" s="4">
        <v>7.044032702</v>
      </c>
      <c r="L518" s="4">
        <v>4.3E-3</v>
      </c>
      <c r="M518" s="4">
        <v>3.1</v>
      </c>
      <c r="N518" s="4">
        <v>78.320806329999996</v>
      </c>
      <c r="O518" s="4">
        <v>246.16724255654387</v>
      </c>
      <c r="P518" s="4">
        <v>97.032511242137858</v>
      </c>
      <c r="Q518" s="4">
        <v>246.46257855503018</v>
      </c>
      <c r="R518" s="4">
        <v>111659.71575897155</v>
      </c>
      <c r="S518" s="4">
        <v>268348.27147073188</v>
      </c>
      <c r="T518" s="4">
        <v>711122.91939743946</v>
      </c>
      <c r="U518" s="4">
        <v>267</v>
      </c>
      <c r="V518" s="4">
        <v>5.7000000000000002E-2</v>
      </c>
      <c r="W518" s="4">
        <v>0</v>
      </c>
    </row>
    <row r="519" spans="1:23" x14ac:dyDescent="0.25">
      <c r="A519" s="4" t="s">
        <v>111</v>
      </c>
      <c r="B519" s="4" t="s">
        <v>112</v>
      </c>
      <c r="C519" s="4">
        <v>9</v>
      </c>
      <c r="D519" s="4">
        <v>2</v>
      </c>
      <c r="E519" s="4">
        <v>18</v>
      </c>
      <c r="F519" s="4">
        <v>2643.5952900000002</v>
      </c>
      <c r="G519" s="4">
        <v>7005.5275179999999</v>
      </c>
      <c r="H519" s="4">
        <v>1100</v>
      </c>
      <c r="I519" s="4">
        <v>1.1000000000000001</v>
      </c>
      <c r="J519" s="4">
        <v>1.1000000000000001E-3</v>
      </c>
      <c r="K519" s="4">
        <v>2.4250820000000002</v>
      </c>
      <c r="L519" s="4">
        <v>1.2200000000000001E-2</v>
      </c>
      <c r="M519" s="4">
        <v>2.9</v>
      </c>
      <c r="N519" s="4">
        <v>51.12484671</v>
      </c>
      <c r="O519" s="4">
        <v>20.457852082609612</v>
      </c>
      <c r="P519" s="4">
        <v>41.990855039268851</v>
      </c>
      <c r="Q519" s="4">
        <v>106.65677179974288</v>
      </c>
      <c r="R519" s="4">
        <v>9279.5366469548553</v>
      </c>
      <c r="S519" s="4">
        <v>22301.217608639403</v>
      </c>
      <c r="T519" s="4">
        <v>59098.226662894413</v>
      </c>
      <c r="U519" s="4">
        <v>113</v>
      </c>
      <c r="V519" s="4">
        <v>0.16</v>
      </c>
      <c r="W519" s="4">
        <v>0</v>
      </c>
    </row>
    <row r="520" spans="1:23" x14ac:dyDescent="0.25">
      <c r="A520" s="4" t="s">
        <v>113</v>
      </c>
      <c r="B520" s="4" t="s">
        <v>114</v>
      </c>
      <c r="C520" s="4">
        <v>9</v>
      </c>
      <c r="D520" s="4">
        <v>2</v>
      </c>
      <c r="E520" s="4">
        <v>18</v>
      </c>
      <c r="F520" s="4">
        <v>4109.5890410000002</v>
      </c>
      <c r="G520" s="4">
        <v>10890.410959999999</v>
      </c>
      <c r="H520" s="4">
        <v>1710</v>
      </c>
      <c r="I520" s="4">
        <v>1.71</v>
      </c>
      <c r="J520" s="4">
        <v>1.7099999999999999E-3</v>
      </c>
      <c r="K520" s="4">
        <v>3.7699001999999999</v>
      </c>
      <c r="L520" s="4">
        <v>1.2E-2</v>
      </c>
      <c r="M520" s="4">
        <v>3.05</v>
      </c>
      <c r="N520" s="4">
        <v>48.952555150000002</v>
      </c>
      <c r="O520" s="4">
        <v>19.645946752033446</v>
      </c>
      <c r="P520" s="4">
        <v>33.113490577312625</v>
      </c>
      <c r="Q520" s="4">
        <v>84.108266066374071</v>
      </c>
      <c r="R520" s="4">
        <v>8911.2621458725062</v>
      </c>
      <c r="S520" s="4">
        <v>21416.155121058655</v>
      </c>
      <c r="T520" s="4">
        <v>56752.81107080543</v>
      </c>
      <c r="U520" s="4">
        <v>85.9</v>
      </c>
      <c r="V520" s="4">
        <v>0.215</v>
      </c>
      <c r="W520" s="4">
        <v>0</v>
      </c>
    </row>
    <row r="521" spans="1:23" x14ac:dyDescent="0.25">
      <c r="A521" s="4" t="s">
        <v>115</v>
      </c>
      <c r="B521" s="4" t="s">
        <v>116</v>
      </c>
      <c r="C521" s="4">
        <v>9</v>
      </c>
      <c r="D521" s="4">
        <v>7</v>
      </c>
      <c r="E521" s="4">
        <v>63</v>
      </c>
      <c r="F521" s="4">
        <v>9236057.7970000003</v>
      </c>
      <c r="G521" s="4">
        <v>24475553.16</v>
      </c>
      <c r="H521" s="4">
        <v>3843123.6490000002</v>
      </c>
      <c r="I521" s="4">
        <v>3843.1236490000001</v>
      </c>
      <c r="J521" s="4">
        <v>3.8431236489999998</v>
      </c>
      <c r="K521" s="4">
        <v>8472.6272599999993</v>
      </c>
      <c r="L521" s="2">
        <v>1.4999999999999999E-2</v>
      </c>
      <c r="M521" s="4">
        <v>3</v>
      </c>
      <c r="N521" s="4">
        <v>727.04526869999995</v>
      </c>
      <c r="O521" s="4">
        <v>663.86121532626191</v>
      </c>
      <c r="P521" s="4">
        <v>106.99998453871136</v>
      </c>
      <c r="Q521" s="4">
        <v>271.77996072832684</v>
      </c>
      <c r="R521" s="2">
        <v>301122.74012131884</v>
      </c>
      <c r="S521" s="2">
        <v>723678.77943119162</v>
      </c>
      <c r="T521" s="2">
        <v>1917748.7654926577</v>
      </c>
      <c r="U521" s="4">
        <v>271.77999999999997</v>
      </c>
      <c r="V521" s="4">
        <v>0.25</v>
      </c>
      <c r="W521" s="4">
        <v>0</v>
      </c>
    </row>
    <row r="522" spans="1:23" x14ac:dyDescent="0.25">
      <c r="A522" s="4" t="s">
        <v>117</v>
      </c>
      <c r="B522" s="4" t="s">
        <v>118</v>
      </c>
      <c r="C522" s="4">
        <v>9</v>
      </c>
      <c r="D522" s="4">
        <v>2</v>
      </c>
      <c r="E522" s="4">
        <v>18</v>
      </c>
      <c r="F522" s="4">
        <v>2643.5952900000002</v>
      </c>
      <c r="G522" s="4">
        <v>7005.5275179999999</v>
      </c>
      <c r="H522" s="4">
        <v>1100</v>
      </c>
      <c r="I522" s="4">
        <v>1.1000000000000001</v>
      </c>
      <c r="J522" s="4">
        <v>1.1000000000000001E-3</v>
      </c>
      <c r="K522" s="4">
        <v>2.4250820000000002</v>
      </c>
      <c r="L522" s="4">
        <v>1.4999999999999999E-2</v>
      </c>
      <c r="M522" s="4">
        <v>3</v>
      </c>
      <c r="N522" s="4">
        <v>41.85690786</v>
      </c>
      <c r="O522" s="4">
        <v>7.5431235484480901</v>
      </c>
      <c r="P522" s="4">
        <v>24.055165898496011</v>
      </c>
      <c r="Q522" s="4">
        <v>61.100121382179864</v>
      </c>
      <c r="R522" s="4">
        <v>3421.5073565730559</v>
      </c>
      <c r="S522" s="4">
        <v>8222.8006646792983</v>
      </c>
      <c r="T522" s="4">
        <v>21790.421761400139</v>
      </c>
      <c r="U522" s="4">
        <v>73.2</v>
      </c>
      <c r="V522" s="4">
        <v>0.1</v>
      </c>
      <c r="W522" s="4">
        <v>0</v>
      </c>
    </row>
    <row r="523" spans="1:23" x14ac:dyDescent="0.25">
      <c r="A523" s="4" t="s">
        <v>119</v>
      </c>
      <c r="B523" s="4" t="s">
        <v>120</v>
      </c>
      <c r="C523" s="4">
        <v>9</v>
      </c>
      <c r="D523" s="4">
        <v>3</v>
      </c>
      <c r="E523" s="4">
        <v>27</v>
      </c>
      <c r="F523" s="4">
        <v>188385.81349999999</v>
      </c>
      <c r="G523" s="4">
        <v>499222.4057</v>
      </c>
      <c r="H523" s="4">
        <v>78387.337</v>
      </c>
      <c r="I523" s="4">
        <v>78.387337000000002</v>
      </c>
      <c r="J523" s="4">
        <v>7.8387337000000001E-2</v>
      </c>
      <c r="K523" s="4">
        <v>172.8142909</v>
      </c>
      <c r="L523" s="4">
        <v>2.1399999999999999E-2</v>
      </c>
      <c r="M523" s="4">
        <v>2.96</v>
      </c>
      <c r="N523" s="4">
        <v>165.0102253</v>
      </c>
      <c r="O523" s="4">
        <v>91.92398124387114</v>
      </c>
      <c r="P523" s="4">
        <v>52.487829929385413</v>
      </c>
      <c r="Q523" s="4">
        <v>133.31908802063896</v>
      </c>
      <c r="R523" s="2">
        <v>41696.066099314681</v>
      </c>
      <c r="S523" s="2">
        <v>100206.83994067456</v>
      </c>
      <c r="T523" s="2">
        <v>265548.12584278756</v>
      </c>
      <c r="U523" s="4">
        <v>133.76666666666668</v>
      </c>
      <c r="V523" s="4">
        <v>0.3</v>
      </c>
      <c r="W523" s="4">
        <v>8</v>
      </c>
    </row>
    <row r="524" spans="1:23" x14ac:dyDescent="0.25">
      <c r="A524" s="4" t="s">
        <v>121</v>
      </c>
      <c r="B524" s="4" t="s">
        <v>122</v>
      </c>
      <c r="C524" s="4">
        <v>9</v>
      </c>
      <c r="D524" s="4">
        <v>7</v>
      </c>
      <c r="E524" s="4">
        <v>63</v>
      </c>
      <c r="F524" s="4">
        <v>9236057.7970000003</v>
      </c>
      <c r="G524" s="4">
        <v>24475553.16</v>
      </c>
      <c r="H524" s="4">
        <v>3843123.6490000002</v>
      </c>
      <c r="I524" s="4">
        <v>3843.1236490000001</v>
      </c>
      <c r="J524" s="4">
        <v>3.8431236489999998</v>
      </c>
      <c r="K524" s="4">
        <v>8472.6272599999993</v>
      </c>
      <c r="L524" s="2">
        <v>1E-3</v>
      </c>
      <c r="M524" s="4">
        <v>3</v>
      </c>
      <c r="N524" s="4">
        <v>727.04526869999995</v>
      </c>
      <c r="O524" s="4">
        <v>39457.288526614335</v>
      </c>
      <c r="P524" s="4">
        <v>1029.8266228456091</v>
      </c>
      <c r="Q524" s="4">
        <v>2615.7596220278474</v>
      </c>
      <c r="R524" s="2">
        <v>17897546.301228482</v>
      </c>
      <c r="S524" s="2">
        <v>43012608.270195827</v>
      </c>
      <c r="T524" s="2">
        <v>113983411.91601893</v>
      </c>
      <c r="U524" s="4">
        <v>2615.7600000000002</v>
      </c>
      <c r="V524" s="4">
        <v>0.25</v>
      </c>
      <c r="W524" s="4">
        <v>0</v>
      </c>
    </row>
    <row r="525" spans="1:23" x14ac:dyDescent="0.25">
      <c r="A525" s="4" t="s">
        <v>123</v>
      </c>
      <c r="B525" s="4" t="s">
        <v>124</v>
      </c>
      <c r="C525" s="4">
        <v>9</v>
      </c>
      <c r="D525" s="4">
        <v>2</v>
      </c>
      <c r="E525" s="4">
        <v>18</v>
      </c>
      <c r="F525" s="4">
        <v>2643.5952900000002</v>
      </c>
      <c r="G525" s="4">
        <v>7005.5275179999999</v>
      </c>
      <c r="H525" s="4">
        <v>1100</v>
      </c>
      <c r="I525" s="4">
        <v>1.1000000000000001</v>
      </c>
      <c r="J525" s="4">
        <v>1.1000000000000001E-3</v>
      </c>
      <c r="K525" s="4">
        <v>2.4250820000000002</v>
      </c>
      <c r="L525" s="4">
        <v>9.4999999999999998E-3</v>
      </c>
      <c r="M525" s="4">
        <v>3.1</v>
      </c>
      <c r="N525" s="4">
        <v>42.997344910000002</v>
      </c>
      <c r="O525" s="4">
        <v>33.191169266138274</v>
      </c>
      <c r="P525" s="4">
        <v>39.369061213688937</v>
      </c>
      <c r="Q525" s="4">
        <v>99.997415482769895</v>
      </c>
      <c r="R525" s="4">
        <v>15055.279034998446</v>
      </c>
      <c r="S525" s="4">
        <v>36181.877036766273</v>
      </c>
      <c r="T525" s="4">
        <v>95881.974147430621</v>
      </c>
      <c r="U525" s="4">
        <v>111</v>
      </c>
      <c r="V525" s="4">
        <v>0.13</v>
      </c>
      <c r="W525" s="4">
        <v>0.22</v>
      </c>
    </row>
    <row r="526" spans="1:23" x14ac:dyDescent="0.25">
      <c r="A526" s="4" t="s">
        <v>125</v>
      </c>
      <c r="B526" s="4" t="s">
        <v>126</v>
      </c>
      <c r="C526" s="4">
        <v>9</v>
      </c>
      <c r="D526" s="4">
        <v>1</v>
      </c>
      <c r="E526" s="4">
        <v>9</v>
      </c>
      <c r="F526" s="4">
        <v>21457.662420000001</v>
      </c>
      <c r="G526" s="4">
        <v>56862.805410000001</v>
      </c>
      <c r="H526" s="4">
        <v>8928.5333329999994</v>
      </c>
      <c r="I526" s="4">
        <v>8.9285333330000007</v>
      </c>
      <c r="J526" s="4">
        <v>8.9285330000000006E-3</v>
      </c>
      <c r="K526" s="4">
        <v>19.684023159999999</v>
      </c>
      <c r="L526" s="4">
        <v>1.4999999999999999E-2</v>
      </c>
      <c r="M526" s="4">
        <v>2.9</v>
      </c>
      <c r="N526" s="4">
        <v>98.010368600000007</v>
      </c>
      <c r="O526" s="4">
        <v>11.206244704065377</v>
      </c>
      <c r="P526" s="4">
        <v>31.774222943023037</v>
      </c>
      <c r="Q526" s="4">
        <v>80.70652627527852</v>
      </c>
      <c r="R526" s="4">
        <v>5083.0731391647432</v>
      </c>
      <c r="S526" s="4">
        <v>12215.989279415388</v>
      </c>
      <c r="T526" s="4">
        <v>32372.371590450777</v>
      </c>
      <c r="U526" s="4">
        <v>136</v>
      </c>
      <c r="V526" s="4">
        <v>0.1</v>
      </c>
      <c r="W526" s="4">
        <v>0</v>
      </c>
    </row>
    <row r="527" spans="1:23" x14ac:dyDescent="0.25">
      <c r="A527" s="4" t="s">
        <v>127</v>
      </c>
      <c r="B527" s="4" t="s">
        <v>128</v>
      </c>
      <c r="C527" s="4">
        <v>9</v>
      </c>
      <c r="D527" s="4">
        <v>2</v>
      </c>
      <c r="E527" s="4">
        <v>18</v>
      </c>
      <c r="F527" s="4">
        <v>4109.5890410000002</v>
      </c>
      <c r="G527" s="4">
        <v>10890.410959999999</v>
      </c>
      <c r="H527" s="4">
        <v>1710</v>
      </c>
      <c r="I527" s="4">
        <v>1.71</v>
      </c>
      <c r="J527" s="4">
        <v>1.7099999999999999E-3</v>
      </c>
      <c r="K527" s="4">
        <v>3.7699001999999999</v>
      </c>
      <c r="L527" s="4">
        <v>1.4E-2</v>
      </c>
      <c r="M527" s="4">
        <v>3</v>
      </c>
      <c r="N527" s="4">
        <v>49.616107700000001</v>
      </c>
      <c r="O527" s="4">
        <v>7.4271123861016548</v>
      </c>
      <c r="P527" s="4">
        <v>24.487945820800068</v>
      </c>
      <c r="Q527" s="4">
        <v>62.199382384832177</v>
      </c>
      <c r="R527" s="4">
        <v>3368.8855159173258</v>
      </c>
      <c r="S527" s="4">
        <v>8096.3362555090762</v>
      </c>
      <c r="T527" s="4">
        <v>21455.291077099053</v>
      </c>
      <c r="U527" s="4">
        <v>62.2</v>
      </c>
      <c r="V527" s="4">
        <v>0.64</v>
      </c>
      <c r="W527" s="4">
        <v>0</v>
      </c>
    </row>
    <row r="528" spans="1:23" x14ac:dyDescent="0.25">
      <c r="A528" s="4" t="s">
        <v>129</v>
      </c>
      <c r="B528" s="4" t="s">
        <v>130</v>
      </c>
      <c r="C528" s="4">
        <v>9</v>
      </c>
      <c r="D528" s="4">
        <v>2</v>
      </c>
      <c r="E528" s="4">
        <v>18</v>
      </c>
      <c r="F528" s="4">
        <v>2643.5952900000002</v>
      </c>
      <c r="G528" s="4">
        <v>7005.5275179999999</v>
      </c>
      <c r="H528" s="4">
        <v>1100</v>
      </c>
      <c r="I528" s="4">
        <v>1.1000000000000001</v>
      </c>
      <c r="J528" s="4">
        <v>1.1000000000000001E-3</v>
      </c>
      <c r="K528" s="4">
        <v>2.4250820000000002</v>
      </c>
      <c r="L528" s="4">
        <v>1.2500000000000001E-2</v>
      </c>
      <c r="M528" s="4">
        <v>2.88</v>
      </c>
      <c r="N528" s="4">
        <v>52.099584669999999</v>
      </c>
      <c r="O528" s="4">
        <v>9.9763005497434492</v>
      </c>
      <c r="P528" s="4">
        <v>33.518100392532268</v>
      </c>
      <c r="Q528" s="4">
        <v>85.135974997031965</v>
      </c>
      <c r="R528" s="4">
        <v>4525.1791917625033</v>
      </c>
      <c r="S528" s="4">
        <v>10875.220359919498</v>
      </c>
      <c r="T528" s="4">
        <v>28819.33395378667</v>
      </c>
      <c r="U528" s="4">
        <v>158</v>
      </c>
      <c r="V528" s="4">
        <v>4.2999999999999997E-2</v>
      </c>
      <c r="W528" s="4">
        <v>0</v>
      </c>
    </row>
    <row r="529" spans="1:23" x14ac:dyDescent="0.25">
      <c r="A529" s="4" t="s">
        <v>131</v>
      </c>
      <c r="B529" s="4" t="s">
        <v>132</v>
      </c>
      <c r="C529" s="4">
        <v>9</v>
      </c>
      <c r="D529" s="4">
        <v>2</v>
      </c>
      <c r="E529" s="4">
        <v>18</v>
      </c>
      <c r="F529" s="4">
        <v>4109.5890410000002</v>
      </c>
      <c r="G529" s="4">
        <v>10890.410959999999</v>
      </c>
      <c r="H529" s="4">
        <v>1710</v>
      </c>
      <c r="I529" s="4">
        <v>1.71</v>
      </c>
      <c r="J529" s="4">
        <v>1.7099999999999999E-3</v>
      </c>
      <c r="K529" s="4">
        <v>3.7699001999999999</v>
      </c>
      <c r="L529" s="4">
        <v>1.4E-2</v>
      </c>
      <c r="M529" s="4">
        <v>2.9</v>
      </c>
      <c r="N529" s="4">
        <v>56.766542010000002</v>
      </c>
      <c r="O529" s="4">
        <v>1.8549273239369155</v>
      </c>
      <c r="P529" s="4">
        <v>17.50051412762155</v>
      </c>
      <c r="Q529" s="4">
        <v>44.451305884158735</v>
      </c>
      <c r="R529" s="4">
        <v>841.38188165621079</v>
      </c>
      <c r="S529" s="4">
        <v>2022.0665264508791</v>
      </c>
      <c r="T529" s="4">
        <v>5358.4762950948298</v>
      </c>
      <c r="U529" s="4">
        <v>45.7</v>
      </c>
      <c r="V529" s="4">
        <v>0.2</v>
      </c>
      <c r="W529" s="4">
        <v>0</v>
      </c>
    </row>
    <row r="530" spans="1:23" x14ac:dyDescent="0.25">
      <c r="A530" s="4" t="s">
        <v>133</v>
      </c>
      <c r="B530" s="4" t="s">
        <v>134</v>
      </c>
      <c r="C530" s="4">
        <v>9</v>
      </c>
      <c r="D530" s="4">
        <v>3</v>
      </c>
      <c r="E530" s="4">
        <v>27</v>
      </c>
      <c r="F530" s="4">
        <v>30000</v>
      </c>
      <c r="G530" s="4">
        <v>79500</v>
      </c>
      <c r="H530" s="4">
        <v>12483</v>
      </c>
      <c r="I530" s="4">
        <v>12.483000000000001</v>
      </c>
      <c r="J530" s="4">
        <v>1.2482999999999999E-2</v>
      </c>
      <c r="K530" s="4">
        <v>27.52027146</v>
      </c>
      <c r="L530" s="4">
        <v>1.2699999999999999E-2</v>
      </c>
      <c r="M530" s="4">
        <v>3.1</v>
      </c>
      <c r="N530" s="4">
        <v>85.717488009999997</v>
      </c>
      <c r="O530" s="4">
        <v>53.688220868751316</v>
      </c>
      <c r="P530" s="4">
        <v>41.865579349475802</v>
      </c>
      <c r="Q530" s="4">
        <v>106.33857154766854</v>
      </c>
      <c r="R530" s="4">
        <v>24352.596306280138</v>
      </c>
      <c r="S530" s="4">
        <v>58525.826258784276</v>
      </c>
      <c r="T530" s="4">
        <v>155093.43958577834</v>
      </c>
      <c r="U530" s="4">
        <v>114</v>
      </c>
      <c r="V530" s="4">
        <v>0.1</v>
      </c>
      <c r="W530" s="4">
        <v>0</v>
      </c>
    </row>
    <row r="531" spans="1:23" x14ac:dyDescent="0.25">
      <c r="A531" s="4" t="s">
        <v>135</v>
      </c>
      <c r="B531" s="4" t="s">
        <v>136</v>
      </c>
      <c r="C531" s="4">
        <v>9</v>
      </c>
      <c r="D531" s="4">
        <v>2</v>
      </c>
      <c r="E531" s="4">
        <v>18</v>
      </c>
      <c r="F531" s="4">
        <v>4109.5890410000002</v>
      </c>
      <c r="G531" s="4">
        <v>10890.410959999999</v>
      </c>
      <c r="H531" s="4">
        <v>1710</v>
      </c>
      <c r="I531" s="4">
        <v>1.71</v>
      </c>
      <c r="J531" s="4">
        <v>1.7099999999999999E-3</v>
      </c>
      <c r="K531" s="4">
        <v>3.7699001999999999</v>
      </c>
      <c r="L531" s="4">
        <v>1.2E-2</v>
      </c>
      <c r="M531" s="4">
        <v>3</v>
      </c>
      <c r="N531" s="4">
        <v>52.232196340000002</v>
      </c>
      <c r="O531" s="4">
        <v>3.3703835388024546</v>
      </c>
      <c r="P531" s="4">
        <v>19.810148391515881</v>
      </c>
      <c r="Q531" s="4">
        <v>50.317776914450334</v>
      </c>
      <c r="R531" s="4">
        <v>1528.7820752793925</v>
      </c>
      <c r="S531" s="4">
        <v>3674.0737209310082</v>
      </c>
      <c r="T531" s="4">
        <v>9736.2953604671711</v>
      </c>
      <c r="U531" s="4">
        <v>60.5</v>
      </c>
      <c r="V531" s="4">
        <v>9.9000000000000005E-2</v>
      </c>
      <c r="W531" s="4">
        <v>0</v>
      </c>
    </row>
    <row r="532" spans="1:23" x14ac:dyDescent="0.25">
      <c r="A532" s="4" t="s">
        <v>137</v>
      </c>
      <c r="B532" s="4" t="s">
        <v>138</v>
      </c>
      <c r="C532" s="4">
        <v>9</v>
      </c>
      <c r="D532" s="4">
        <v>1</v>
      </c>
      <c r="E532" s="4">
        <v>9</v>
      </c>
      <c r="F532" s="4">
        <v>2682.2879109999999</v>
      </c>
      <c r="G532" s="4">
        <v>7108.0629650000001</v>
      </c>
      <c r="H532" s="4">
        <v>1116.0999999999999</v>
      </c>
      <c r="I532" s="4">
        <v>1.1161000000000001</v>
      </c>
      <c r="J532" s="4">
        <v>1.1161000000000001E-3</v>
      </c>
      <c r="K532" s="4">
        <v>2.4605763810000001</v>
      </c>
      <c r="L532" s="4">
        <v>1.2500000000000001E-2</v>
      </c>
      <c r="M532" s="4">
        <v>2.82</v>
      </c>
      <c r="N532" s="4">
        <v>56.963988270000002</v>
      </c>
      <c r="O532" s="4">
        <v>1.4782544566298856</v>
      </c>
      <c r="P532" s="4">
        <v>18.719570167578411</v>
      </c>
      <c r="Q532" s="4">
        <v>47.547708225649167</v>
      </c>
      <c r="R532" s="4">
        <v>670.5257398689505</v>
      </c>
      <c r="S532" s="4">
        <v>1611.4533522445338</v>
      </c>
      <c r="T532" s="4">
        <v>4270.3513834480145</v>
      </c>
      <c r="U532" s="4">
        <v>50</v>
      </c>
      <c r="V532" s="4">
        <v>0.33500000000000002</v>
      </c>
      <c r="W532" s="4">
        <v>0</v>
      </c>
    </row>
    <row r="533" spans="1:23" x14ac:dyDescent="0.25">
      <c r="A533" s="4" t="s">
        <v>21</v>
      </c>
      <c r="B533" s="4" t="s">
        <v>22</v>
      </c>
      <c r="C533" s="4">
        <v>10</v>
      </c>
      <c r="D533" s="4">
        <v>1</v>
      </c>
      <c r="E533" s="4">
        <v>10</v>
      </c>
      <c r="F533" s="4">
        <v>372.74693589999998</v>
      </c>
      <c r="G533" s="4">
        <v>987.77937999999995</v>
      </c>
      <c r="H533" s="4">
        <v>155.1</v>
      </c>
      <c r="I533" s="4">
        <v>0.15509999999999999</v>
      </c>
      <c r="J533" s="4">
        <v>1.551E-4</v>
      </c>
      <c r="K533" s="4">
        <v>0.341936562</v>
      </c>
      <c r="L533" s="4">
        <v>1.6E-2</v>
      </c>
      <c r="M533" s="4">
        <v>3</v>
      </c>
      <c r="N533" s="4">
        <v>21.32213089</v>
      </c>
      <c r="O533" s="4">
        <v>4.6601323032889247E-2</v>
      </c>
      <c r="P533" s="4">
        <v>4.3199739078963271</v>
      </c>
      <c r="Q533" s="4">
        <v>10.972733726056671</v>
      </c>
      <c r="R533" s="4">
        <v>21.138029698038324</v>
      </c>
      <c r="S533" s="4">
        <v>50.800359764571795</v>
      </c>
      <c r="T533" s="4">
        <v>134.62095337611524</v>
      </c>
      <c r="U533" s="4">
        <v>11</v>
      </c>
      <c r="V533" s="4">
        <v>0.6</v>
      </c>
      <c r="W533" s="4">
        <v>0</v>
      </c>
    </row>
    <row r="534" spans="1:23" x14ac:dyDescent="0.25">
      <c r="A534" s="4" t="s">
        <v>23</v>
      </c>
      <c r="B534" s="4" t="s">
        <v>24</v>
      </c>
      <c r="C534" s="4">
        <v>10</v>
      </c>
      <c r="D534" s="4">
        <v>3</v>
      </c>
      <c r="E534" s="4">
        <v>30</v>
      </c>
      <c r="F534" s="4">
        <v>188718.33360000001</v>
      </c>
      <c r="G534" s="4">
        <v>500103.58419999998</v>
      </c>
      <c r="H534" s="4">
        <v>78525.698610000007</v>
      </c>
      <c r="I534" s="4">
        <v>78.525698610000006</v>
      </c>
      <c r="J534" s="4">
        <v>7.8525699000000004E-2</v>
      </c>
      <c r="K534" s="4">
        <v>173.11932569999999</v>
      </c>
      <c r="L534" s="4">
        <v>2.5999999999999999E-2</v>
      </c>
      <c r="M534" s="4">
        <v>3</v>
      </c>
      <c r="N534" s="4">
        <v>210.18147250000001</v>
      </c>
      <c r="O534" s="4">
        <v>1767.3058707353075</v>
      </c>
      <c r="P534" s="4">
        <v>123.45286119630114</v>
      </c>
      <c r="Q534" s="4">
        <v>313.5702674386049</v>
      </c>
      <c r="R534" s="4">
        <v>801637.41176951467</v>
      </c>
      <c r="S534" s="4">
        <v>1926549.8961055388</v>
      </c>
      <c r="T534" s="4">
        <v>5105357.2246796777</v>
      </c>
      <c r="U534" s="4">
        <v>330</v>
      </c>
      <c r="V534" s="4">
        <v>0.1</v>
      </c>
      <c r="W534" s="4">
        <v>0</v>
      </c>
    </row>
    <row r="535" spans="1:23" x14ac:dyDescent="0.25">
      <c r="A535" s="4" t="s">
        <v>25</v>
      </c>
      <c r="B535" s="4" t="s">
        <v>26</v>
      </c>
      <c r="C535" s="4">
        <v>10</v>
      </c>
      <c r="D535" s="4">
        <v>3</v>
      </c>
      <c r="E535" s="4">
        <v>30</v>
      </c>
      <c r="F535" s="4">
        <v>188718.33360000001</v>
      </c>
      <c r="G535" s="4">
        <v>500103.58419999998</v>
      </c>
      <c r="H535" s="4">
        <v>78525.698610000007</v>
      </c>
      <c r="I535" s="4">
        <v>78.525698610000006</v>
      </c>
      <c r="J535" s="4">
        <v>7.8525699000000004E-2</v>
      </c>
      <c r="K535" s="4">
        <v>173.11932569999999</v>
      </c>
      <c r="L535" s="4">
        <v>2.1399999999999999E-2</v>
      </c>
      <c r="M535" s="4">
        <v>2.96</v>
      </c>
      <c r="N535" s="4">
        <v>165.1085664</v>
      </c>
      <c r="O535" s="4">
        <v>1418.0816198990503</v>
      </c>
      <c r="P535" s="4">
        <v>132.28237901157357</v>
      </c>
      <c r="Q535" s="4">
        <v>335.99724268939684</v>
      </c>
      <c r="R535" s="4">
        <v>643231.76778721518</v>
      </c>
      <c r="S535" s="4">
        <v>1545858.61039946</v>
      </c>
      <c r="T535" s="4">
        <v>4096525.3175585689</v>
      </c>
      <c r="U535" s="4">
        <v>358.7</v>
      </c>
      <c r="V535" s="4">
        <v>9.1999999999999998E-2</v>
      </c>
      <c r="W535" s="4">
        <v>0</v>
      </c>
    </row>
    <row r="536" spans="1:23" x14ac:dyDescent="0.25">
      <c r="A536" s="4" t="s">
        <v>27</v>
      </c>
      <c r="B536" s="4" t="s">
        <v>28</v>
      </c>
      <c r="C536" s="4">
        <v>10</v>
      </c>
      <c r="D536" s="4">
        <v>1</v>
      </c>
      <c r="E536" s="4">
        <v>10</v>
      </c>
      <c r="F536" s="4">
        <v>14179.28383</v>
      </c>
      <c r="G536" s="4">
        <v>37575.102140000003</v>
      </c>
      <c r="H536" s="4">
        <v>5900.0000019999998</v>
      </c>
      <c r="I536" s="4">
        <v>5.9000000019999996</v>
      </c>
      <c r="J536" s="4">
        <v>5.8999999999999999E-3</v>
      </c>
      <c r="K536" s="4">
        <v>13.007258</v>
      </c>
      <c r="L536" s="4">
        <v>1.0999999999999999E-2</v>
      </c>
      <c r="M536" s="4">
        <v>2.9</v>
      </c>
      <c r="N536" s="4">
        <v>94.553069030000003</v>
      </c>
      <c r="O536" s="4">
        <v>8.5441558765404739</v>
      </c>
      <c r="P536" s="4">
        <v>32.203654411738754</v>
      </c>
      <c r="Q536" s="4">
        <v>81.79728220581643</v>
      </c>
      <c r="R536" s="4">
        <v>3875.5685227116119</v>
      </c>
      <c r="S536" s="4">
        <v>9314.0315373987305</v>
      </c>
      <c r="T536" s="4">
        <v>24682.183574106635</v>
      </c>
      <c r="U536" s="4">
        <v>94.6</v>
      </c>
      <c r="V536" s="4">
        <v>0.2</v>
      </c>
      <c r="W536" s="4">
        <v>0</v>
      </c>
    </row>
    <row r="537" spans="1:23" x14ac:dyDescent="0.25">
      <c r="A537" s="4" t="s">
        <v>29</v>
      </c>
      <c r="B537" s="4" t="s">
        <v>30</v>
      </c>
      <c r="C537" s="4">
        <v>10</v>
      </c>
      <c r="D537" s="4">
        <v>7</v>
      </c>
      <c r="E537" s="2">
        <v>70</v>
      </c>
      <c r="F537" s="4">
        <v>66302.710800000001</v>
      </c>
      <c r="G537" s="4">
        <v>175702.084</v>
      </c>
      <c r="H537" s="4">
        <v>27588.557959999998</v>
      </c>
      <c r="I537" s="4">
        <v>27.588557959999999</v>
      </c>
      <c r="J537" s="4">
        <v>2.7588557999999999E-2</v>
      </c>
      <c r="K537" s="4">
        <v>60.822286660000003</v>
      </c>
      <c r="L537" s="4">
        <v>3.2499999999999999E-3</v>
      </c>
      <c r="M537" s="4">
        <v>3</v>
      </c>
      <c r="N537" s="4">
        <v>203.99297569999999</v>
      </c>
      <c r="O537" s="4">
        <v>214.93624288163008</v>
      </c>
      <c r="P537" s="4">
        <v>122.32929319240652</v>
      </c>
      <c r="Q537" s="4">
        <v>310.71640470871256</v>
      </c>
      <c r="R537" s="4">
        <v>97493.555751843887</v>
      </c>
      <c r="S537" s="4">
        <v>234303.18613757243</v>
      </c>
      <c r="T537" s="4">
        <v>620903.44326456694</v>
      </c>
      <c r="U537" s="4">
        <v>311</v>
      </c>
      <c r="V537" s="4">
        <v>0.1</v>
      </c>
      <c r="W537" s="4">
        <v>0</v>
      </c>
    </row>
    <row r="538" spans="1:23" x14ac:dyDescent="0.25">
      <c r="A538" s="2" t="s">
        <v>31</v>
      </c>
      <c r="B538" s="4" t="s">
        <v>32</v>
      </c>
      <c r="C538" s="4">
        <v>10</v>
      </c>
      <c r="D538" s="4">
        <v>1</v>
      </c>
      <c r="E538" s="4">
        <v>10</v>
      </c>
      <c r="F538" s="4">
        <v>372.74693589999998</v>
      </c>
      <c r="G538" s="4">
        <v>987.77937999999995</v>
      </c>
      <c r="H538" s="4">
        <v>155.10000002799001</v>
      </c>
      <c r="I538" s="4">
        <v>0.15510000002799001</v>
      </c>
      <c r="J538" s="4">
        <v>1.5510000002799001E-4</v>
      </c>
      <c r="K538" s="4">
        <v>0.34193656206170731</v>
      </c>
      <c r="L538" s="3">
        <v>1.1599999999999999E-2</v>
      </c>
      <c r="M538" s="3">
        <v>3</v>
      </c>
      <c r="N538" s="4">
        <v>23.734746790222747</v>
      </c>
      <c r="O538" s="4">
        <v>0.63474124057743342</v>
      </c>
      <c r="P538" s="4">
        <v>11.484214037900063</v>
      </c>
      <c r="Q538" s="4">
        <v>29.169903656266161</v>
      </c>
      <c r="R538" s="2">
        <v>287.91412605230533</v>
      </c>
      <c r="S538" s="2">
        <v>691.93493403582147</v>
      </c>
      <c r="T538" s="2">
        <v>1833.6275751949267</v>
      </c>
      <c r="U538" s="2">
        <v>29.172666666666665</v>
      </c>
      <c r="V538" s="2">
        <v>0.92646666666666677</v>
      </c>
      <c r="W538" s="2">
        <v>0</v>
      </c>
    </row>
    <row r="539" spans="1:23" x14ac:dyDescent="0.25">
      <c r="A539" s="4" t="s">
        <v>33</v>
      </c>
      <c r="B539" s="4" t="s">
        <v>34</v>
      </c>
      <c r="C539" s="4">
        <v>10</v>
      </c>
      <c r="D539" s="4">
        <v>2</v>
      </c>
      <c r="E539" s="4">
        <v>20</v>
      </c>
      <c r="F539" s="4">
        <v>3076.18361</v>
      </c>
      <c r="G539" s="4">
        <v>8151.8865660000001</v>
      </c>
      <c r="H539" s="4">
        <v>1280</v>
      </c>
      <c r="I539" s="4">
        <v>1.28</v>
      </c>
      <c r="J539" s="4">
        <v>1.2800000000000001E-3</v>
      </c>
      <c r="K539" s="4">
        <v>2.8219135999999998</v>
      </c>
      <c r="L539" s="4">
        <v>1.4999999999999999E-2</v>
      </c>
      <c r="M539" s="4">
        <v>3</v>
      </c>
      <c r="N539" s="4">
        <v>44.02569665</v>
      </c>
      <c r="O539" s="4">
        <v>6.5001167777729911</v>
      </c>
      <c r="P539" s="4">
        <v>22.89101249273725</v>
      </c>
      <c r="Q539" s="4">
        <v>58.14317173155262</v>
      </c>
      <c r="R539" s="4">
        <v>2948.4068809014666</v>
      </c>
      <c r="S539" s="4">
        <v>7085.8132201429144</v>
      </c>
      <c r="T539" s="4">
        <v>18777.405033378724</v>
      </c>
      <c r="U539" s="4">
        <v>58.9</v>
      </c>
      <c r="V539" s="4">
        <v>0.22</v>
      </c>
      <c r="W539" s="4">
        <v>0.20699999999999999</v>
      </c>
    </row>
    <row r="540" spans="1:23" x14ac:dyDescent="0.25">
      <c r="A540" s="4" t="s">
        <v>35</v>
      </c>
      <c r="B540" s="4" t="s">
        <v>36</v>
      </c>
      <c r="C540" s="4">
        <v>10</v>
      </c>
      <c r="D540" s="4">
        <v>1</v>
      </c>
      <c r="E540" s="4">
        <v>10</v>
      </c>
      <c r="F540" s="4">
        <v>372.74693589999998</v>
      </c>
      <c r="G540" s="4">
        <v>987.77937999999995</v>
      </c>
      <c r="H540" s="4">
        <v>155.1</v>
      </c>
      <c r="I540" s="4">
        <v>0.15509999999999999</v>
      </c>
      <c r="J540" s="4">
        <v>1.551E-4</v>
      </c>
      <c r="K540" s="4">
        <v>0.341936562</v>
      </c>
      <c r="L540" s="4">
        <v>2.1000000000000001E-2</v>
      </c>
      <c r="M540" s="4">
        <v>3</v>
      </c>
      <c r="N540" s="4">
        <v>19.47440366</v>
      </c>
      <c r="O540" s="4">
        <v>0.42975931313454357</v>
      </c>
      <c r="P540" s="4">
        <v>8.27415596825462</v>
      </c>
      <c r="Q540" s="4">
        <v>21.016356159366733</v>
      </c>
      <c r="R540" s="4">
        <v>194.93577720175975</v>
      </c>
      <c r="S540" s="4">
        <v>468.48300216717075</v>
      </c>
      <c r="T540" s="4">
        <v>1241.4799557430024</v>
      </c>
      <c r="U540" s="4">
        <v>21.02</v>
      </c>
      <c r="V540" s="4">
        <v>0.86</v>
      </c>
      <c r="W540" s="4">
        <v>-6.9989999999999997E-2</v>
      </c>
    </row>
    <row r="541" spans="1:23" x14ac:dyDescent="0.25">
      <c r="A541" s="4" t="s">
        <v>37</v>
      </c>
      <c r="B541" s="4" t="s">
        <v>38</v>
      </c>
      <c r="C541" s="4">
        <v>10</v>
      </c>
      <c r="D541" s="4">
        <v>9</v>
      </c>
      <c r="E541" s="4">
        <v>90</v>
      </c>
      <c r="F541" s="4">
        <v>1772528862</v>
      </c>
      <c r="G541" s="4">
        <v>4697201485</v>
      </c>
      <c r="H541" s="4">
        <v>737549259.5</v>
      </c>
      <c r="I541" s="4">
        <v>737549.25950000004</v>
      </c>
      <c r="J541" s="4">
        <v>737.54925949999995</v>
      </c>
      <c r="K541" s="4">
        <v>1626015.848</v>
      </c>
      <c r="L541" s="2">
        <v>6.0000000000000001E-3</v>
      </c>
      <c r="M541" s="4">
        <v>3</v>
      </c>
      <c r="N541" s="4">
        <v>1544.971047</v>
      </c>
      <c r="O541" s="4">
        <v>122040.48826370835</v>
      </c>
      <c r="P541" s="4">
        <v>825.73228346456676</v>
      </c>
      <c r="Q541" s="4">
        <v>2097.3599999999997</v>
      </c>
      <c r="R541" s="2">
        <v>55356700.140481509</v>
      </c>
      <c r="S541" s="2">
        <v>133037010.6716691</v>
      </c>
      <c r="T541" s="2">
        <v>352548078.27992308</v>
      </c>
      <c r="U541" s="2">
        <v>2097.3599999999997</v>
      </c>
      <c r="V541" s="2">
        <v>0.5</v>
      </c>
      <c r="W541" s="2">
        <v>0</v>
      </c>
    </row>
    <row r="542" spans="1:23" x14ac:dyDescent="0.25">
      <c r="A542" s="4" t="s">
        <v>39</v>
      </c>
      <c r="B542" s="4" t="s">
        <v>40</v>
      </c>
      <c r="C542" s="4">
        <v>10</v>
      </c>
      <c r="D542" s="4">
        <v>2</v>
      </c>
      <c r="E542" s="4">
        <v>20</v>
      </c>
      <c r="F542" s="4">
        <v>60081.711130000003</v>
      </c>
      <c r="G542" s="4">
        <v>159216.53450000001</v>
      </c>
      <c r="H542" s="4">
        <v>25000</v>
      </c>
      <c r="I542" s="4">
        <v>25</v>
      </c>
      <c r="J542" s="4">
        <v>2.5000000000000001E-2</v>
      </c>
      <c r="K542" s="4">
        <v>55.115499999999997</v>
      </c>
      <c r="L542" s="4">
        <v>1.2E-2</v>
      </c>
      <c r="M542" s="4">
        <v>3</v>
      </c>
      <c r="N542" s="4">
        <v>127.7182387</v>
      </c>
      <c r="O542" s="4">
        <v>63.60555029705624</v>
      </c>
      <c r="P542" s="4">
        <v>52.742368065504692</v>
      </c>
      <c r="Q542" s="4">
        <v>133.96561488638193</v>
      </c>
      <c r="R542" s="4">
        <v>28851.026615496656</v>
      </c>
      <c r="S542" s="4">
        <v>69336.76187333971</v>
      </c>
      <c r="T542" s="4">
        <v>183742.41896435022</v>
      </c>
      <c r="U542" s="4">
        <v>150.93</v>
      </c>
      <c r="V542" s="4">
        <v>0.11</v>
      </c>
      <c r="W542" s="4">
        <v>0.13</v>
      </c>
    </row>
    <row r="543" spans="1:23" x14ac:dyDescent="0.25">
      <c r="A543" s="4" t="s">
        <v>41</v>
      </c>
      <c r="B543" s="4" t="s">
        <v>42</v>
      </c>
      <c r="C543" s="4">
        <v>10</v>
      </c>
      <c r="D543" s="4">
        <v>4</v>
      </c>
      <c r="E543" s="4">
        <v>40</v>
      </c>
      <c r="F543" s="4">
        <v>31491.086510000001</v>
      </c>
      <c r="G543" s="4">
        <v>83451.379249999998</v>
      </c>
      <c r="H543" s="4">
        <v>13103.4411</v>
      </c>
      <c r="I543" s="4">
        <v>13.1034411</v>
      </c>
      <c r="J543" s="4">
        <v>1.3103441E-2</v>
      </c>
      <c r="K543" s="4">
        <v>28.88810831</v>
      </c>
      <c r="L543" s="4">
        <v>1.34E-2</v>
      </c>
      <c r="M543" s="4">
        <v>3.1</v>
      </c>
      <c r="N543" s="4">
        <v>85.575327229999999</v>
      </c>
      <c r="O543" s="4">
        <v>34.866637361856597</v>
      </c>
      <c r="P543" s="4">
        <v>35.798660346177684</v>
      </c>
      <c r="Q543" s="4">
        <v>90.92859727929131</v>
      </c>
      <c r="R543" s="4">
        <v>15815.259483201911</v>
      </c>
      <c r="S543" s="4">
        <v>38008.314066815459</v>
      </c>
      <c r="T543" s="4">
        <v>100722.03227706096</v>
      </c>
      <c r="U543" s="4">
        <v>91.5</v>
      </c>
      <c r="V543" s="4">
        <v>0.12690000000000001</v>
      </c>
      <c r="W543" s="4">
        <v>0</v>
      </c>
    </row>
    <row r="544" spans="1:23" x14ac:dyDescent="0.25">
      <c r="A544" s="4" t="s">
        <v>43</v>
      </c>
      <c r="B544" s="4" t="s">
        <v>44</v>
      </c>
      <c r="C544" s="4">
        <v>10</v>
      </c>
      <c r="D544" s="4">
        <v>2</v>
      </c>
      <c r="E544" s="4">
        <v>20</v>
      </c>
      <c r="F544" s="4">
        <v>3076.18361</v>
      </c>
      <c r="G544" s="4">
        <v>8151.8865660000001</v>
      </c>
      <c r="H544" s="4">
        <v>1280</v>
      </c>
      <c r="I544" s="4">
        <v>1.28</v>
      </c>
      <c r="J544" s="4">
        <v>1.2800000000000001E-3</v>
      </c>
      <c r="K544" s="4">
        <v>2.8219135999999998</v>
      </c>
      <c r="L544" s="4">
        <v>1.44E-2</v>
      </c>
      <c r="M544" s="4">
        <v>3</v>
      </c>
      <c r="N544" s="4">
        <v>44.628863340000002</v>
      </c>
      <c r="O544" s="4">
        <v>3.4297447186421808</v>
      </c>
      <c r="P544" s="4">
        <v>18.750872051225898</v>
      </c>
      <c r="Q544" s="4">
        <v>47.62721501011378</v>
      </c>
      <c r="R544" s="2">
        <v>1555.7078855504262</v>
      </c>
      <c r="S544" s="2">
        <v>3738.783671113737</v>
      </c>
      <c r="T544" s="2">
        <v>9907.776728451403</v>
      </c>
      <c r="U544" s="2">
        <v>47.633333333333333</v>
      </c>
      <c r="V544" s="2">
        <v>0.44799999999999995</v>
      </c>
      <c r="W544" s="2">
        <v>0</v>
      </c>
    </row>
    <row r="545" spans="1:23" x14ac:dyDescent="0.25">
      <c r="A545" s="4" t="s">
        <v>45</v>
      </c>
      <c r="B545" s="4" t="s">
        <v>46</v>
      </c>
      <c r="C545" s="4">
        <v>10</v>
      </c>
      <c r="D545" s="4">
        <v>5</v>
      </c>
      <c r="E545" s="4">
        <v>50</v>
      </c>
      <c r="F545" s="4">
        <v>7701.2572719999998</v>
      </c>
      <c r="G545" s="4">
        <v>20408.331770000001</v>
      </c>
      <c r="H545" s="4">
        <v>3204.4931510000001</v>
      </c>
      <c r="I545" s="4">
        <v>3.2044931509999999</v>
      </c>
      <c r="J545" s="4">
        <v>3.2044930000000001E-3</v>
      </c>
      <c r="K545" s="4">
        <v>7.0646896899999998</v>
      </c>
      <c r="L545" s="4">
        <v>3.96E-3</v>
      </c>
      <c r="M545" s="4">
        <v>3.2</v>
      </c>
      <c r="N545" s="4">
        <v>70.189160900000005</v>
      </c>
      <c r="O545" s="4">
        <v>743.77830962557107</v>
      </c>
      <c r="P545" s="4">
        <v>118.41885013702041</v>
      </c>
      <c r="Q545" s="4">
        <v>300.78387934803186</v>
      </c>
      <c r="R545" s="2">
        <v>337372.56743818487</v>
      </c>
      <c r="S545" s="2">
        <v>810796.84556160751</v>
      </c>
      <c r="T545" s="2">
        <v>2148611.64073826</v>
      </c>
      <c r="U545" s="2">
        <v>300.78571428571428</v>
      </c>
      <c r="V545" s="2">
        <v>0.24014285714285719</v>
      </c>
      <c r="W545" s="2">
        <v>0</v>
      </c>
    </row>
    <row r="546" spans="1:23" x14ac:dyDescent="0.25">
      <c r="A546" s="2" t="s">
        <v>47</v>
      </c>
      <c r="B546" s="4" t="s">
        <v>48</v>
      </c>
      <c r="C546" s="4">
        <v>10</v>
      </c>
      <c r="D546" s="4">
        <v>1</v>
      </c>
      <c r="E546" s="4">
        <v>10</v>
      </c>
      <c r="F546" s="4">
        <v>408.79596249999997</v>
      </c>
      <c r="G546" s="4">
        <v>1083.309301</v>
      </c>
      <c r="H546" s="4">
        <v>170.09999999625001</v>
      </c>
      <c r="I546" s="4">
        <v>0.17009999999625</v>
      </c>
      <c r="J546" s="4">
        <v>1.7009999999625E-4</v>
      </c>
      <c r="K546" s="4">
        <v>0.37500586199173264</v>
      </c>
      <c r="L546" s="3">
        <v>1.23E-2</v>
      </c>
      <c r="M546" s="3">
        <v>3.2</v>
      </c>
      <c r="N546" s="4">
        <v>19.678851599644297</v>
      </c>
      <c r="O546" s="4">
        <v>3.3711241356732273</v>
      </c>
      <c r="P546" s="4">
        <v>15.388941516422333</v>
      </c>
      <c r="Q546" s="4">
        <v>39.087911451712728</v>
      </c>
      <c r="R546" s="2">
        <v>1529.1180047687253</v>
      </c>
      <c r="S546" s="2">
        <v>3674.8810496724955</v>
      </c>
      <c r="T546" s="2">
        <v>9738.4347816321133</v>
      </c>
      <c r="U546" s="2">
        <v>39.200000000000003</v>
      </c>
      <c r="V546" s="2">
        <v>0.58571428571428563</v>
      </c>
      <c r="W546" s="2">
        <v>0</v>
      </c>
    </row>
    <row r="547" spans="1:23" x14ac:dyDescent="0.25">
      <c r="A547" s="2" t="s">
        <v>49</v>
      </c>
      <c r="B547" s="4" t="s">
        <v>50</v>
      </c>
      <c r="C547" s="4">
        <v>10</v>
      </c>
      <c r="D547" s="4">
        <v>1</v>
      </c>
      <c r="E547" s="4">
        <v>10</v>
      </c>
      <c r="F547" s="4">
        <v>3076.18361</v>
      </c>
      <c r="G547" s="4">
        <v>8151.8865660000001</v>
      </c>
      <c r="H547" s="4">
        <v>1280.0000001210001</v>
      </c>
      <c r="I547" s="4">
        <v>1.2800000001210001</v>
      </c>
      <c r="J547" s="4">
        <v>1.2800000001210001E-3</v>
      </c>
      <c r="K547" s="4">
        <v>2.8219136002667589</v>
      </c>
      <c r="L547" s="3">
        <v>1.2E-2</v>
      </c>
      <c r="M547" s="3">
        <v>3.1</v>
      </c>
      <c r="N547" s="4">
        <v>41.874029007707747</v>
      </c>
      <c r="O547" s="4">
        <v>4.4714172570266442</v>
      </c>
      <c r="P547" s="4">
        <v>19.124733112712899</v>
      </c>
      <c r="Q547" s="4">
        <v>48.576822106290763</v>
      </c>
      <c r="R547" s="2">
        <v>2028.203162915443</v>
      </c>
      <c r="S547" s="2">
        <v>4874.3166616569169</v>
      </c>
      <c r="T547" s="2">
        <v>12916.939153390829</v>
      </c>
      <c r="U547" s="2">
        <v>54.3</v>
      </c>
      <c r="V547" s="2">
        <v>0.22500000000000001</v>
      </c>
      <c r="W547" s="2">
        <v>0</v>
      </c>
    </row>
    <row r="548" spans="1:23" x14ac:dyDescent="0.25">
      <c r="A548" s="2" t="s">
        <v>51</v>
      </c>
      <c r="B548" s="4" t="s">
        <v>52</v>
      </c>
      <c r="C548" s="4">
        <v>10</v>
      </c>
      <c r="D548" s="4">
        <v>1</v>
      </c>
      <c r="E548" s="4">
        <v>10</v>
      </c>
      <c r="F548" s="4">
        <v>4373.9485699999996</v>
      </c>
      <c r="G548" s="4">
        <v>11590.96371</v>
      </c>
      <c r="H548" s="4">
        <v>1819.9999999769998</v>
      </c>
      <c r="I548" s="4">
        <v>1.8199999999769998</v>
      </c>
      <c r="J548" s="4">
        <v>1.8199999999769997E-3</v>
      </c>
      <c r="K548" s="4">
        <v>4.012408399949293</v>
      </c>
      <c r="L548" s="3">
        <v>1.24E-2</v>
      </c>
      <c r="M548" s="3">
        <v>3.2</v>
      </c>
      <c r="N548" s="4">
        <v>41.169731262769922</v>
      </c>
      <c r="O548" s="4">
        <v>0.29044537704626744</v>
      </c>
      <c r="P548" s="4">
        <v>7.1348994717807708</v>
      </c>
      <c r="Q548" s="4">
        <v>18.122644658323157</v>
      </c>
      <c r="R548" s="2">
        <v>131.74396360654782</v>
      </c>
      <c r="S548" s="2">
        <v>316.61611056608461</v>
      </c>
      <c r="T548" s="2">
        <v>839.03269300012425</v>
      </c>
      <c r="U548" s="4">
        <v>20.9</v>
      </c>
      <c r="V548" s="4">
        <v>0.19500000000000001</v>
      </c>
      <c r="W548" s="4">
        <v>-0.35</v>
      </c>
    </row>
    <row r="549" spans="1:23" x14ac:dyDescent="0.25">
      <c r="A549" s="4" t="s">
        <v>53</v>
      </c>
      <c r="B549" s="4" t="s">
        <v>54</v>
      </c>
      <c r="C549" s="4">
        <v>10</v>
      </c>
      <c r="D549" s="4">
        <v>2</v>
      </c>
      <c r="E549" s="4">
        <v>20</v>
      </c>
      <c r="F549" s="4">
        <v>4373.9485699999996</v>
      </c>
      <c r="G549" s="4">
        <v>11590.96371</v>
      </c>
      <c r="H549" s="4">
        <v>1820</v>
      </c>
      <c r="I549" s="4">
        <v>1.82</v>
      </c>
      <c r="J549" s="4">
        <v>1.82E-3</v>
      </c>
      <c r="K549" s="4">
        <v>4.0124084</v>
      </c>
      <c r="L549" s="4">
        <v>1.2E-2</v>
      </c>
      <c r="M549" s="4">
        <v>2.95</v>
      </c>
      <c r="N549" s="4">
        <v>57.0471492</v>
      </c>
      <c r="O549" s="4">
        <v>1.3700639142901681</v>
      </c>
      <c r="P549" s="4">
        <v>15.603029894341192</v>
      </c>
      <c r="Q549" s="4">
        <v>39.631695931626631</v>
      </c>
      <c r="R549" s="4">
        <v>621.45127699565819</v>
      </c>
      <c r="S549" s="4">
        <v>1493.5142441616397</v>
      </c>
      <c r="T549" s="4">
        <v>3957.8127470283448</v>
      </c>
      <c r="U549" s="4">
        <v>41</v>
      </c>
      <c r="V549" s="4">
        <v>0.17</v>
      </c>
      <c r="W549" s="4">
        <v>0</v>
      </c>
    </row>
    <row r="550" spans="1:23" x14ac:dyDescent="0.25">
      <c r="A550" s="4" t="s">
        <v>55</v>
      </c>
      <c r="B550" s="4" t="s">
        <v>56</v>
      </c>
      <c r="C550" s="4">
        <v>10</v>
      </c>
      <c r="D550" s="4">
        <v>1</v>
      </c>
      <c r="E550" s="4">
        <v>10</v>
      </c>
      <c r="F550" s="4">
        <v>27537.010340000001</v>
      </c>
      <c r="G550" s="4">
        <v>72973.077390000006</v>
      </c>
      <c r="H550" s="4">
        <v>11458.15</v>
      </c>
      <c r="I550" s="4">
        <v>11.45815</v>
      </c>
      <c r="J550" s="4">
        <v>1.145815E-2</v>
      </c>
      <c r="K550" s="4">
        <v>25.260866660000001</v>
      </c>
      <c r="L550" s="4">
        <v>1.2999999999999999E-2</v>
      </c>
      <c r="M550" s="4">
        <v>3</v>
      </c>
      <c r="N550" s="4">
        <v>95.879048850000004</v>
      </c>
      <c r="O550" s="4">
        <v>23.273183523538354</v>
      </c>
      <c r="P550" s="4">
        <v>36.730416220429134</v>
      </c>
      <c r="Q550" s="4">
        <v>93.295257199890003</v>
      </c>
      <c r="R550" s="4">
        <v>10556.551026271354</v>
      </c>
      <c r="S550" s="4">
        <v>25370.225970370957</v>
      </c>
      <c r="T550" s="4">
        <v>67231.098821483029</v>
      </c>
      <c r="U550" s="4">
        <v>152</v>
      </c>
      <c r="V550" s="4">
        <v>9.6000000000000002E-2</v>
      </c>
      <c r="W550" s="4">
        <v>0.09</v>
      </c>
    </row>
    <row r="551" spans="1:23" x14ac:dyDescent="0.25">
      <c r="A551" s="4" t="s">
        <v>57</v>
      </c>
      <c r="B551" s="4" t="s">
        <v>58</v>
      </c>
      <c r="C551" s="4">
        <v>10</v>
      </c>
      <c r="D551" s="4">
        <v>2</v>
      </c>
      <c r="E551" s="4">
        <v>20</v>
      </c>
      <c r="F551" s="4">
        <v>8651.7664029999996</v>
      </c>
      <c r="G551" s="4">
        <v>22927.180970000001</v>
      </c>
      <c r="H551" s="4">
        <v>3600</v>
      </c>
      <c r="I551" s="4">
        <v>3.6</v>
      </c>
      <c r="J551" s="4">
        <v>3.5999999999999999E-3</v>
      </c>
      <c r="K551" s="4">
        <v>7.9366320010000004</v>
      </c>
      <c r="L551" s="4">
        <v>4.0000000000000001E-3</v>
      </c>
      <c r="M551" s="4">
        <v>3.1</v>
      </c>
      <c r="N551" s="4">
        <v>67.319388829999994</v>
      </c>
      <c r="O551" s="4">
        <v>5.2407972511841665</v>
      </c>
      <c r="P551" s="4">
        <v>28.691159360010204</v>
      </c>
      <c r="Q551" s="4">
        <v>72.875544774425919</v>
      </c>
      <c r="R551" s="4">
        <v>2377.1884729269291</v>
      </c>
      <c r="S551" s="4">
        <v>5713.0220450058378</v>
      </c>
      <c r="T551" s="4">
        <v>15139.50841926547</v>
      </c>
      <c r="U551" s="4">
        <v>72.900000000000006</v>
      </c>
      <c r="V551" s="4">
        <v>0.4</v>
      </c>
      <c r="W551" s="4">
        <v>0</v>
      </c>
    </row>
    <row r="552" spans="1:23" x14ac:dyDescent="0.25">
      <c r="A552" s="4" t="s">
        <v>59</v>
      </c>
      <c r="B552" s="4" t="s">
        <v>60</v>
      </c>
      <c r="C552" s="4">
        <v>10</v>
      </c>
      <c r="D552" s="4">
        <v>2</v>
      </c>
      <c r="E552" s="4">
        <v>20</v>
      </c>
      <c r="F552" s="4">
        <v>4373.9485699999996</v>
      </c>
      <c r="G552" s="4">
        <v>11590.96371</v>
      </c>
      <c r="H552" s="4">
        <v>1820</v>
      </c>
      <c r="I552" s="4">
        <v>1.82</v>
      </c>
      <c r="J552" s="4">
        <v>1.82E-3</v>
      </c>
      <c r="K552" s="4">
        <v>4.0124084</v>
      </c>
      <c r="L552" s="4">
        <v>1.6799999999999999E-2</v>
      </c>
      <c r="M552" s="4">
        <v>3.1</v>
      </c>
      <c r="N552" s="4">
        <v>42.083980279999999</v>
      </c>
      <c r="O552" s="4">
        <v>480.70651748495408</v>
      </c>
      <c r="P552" s="4">
        <v>77.581622760502455</v>
      </c>
      <c r="Q552" s="4">
        <v>197.05732181167625</v>
      </c>
      <c r="R552" s="4">
        <v>218045.06785067453</v>
      </c>
      <c r="S552" s="4">
        <v>524020.83117201278</v>
      </c>
      <c r="T552" s="4">
        <v>1388655.2026058338</v>
      </c>
      <c r="U552" s="4">
        <v>263.2</v>
      </c>
      <c r="V552" s="4">
        <v>7.0000000000000007E-2</v>
      </c>
      <c r="W552" s="4">
        <v>0.27</v>
      </c>
    </row>
    <row r="553" spans="1:23" x14ac:dyDescent="0.25">
      <c r="A553" s="4" t="s">
        <v>61</v>
      </c>
      <c r="B553" s="4" t="s">
        <v>62</v>
      </c>
      <c r="C553" s="4">
        <v>10</v>
      </c>
      <c r="D553" s="4">
        <v>1</v>
      </c>
      <c r="E553" s="4">
        <v>10</v>
      </c>
      <c r="F553" s="4">
        <v>647.62076430000002</v>
      </c>
      <c r="G553" s="4">
        <v>1716.195025</v>
      </c>
      <c r="H553" s="4">
        <v>269.47500000000002</v>
      </c>
      <c r="I553" s="4">
        <v>0.26947500000000002</v>
      </c>
      <c r="J553" s="4">
        <v>2.6947499999999998E-4</v>
      </c>
      <c r="K553" s="4">
        <v>0.59408997500000005</v>
      </c>
      <c r="L553" s="4">
        <v>1.2500000000000001E-2</v>
      </c>
      <c r="M553" s="4">
        <v>3</v>
      </c>
      <c r="N553" s="4">
        <v>27.831470670000002</v>
      </c>
      <c r="O553" s="4">
        <v>0.9082682453704467</v>
      </c>
      <c r="P553" s="4">
        <v>12.622820553603063</v>
      </c>
      <c r="Q553" s="4">
        <v>32.061964206151778</v>
      </c>
      <c r="R553" s="4">
        <v>411.98403596558438</v>
      </c>
      <c r="S553" s="4">
        <v>990.10823351498277</v>
      </c>
      <c r="T553" s="4">
        <v>2623.7868188147045</v>
      </c>
      <c r="U553" s="4">
        <v>33.700000000000003</v>
      </c>
      <c r="V553" s="4">
        <v>0.32</v>
      </c>
      <c r="W553" s="4">
        <v>0.55000000000000004</v>
      </c>
    </row>
    <row r="554" spans="1:23" x14ac:dyDescent="0.25">
      <c r="A554" s="4" t="s">
        <v>63</v>
      </c>
      <c r="B554" s="4" t="s">
        <v>64</v>
      </c>
      <c r="C554" s="4">
        <v>10</v>
      </c>
      <c r="D554" s="4">
        <v>2</v>
      </c>
      <c r="E554" s="4">
        <v>20</v>
      </c>
      <c r="F554" s="4">
        <v>3076.18361</v>
      </c>
      <c r="G554" s="4">
        <v>8151.8865660000001</v>
      </c>
      <c r="H554" s="4">
        <v>1280</v>
      </c>
      <c r="I554" s="4">
        <v>1.28</v>
      </c>
      <c r="J554" s="4">
        <v>1.2800000000000001E-3</v>
      </c>
      <c r="K554" s="4">
        <v>2.8219135999999998</v>
      </c>
      <c r="L554" s="4">
        <v>1.2E-2</v>
      </c>
      <c r="M554" s="4">
        <v>3.1</v>
      </c>
      <c r="N554" s="4">
        <v>41.874029010000001</v>
      </c>
      <c r="O554" s="4">
        <v>2.9539738513279654</v>
      </c>
      <c r="P554" s="4">
        <v>16.730866389020147</v>
      </c>
      <c r="Q554" s="4">
        <v>42.496400628111175</v>
      </c>
      <c r="R554" s="4">
        <v>1339.9015936206536</v>
      </c>
      <c r="S554" s="4">
        <v>3220.1432194680451</v>
      </c>
      <c r="T554" s="4">
        <v>8533.3795315903189</v>
      </c>
      <c r="U554" s="4">
        <v>42.5</v>
      </c>
      <c r="V554" s="4">
        <v>0.47</v>
      </c>
      <c r="W554" s="4">
        <v>0.05</v>
      </c>
    </row>
    <row r="555" spans="1:23" x14ac:dyDescent="0.25">
      <c r="A555" s="4" t="s">
        <v>65</v>
      </c>
      <c r="B555" s="4" t="s">
        <v>66</v>
      </c>
      <c r="C555" s="4">
        <v>10</v>
      </c>
      <c r="D555" s="4">
        <v>3</v>
      </c>
      <c r="E555" s="4">
        <v>30</v>
      </c>
      <c r="F555" s="4">
        <v>32000</v>
      </c>
      <c r="G555" s="4">
        <v>85500</v>
      </c>
      <c r="H555" s="4">
        <v>13315.2</v>
      </c>
      <c r="I555" s="4">
        <v>13.315200000000001</v>
      </c>
      <c r="J555" s="4">
        <v>1.3315199999999999E-2</v>
      </c>
      <c r="K555" s="4">
        <v>29.354956219999998</v>
      </c>
      <c r="L555" s="4">
        <v>1.2699999999999999E-2</v>
      </c>
      <c r="M555" s="4">
        <v>3.1</v>
      </c>
      <c r="N555" s="4">
        <v>87.520735579999993</v>
      </c>
      <c r="O555" s="4">
        <v>8.3556324890236819</v>
      </c>
      <c r="P555" s="4">
        <v>22.974406691994101</v>
      </c>
      <c r="Q555" s="4">
        <v>58.354992997665015</v>
      </c>
      <c r="R555" s="4">
        <v>3790.0556508712079</v>
      </c>
      <c r="S555" s="4">
        <v>9108.5211508560624</v>
      </c>
      <c r="T555" s="4">
        <v>24137.581049768563</v>
      </c>
      <c r="U555" s="4">
        <v>58.5</v>
      </c>
      <c r="V555" s="4">
        <v>0.2</v>
      </c>
      <c r="W555" s="4">
        <v>0</v>
      </c>
    </row>
    <row r="556" spans="1:23" x14ac:dyDescent="0.25">
      <c r="A556" s="4" t="s">
        <v>67</v>
      </c>
      <c r="B556" s="4" t="s">
        <v>68</v>
      </c>
      <c r="C556" s="4">
        <v>10</v>
      </c>
      <c r="D556" s="4">
        <v>1</v>
      </c>
      <c r="E556" s="4">
        <v>10</v>
      </c>
      <c r="F556" s="4">
        <v>759.34</v>
      </c>
      <c r="G556" s="4">
        <v>2012.27</v>
      </c>
      <c r="H556" s="4">
        <v>315.96137399999998</v>
      </c>
      <c r="I556" s="4">
        <v>0.31596137400000002</v>
      </c>
      <c r="J556" s="4">
        <v>3.1596100000000002E-4</v>
      </c>
      <c r="K556" s="4">
        <v>0.69657476399999996</v>
      </c>
      <c r="L556" s="4">
        <v>1.29E-2</v>
      </c>
      <c r="M556" s="4">
        <v>3.05</v>
      </c>
      <c r="N556" s="4">
        <v>27.480897519999999</v>
      </c>
      <c r="O556" s="4">
        <v>1.6301192980268571</v>
      </c>
      <c r="P556" s="4">
        <v>14.297605552780421</v>
      </c>
      <c r="Q556" s="4">
        <v>36.31591810406227</v>
      </c>
      <c r="R556" s="4">
        <v>739.41055511918478</v>
      </c>
      <c r="S556" s="4">
        <v>1777.0020550809536</v>
      </c>
      <c r="T556" s="4">
        <v>4709.0554459645273</v>
      </c>
      <c r="U556" s="4">
        <v>42</v>
      </c>
      <c r="V556" s="4">
        <v>0.2</v>
      </c>
      <c r="W556" s="4">
        <v>0</v>
      </c>
    </row>
    <row r="557" spans="1:23" x14ac:dyDescent="0.25">
      <c r="A557" s="4" t="s">
        <v>69</v>
      </c>
      <c r="B557" s="4" t="s">
        <v>70</v>
      </c>
      <c r="C557" s="4">
        <v>10</v>
      </c>
      <c r="D557" s="4">
        <v>1</v>
      </c>
      <c r="E557" s="4">
        <v>10</v>
      </c>
      <c r="F557" s="4">
        <v>408.79596249999997</v>
      </c>
      <c r="G557" s="4">
        <v>1083.309301</v>
      </c>
      <c r="H557" s="4">
        <v>170.1</v>
      </c>
      <c r="I557" s="4">
        <v>0.1701</v>
      </c>
      <c r="J557" s="4">
        <v>1.7009999999999999E-4</v>
      </c>
      <c r="K557" s="4">
        <v>0.37500586200000002</v>
      </c>
      <c r="L557" s="4">
        <v>0.01</v>
      </c>
      <c r="M557" s="4">
        <v>2.9</v>
      </c>
      <c r="N557" s="4">
        <v>28.764945560000001</v>
      </c>
      <c r="O557" s="4">
        <v>0.62724225960754854</v>
      </c>
      <c r="P557" s="4">
        <v>13.522698827472889</v>
      </c>
      <c r="Q557" s="4">
        <v>34.347655021781136</v>
      </c>
      <c r="R557" s="4">
        <v>284.51264145637276</v>
      </c>
      <c r="S557" s="4">
        <v>683.76025343997298</v>
      </c>
      <c r="T557" s="4">
        <v>1811.9646716159284</v>
      </c>
      <c r="U557" s="4">
        <v>37.700000000000003</v>
      </c>
      <c r="V557" s="4">
        <v>0.24199999999999999</v>
      </c>
      <c r="W557" s="4">
        <v>0</v>
      </c>
    </row>
    <row r="558" spans="1:23" x14ac:dyDescent="0.25">
      <c r="A558" s="2" t="s">
        <v>71</v>
      </c>
      <c r="B558" s="4" t="s">
        <v>72</v>
      </c>
      <c r="C558" s="4">
        <v>10</v>
      </c>
      <c r="D558" s="4">
        <v>1</v>
      </c>
      <c r="E558" s="4">
        <v>10</v>
      </c>
      <c r="F558" s="4">
        <v>5.1550108149999998</v>
      </c>
      <c r="G558" s="4">
        <v>13.66077866</v>
      </c>
      <c r="H558" s="4">
        <v>2.1450000001214997</v>
      </c>
      <c r="I558" s="4">
        <v>2.1450000001214998E-3</v>
      </c>
      <c r="J558" s="4">
        <v>2.1450000001214999E-6</v>
      </c>
      <c r="K558" s="4">
        <v>4.7289099002678602E-3</v>
      </c>
      <c r="L558" s="3">
        <v>1.0999999999999999E-2</v>
      </c>
      <c r="M558" s="3">
        <v>3.01</v>
      </c>
      <c r="N558" s="4">
        <v>5.7651264979756727</v>
      </c>
      <c r="O558" s="4">
        <v>1.5943897438191308E-2</v>
      </c>
      <c r="P558" s="4">
        <v>3.3988740803916162</v>
      </c>
      <c r="Q558" s="4">
        <v>8.633140164194705</v>
      </c>
      <c r="R558" s="2">
        <v>7.2320388267326381</v>
      </c>
      <c r="S558" s="2">
        <v>17.380530705918382</v>
      </c>
      <c r="T558" s="2">
        <v>46.058406370683713</v>
      </c>
      <c r="U558" s="4">
        <v>9</v>
      </c>
      <c r="V558" s="4">
        <v>0.32</v>
      </c>
      <c r="W558" s="4">
        <v>0</v>
      </c>
    </row>
    <row r="559" spans="1:23" x14ac:dyDescent="0.25">
      <c r="A559" s="4" t="s">
        <v>73</v>
      </c>
      <c r="B559" s="4" t="s">
        <v>74</v>
      </c>
      <c r="C559" s="4">
        <v>10</v>
      </c>
      <c r="D559" s="4">
        <v>2</v>
      </c>
      <c r="E559" s="4">
        <v>20</v>
      </c>
      <c r="F559" s="4">
        <v>3076.18361</v>
      </c>
      <c r="G559" s="4">
        <v>8151.8865660000001</v>
      </c>
      <c r="H559" s="4">
        <v>1280</v>
      </c>
      <c r="I559" s="4">
        <v>1.28</v>
      </c>
      <c r="J559" s="4">
        <v>1.2800000000000001E-3</v>
      </c>
      <c r="K559" s="4">
        <v>2.8219135999999998</v>
      </c>
      <c r="L559" s="4">
        <v>1.4E-2</v>
      </c>
      <c r="M559" s="4">
        <v>2.8</v>
      </c>
      <c r="N559" s="4">
        <v>59.130966340000001</v>
      </c>
      <c r="O559" s="4">
        <v>1.156354757885421</v>
      </c>
      <c r="P559" s="4">
        <v>16.92798726942161</v>
      </c>
      <c r="Q559" s="4">
        <v>42.997087664330891</v>
      </c>
      <c r="R559" s="4">
        <v>524.51431896899282</v>
      </c>
      <c r="S559" s="4">
        <v>1260.5487117735947</v>
      </c>
      <c r="T559" s="4">
        <v>3340.4540862000258</v>
      </c>
      <c r="U559" s="4">
        <v>43</v>
      </c>
      <c r="V559" s="4">
        <v>0.48</v>
      </c>
      <c r="W559" s="4">
        <v>0</v>
      </c>
    </row>
    <row r="560" spans="1:23" x14ac:dyDescent="0.25">
      <c r="A560" s="4" t="s">
        <v>75</v>
      </c>
      <c r="B560" s="4" t="s">
        <v>76</v>
      </c>
      <c r="C560" s="4">
        <v>10</v>
      </c>
      <c r="D560" s="4">
        <v>2</v>
      </c>
      <c r="E560" s="4">
        <v>20</v>
      </c>
      <c r="F560" s="4">
        <v>3076.18361</v>
      </c>
      <c r="G560" s="4">
        <v>8151.8865660000001</v>
      </c>
      <c r="H560" s="4">
        <v>1280</v>
      </c>
      <c r="I560" s="4">
        <v>1.28</v>
      </c>
      <c r="J560" s="4">
        <v>1.2800000000000001E-3</v>
      </c>
      <c r="K560" s="4">
        <v>2.8219135999999998</v>
      </c>
      <c r="L560" s="4">
        <v>2.5000000000000001E-3</v>
      </c>
      <c r="M560" s="4">
        <v>3.1</v>
      </c>
      <c r="N560" s="4">
        <v>69.454435750000002</v>
      </c>
      <c r="O560" s="4">
        <v>10.976619154794601</v>
      </c>
      <c r="P560" s="4">
        <v>42.380357933599583</v>
      </c>
      <c r="Q560" s="4">
        <v>107.64610915134294</v>
      </c>
      <c r="R560" s="4">
        <v>4978.9166181902556</v>
      </c>
      <c r="S560" s="4">
        <v>11965.673199207537</v>
      </c>
      <c r="T560" s="4">
        <v>31709.03397789997</v>
      </c>
      <c r="U560" s="4">
        <v>122</v>
      </c>
      <c r="V560" s="4">
        <v>0.107</v>
      </c>
      <c r="W560" s="4">
        <v>0</v>
      </c>
    </row>
    <row r="561" spans="1:23" x14ac:dyDescent="0.25">
      <c r="A561" s="4" t="s">
        <v>77</v>
      </c>
      <c r="B561" s="4" t="s">
        <v>78</v>
      </c>
      <c r="C561" s="4">
        <v>10</v>
      </c>
      <c r="D561" s="4">
        <v>3</v>
      </c>
      <c r="E561" s="4">
        <v>30</v>
      </c>
      <c r="F561" s="4">
        <v>185344.34229999999</v>
      </c>
      <c r="G561" s="4">
        <v>491162.50699999998</v>
      </c>
      <c r="H561" s="4">
        <v>77121.780830000003</v>
      </c>
      <c r="I561" s="4">
        <v>77.121780830000006</v>
      </c>
      <c r="J561" s="4">
        <v>7.7121781E-2</v>
      </c>
      <c r="K561" s="4">
        <v>170.02422050000001</v>
      </c>
      <c r="L561" s="4">
        <v>3.5000000000000003E-2</v>
      </c>
      <c r="M561" s="4">
        <v>2.9</v>
      </c>
      <c r="N561" s="4">
        <v>153.9142985</v>
      </c>
      <c r="O561" s="4">
        <v>409.49356164777606</v>
      </c>
      <c r="P561" s="4">
        <v>82.049974900714616</v>
      </c>
      <c r="Q561" s="4">
        <v>208.40693624781514</v>
      </c>
      <c r="R561" s="2">
        <v>185743.37602297723</v>
      </c>
      <c r="S561" s="2">
        <v>446391.19447963766</v>
      </c>
      <c r="T561" s="2">
        <v>1182936.6653710399</v>
      </c>
      <c r="U561" s="4">
        <v>208.40700000000004</v>
      </c>
      <c r="V561" s="4">
        <v>0.5</v>
      </c>
      <c r="W561" s="4">
        <v>0</v>
      </c>
    </row>
    <row r="562" spans="1:23" x14ac:dyDescent="0.25">
      <c r="A562" s="4" t="s">
        <v>79</v>
      </c>
      <c r="B562" s="4" t="s">
        <v>80</v>
      </c>
      <c r="C562" s="4">
        <v>10</v>
      </c>
      <c r="D562" s="4">
        <v>2</v>
      </c>
      <c r="E562" s="4">
        <v>20</v>
      </c>
      <c r="F562" s="4">
        <v>4373.9485699999996</v>
      </c>
      <c r="G562" s="4">
        <v>11590.96371</v>
      </c>
      <c r="H562" s="4">
        <v>1820</v>
      </c>
      <c r="I562" s="4">
        <v>1.82</v>
      </c>
      <c r="J562" s="4">
        <v>1.82E-3</v>
      </c>
      <c r="K562" s="4">
        <v>4.0124084</v>
      </c>
      <c r="L562" s="4">
        <v>3.3999999999999998E-3</v>
      </c>
      <c r="M562" s="4">
        <v>3.2850000000000001</v>
      </c>
      <c r="N562" s="4">
        <v>41.169731259999999</v>
      </c>
      <c r="O562" s="4">
        <v>4.6263121354707657</v>
      </c>
      <c r="P562" s="4">
        <v>22.795646113927745</v>
      </c>
      <c r="Q562" s="4">
        <v>57.90094112937647</v>
      </c>
      <c r="R562" s="4">
        <v>2098.4623814855918</v>
      </c>
      <c r="S562" s="4">
        <v>5043.168424622907</v>
      </c>
      <c r="T562" s="4">
        <v>13364.396325250704</v>
      </c>
      <c r="U562" s="4">
        <v>59.9</v>
      </c>
      <c r="V562" s="4">
        <v>0.17</v>
      </c>
      <c r="W562" s="4">
        <v>0</v>
      </c>
    </row>
    <row r="563" spans="1:23" x14ac:dyDescent="0.25">
      <c r="A563" s="4" t="s">
        <v>81</v>
      </c>
      <c r="B563" s="4" t="s">
        <v>82</v>
      </c>
      <c r="C563" s="4">
        <v>10</v>
      </c>
      <c r="D563" s="4">
        <v>2</v>
      </c>
      <c r="E563" s="4">
        <v>20</v>
      </c>
      <c r="F563" s="4">
        <v>3076.18361</v>
      </c>
      <c r="G563" s="4">
        <v>8151.8865660000001</v>
      </c>
      <c r="H563" s="4">
        <v>1280</v>
      </c>
      <c r="I563" s="4">
        <v>1.28</v>
      </c>
      <c r="J563" s="4">
        <v>1.2800000000000001E-3</v>
      </c>
      <c r="K563" s="4">
        <v>2.8219135999999998</v>
      </c>
      <c r="L563" s="4">
        <v>1.4999999999999999E-2</v>
      </c>
      <c r="M563" s="4">
        <v>3</v>
      </c>
      <c r="N563" s="4">
        <v>44.02569665</v>
      </c>
      <c r="O563" s="4">
        <v>35.572877697979344</v>
      </c>
      <c r="P563" s="4">
        <v>40.339540702443088</v>
      </c>
      <c r="Q563" s="4">
        <v>102.46243338420544</v>
      </c>
      <c r="R563" s="4">
        <v>16135.605092024631</v>
      </c>
      <c r="S563" s="4">
        <v>38778.190560020739</v>
      </c>
      <c r="T563" s="4">
        <v>102762.20498405496</v>
      </c>
      <c r="U563" s="4">
        <v>106</v>
      </c>
      <c r="V563" s="4">
        <v>0.17</v>
      </c>
      <c r="W563" s="4">
        <v>0</v>
      </c>
    </row>
    <row r="564" spans="1:23" x14ac:dyDescent="0.25">
      <c r="A564" s="4" t="s">
        <v>83</v>
      </c>
      <c r="B564" s="4" t="s">
        <v>84</v>
      </c>
      <c r="C564" s="4">
        <v>10</v>
      </c>
      <c r="D564" s="4">
        <v>7</v>
      </c>
      <c r="E564" s="4">
        <v>70</v>
      </c>
      <c r="F564" s="4">
        <v>66302.710800000001</v>
      </c>
      <c r="G564" s="4">
        <v>175702.084</v>
      </c>
      <c r="H564" s="4">
        <v>27588.557959999998</v>
      </c>
      <c r="I564" s="4">
        <v>27.588557959999999</v>
      </c>
      <c r="J564" s="4">
        <v>2.7588557999999999E-2</v>
      </c>
      <c r="K564" s="4">
        <v>60.822286660000003</v>
      </c>
      <c r="L564" s="4">
        <v>5.4000000000000003E-3</v>
      </c>
      <c r="M564" s="4">
        <v>3</v>
      </c>
      <c r="N564" s="4">
        <v>172.23116809999999</v>
      </c>
      <c r="O564" s="4">
        <v>261.10422177632682</v>
      </c>
      <c r="P564" s="4">
        <v>110.20342203743165</v>
      </c>
      <c r="Q564" s="4">
        <v>279.91669197507639</v>
      </c>
      <c r="R564" s="4">
        <v>118435.02362145261</v>
      </c>
      <c r="S564" s="4">
        <v>284631.15506237105</v>
      </c>
      <c r="T564" s="4">
        <v>754272.56091528328</v>
      </c>
      <c r="U564" s="4">
        <v>280</v>
      </c>
      <c r="V564" s="4">
        <v>0.11600000000000001</v>
      </c>
      <c r="W564" s="4">
        <v>0</v>
      </c>
    </row>
    <row r="565" spans="1:23" x14ac:dyDescent="0.25">
      <c r="A565" s="4" t="s">
        <v>85</v>
      </c>
      <c r="B565" s="4" t="s">
        <v>86</v>
      </c>
      <c r="C565" s="4">
        <v>10</v>
      </c>
      <c r="D565" s="4">
        <v>7</v>
      </c>
      <c r="E565" s="4">
        <v>70</v>
      </c>
      <c r="F565" s="4">
        <v>66302.710800000001</v>
      </c>
      <c r="G565" s="4">
        <v>175702.084</v>
      </c>
      <c r="H565" s="4">
        <v>27588.557959999998</v>
      </c>
      <c r="I565" s="4">
        <v>27.588557959999999</v>
      </c>
      <c r="J565" s="4">
        <v>2.7588557999999999E-2</v>
      </c>
      <c r="K565" s="4">
        <v>60.822286660000003</v>
      </c>
      <c r="L565" s="4">
        <v>5.2399999999999999E-3</v>
      </c>
      <c r="M565" s="4">
        <v>3.141</v>
      </c>
      <c r="N565" s="4">
        <v>138.00379409999999</v>
      </c>
      <c r="O565" s="4">
        <v>766.25664546814528</v>
      </c>
      <c r="P565" s="4">
        <v>121.72041537092892</v>
      </c>
      <c r="Q565" s="4">
        <v>309.16985504215944</v>
      </c>
      <c r="R565" s="2">
        <v>347568.58119228948</v>
      </c>
      <c r="S565" s="2">
        <v>835300.60368250287</v>
      </c>
      <c r="T565" s="2">
        <v>2213546.5997586325</v>
      </c>
      <c r="U565" s="4">
        <v>309.24444444444441</v>
      </c>
      <c r="V565" s="4">
        <v>0.13655555555555554</v>
      </c>
      <c r="W565" s="4">
        <v>9</v>
      </c>
    </row>
    <row r="566" spans="1:23" x14ac:dyDescent="0.25">
      <c r="A566" s="4" t="s">
        <v>87</v>
      </c>
      <c r="B566" s="4" t="s">
        <v>88</v>
      </c>
      <c r="C566" s="4">
        <v>10</v>
      </c>
      <c r="D566" s="4">
        <v>2</v>
      </c>
      <c r="E566" s="4">
        <v>20</v>
      </c>
      <c r="F566" s="4">
        <v>3076.18361</v>
      </c>
      <c r="G566" s="4">
        <v>8151.8865660000001</v>
      </c>
      <c r="H566" s="4">
        <v>1280</v>
      </c>
      <c r="I566" s="4">
        <v>1.28</v>
      </c>
      <c r="J566" s="4">
        <v>1.2800000000000001E-3</v>
      </c>
      <c r="K566" s="4">
        <v>2.8219135999999998</v>
      </c>
      <c r="L566" s="4">
        <v>6.0000000000000001E-3</v>
      </c>
      <c r="M566" s="4">
        <v>3.1</v>
      </c>
      <c r="N566" s="4">
        <v>52.36621684</v>
      </c>
      <c r="O566" s="4">
        <v>0.79828620262158945</v>
      </c>
      <c r="P566" s="4">
        <v>13.718892947072641</v>
      </c>
      <c r="Q566" s="4">
        <v>34.845988085564507</v>
      </c>
      <c r="R566" s="4">
        <v>362.09696120945534</v>
      </c>
      <c r="S566" s="4">
        <v>870.21620093596573</v>
      </c>
      <c r="T566" s="4">
        <v>2306.0729324803092</v>
      </c>
      <c r="U566" s="4">
        <v>40.299999999999997</v>
      </c>
      <c r="V566" s="4">
        <v>0.1</v>
      </c>
      <c r="W566" s="4">
        <v>0</v>
      </c>
    </row>
    <row r="567" spans="1:23" x14ac:dyDescent="0.25">
      <c r="A567" s="4" t="s">
        <v>89</v>
      </c>
      <c r="B567" s="4" t="s">
        <v>90</v>
      </c>
      <c r="C567" s="4">
        <v>10</v>
      </c>
      <c r="D567" s="4">
        <v>8</v>
      </c>
      <c r="E567" s="4">
        <v>80</v>
      </c>
      <c r="F567" s="4">
        <v>100000</v>
      </c>
      <c r="G567" s="4">
        <v>265000</v>
      </c>
      <c r="H567" s="4">
        <v>41610</v>
      </c>
      <c r="I567" s="4">
        <v>41.61</v>
      </c>
      <c r="J567" s="4">
        <v>4.1610000000000001E-2</v>
      </c>
      <c r="K567" s="4">
        <v>91.734238199999993</v>
      </c>
      <c r="L567" s="2">
        <v>0.05</v>
      </c>
      <c r="M567" s="2">
        <v>3.2</v>
      </c>
      <c r="N567" s="4">
        <v>217.4624772</v>
      </c>
      <c r="O567" s="4">
        <v>424.6697597645209</v>
      </c>
      <c r="P567" s="4">
        <v>44.999988729676325</v>
      </c>
      <c r="Q567" s="4">
        <v>114.29997137337786</v>
      </c>
      <c r="R567" s="4">
        <v>192627.1918809232</v>
      </c>
      <c r="S567" s="4">
        <v>462934.85191281704</v>
      </c>
      <c r="T567" s="4">
        <v>1226777.3575689651</v>
      </c>
      <c r="U567" s="4">
        <v>114.3</v>
      </c>
      <c r="V567" s="4">
        <v>0.19</v>
      </c>
      <c r="W567" s="4">
        <v>0</v>
      </c>
    </row>
    <row r="568" spans="1:23" x14ac:dyDescent="0.25">
      <c r="A568" s="4" t="s">
        <v>91</v>
      </c>
      <c r="B568" s="4" t="s">
        <v>92</v>
      </c>
      <c r="C568" s="4">
        <v>10</v>
      </c>
      <c r="D568" s="4">
        <v>2</v>
      </c>
      <c r="E568" s="4">
        <v>20</v>
      </c>
      <c r="F568" s="4">
        <v>3076.18361</v>
      </c>
      <c r="G568" s="4">
        <v>8151.8865660000001</v>
      </c>
      <c r="H568" s="4">
        <v>1280</v>
      </c>
      <c r="I568" s="4">
        <v>1.28</v>
      </c>
      <c r="J568" s="4">
        <v>1.2800000000000001E-3</v>
      </c>
      <c r="K568" s="4">
        <v>2.8219135999999998</v>
      </c>
      <c r="L568" s="4">
        <v>1.2999999999999999E-2</v>
      </c>
      <c r="M568" s="4">
        <v>3</v>
      </c>
      <c r="N568" s="4">
        <v>46.176626929999998</v>
      </c>
      <c r="O568" s="4">
        <v>5.8423705783111286</v>
      </c>
      <c r="P568" s="4">
        <v>23.170582493802691</v>
      </c>
      <c r="Q568" s="4">
        <v>58.853279534258832</v>
      </c>
      <c r="R568" s="4">
        <v>2650.0578686173258</v>
      </c>
      <c r="S568" s="4">
        <v>6368.8004532980667</v>
      </c>
      <c r="T568" s="4">
        <v>16877.321201239876</v>
      </c>
      <c r="U568" s="4">
        <v>60.2</v>
      </c>
      <c r="V568" s="4">
        <v>0.19</v>
      </c>
      <c r="W568" s="4">
        <v>0</v>
      </c>
    </row>
    <row r="569" spans="1:23" x14ac:dyDescent="0.25">
      <c r="A569" s="4" t="s">
        <v>93</v>
      </c>
      <c r="B569" s="4" t="s">
        <v>94</v>
      </c>
      <c r="C569" s="4">
        <v>10</v>
      </c>
      <c r="D569" s="4">
        <v>9</v>
      </c>
      <c r="E569" s="4">
        <v>90</v>
      </c>
      <c r="F569" s="4">
        <v>1772528862</v>
      </c>
      <c r="G569" s="4">
        <v>4697201485</v>
      </c>
      <c r="H569" s="4">
        <v>737549259.5</v>
      </c>
      <c r="I569" s="4">
        <v>737549.25950000004</v>
      </c>
      <c r="J569" s="4">
        <v>737.54925949999995</v>
      </c>
      <c r="K569" s="4">
        <v>1626015.848</v>
      </c>
      <c r="L569" s="2">
        <v>1.7000000000000001E-2</v>
      </c>
      <c r="M569" s="4">
        <v>3</v>
      </c>
      <c r="N569" s="4">
        <v>1544.971047</v>
      </c>
      <c r="O569" s="4">
        <v>149223.62403150235</v>
      </c>
      <c r="P569" s="4">
        <v>623.99999989442563</v>
      </c>
      <c r="Q569" s="4">
        <v>1584.959999731841</v>
      </c>
      <c r="R569" s="2">
        <v>67686777.780979186</v>
      </c>
      <c r="S569" s="2">
        <v>162669497.19052917</v>
      </c>
      <c r="T569" s="2">
        <v>431074167.55490226</v>
      </c>
      <c r="U569" s="4">
        <v>1584.96</v>
      </c>
      <c r="V569" s="2">
        <v>0.25</v>
      </c>
      <c r="W569" s="4">
        <v>0</v>
      </c>
    </row>
    <row r="570" spans="1:23" x14ac:dyDescent="0.25">
      <c r="A570" s="4" t="s">
        <v>95</v>
      </c>
      <c r="B570" s="2" t="s">
        <v>96</v>
      </c>
      <c r="C570" s="4">
        <v>10</v>
      </c>
      <c r="D570" s="4">
        <v>2</v>
      </c>
      <c r="E570" s="4">
        <v>20</v>
      </c>
      <c r="F570" s="4">
        <v>3076.18361</v>
      </c>
      <c r="G570" s="4">
        <v>8151.8865660000001</v>
      </c>
      <c r="H570" s="4">
        <v>1280</v>
      </c>
      <c r="I570" s="4">
        <v>1.28</v>
      </c>
      <c r="J570" s="4">
        <v>1.2800000000000001E-3</v>
      </c>
      <c r="K570" s="4">
        <v>2.8219135999999998</v>
      </c>
      <c r="L570" s="4">
        <v>0.01</v>
      </c>
      <c r="M570" s="4">
        <v>3</v>
      </c>
      <c r="N570" s="4">
        <v>45.599358580000001</v>
      </c>
      <c r="O570" s="4">
        <v>52.464566095090916</v>
      </c>
      <c r="P570" s="4">
        <v>52.562627209107148</v>
      </c>
      <c r="Q570" s="4">
        <v>133.50907311113215</v>
      </c>
      <c r="R570" s="4">
        <v>23797.555177350707</v>
      </c>
      <c r="S570" s="4">
        <v>57191.913427903637</v>
      </c>
      <c r="T570" s="4">
        <v>151558.57058394465</v>
      </c>
      <c r="U570" s="4">
        <v>136</v>
      </c>
      <c r="V570" s="4">
        <v>0.2</v>
      </c>
      <c r="W570" s="4">
        <v>0</v>
      </c>
    </row>
    <row r="571" spans="1:23" x14ac:dyDescent="0.25">
      <c r="A571" s="4" t="s">
        <v>97</v>
      </c>
      <c r="B571" s="4" t="s">
        <v>98</v>
      </c>
      <c r="C571" s="4">
        <v>10</v>
      </c>
      <c r="D571" s="4">
        <v>2</v>
      </c>
      <c r="E571" s="4">
        <v>20</v>
      </c>
      <c r="F571" s="4">
        <v>27189.341339999999</v>
      </c>
      <c r="G571" s="4">
        <v>72051.754549999998</v>
      </c>
      <c r="H571" s="4">
        <v>11313.484930000001</v>
      </c>
      <c r="I571" s="4">
        <v>11.31348493</v>
      </c>
      <c r="J571" s="4">
        <v>1.1313485E-2</v>
      </c>
      <c r="K571" s="4">
        <v>24.941935149999999</v>
      </c>
      <c r="L571" s="2">
        <v>6.5000000000000002E-2</v>
      </c>
      <c r="M571" s="4">
        <v>3</v>
      </c>
      <c r="N571" s="4">
        <v>82.703166069999995</v>
      </c>
      <c r="O571" s="4">
        <v>1.8835740995066796</v>
      </c>
      <c r="P571" s="4">
        <v>9.2913357404351338</v>
      </c>
      <c r="Q571" s="4">
        <v>23.599992780705239</v>
      </c>
      <c r="R571" s="4">
        <v>854.37585593284996</v>
      </c>
      <c r="S571" s="4">
        <v>2053.2945348061762</v>
      </c>
      <c r="T571" s="4">
        <v>5441.2305172363667</v>
      </c>
      <c r="U571" s="4">
        <v>23.6</v>
      </c>
      <c r="V571" s="4">
        <v>0.75</v>
      </c>
      <c r="W571" s="4">
        <v>0</v>
      </c>
    </row>
    <row r="572" spans="1:23" x14ac:dyDescent="0.25">
      <c r="A572" s="4" t="s">
        <v>99</v>
      </c>
      <c r="B572" s="4" t="s">
        <v>100</v>
      </c>
      <c r="C572" s="4">
        <v>10</v>
      </c>
      <c r="D572" s="4">
        <v>2</v>
      </c>
      <c r="E572" s="4">
        <v>20</v>
      </c>
      <c r="F572" s="4">
        <v>3076.18361</v>
      </c>
      <c r="G572" s="4">
        <v>8151.8865660000001</v>
      </c>
      <c r="H572" s="4">
        <v>1280</v>
      </c>
      <c r="I572" s="4">
        <v>1.28</v>
      </c>
      <c r="J572" s="4">
        <v>1.2800000000000001E-3</v>
      </c>
      <c r="K572" s="4">
        <v>2.8219135999999998</v>
      </c>
      <c r="L572" s="4">
        <v>1.4999999999999999E-2</v>
      </c>
      <c r="M572" s="4">
        <v>3.1</v>
      </c>
      <c r="N572" s="4">
        <v>38.965787259999999</v>
      </c>
      <c r="O572" s="4">
        <v>3.3003609426445943</v>
      </c>
      <c r="P572" s="4">
        <v>16.135816280977231</v>
      </c>
      <c r="Q572" s="4">
        <v>40.984973353682172</v>
      </c>
      <c r="R572" s="4">
        <v>1497.020322161912</v>
      </c>
      <c r="S572" s="4">
        <v>3597.7417019031764</v>
      </c>
      <c r="T572" s="4">
        <v>9534.0155100434167</v>
      </c>
      <c r="U572" s="4">
        <v>42.4</v>
      </c>
      <c r="V572" s="4">
        <v>0.17</v>
      </c>
      <c r="W572" s="4">
        <v>0</v>
      </c>
    </row>
    <row r="573" spans="1:23" x14ac:dyDescent="0.25">
      <c r="A573" s="4" t="s">
        <v>101</v>
      </c>
      <c r="B573" s="4" t="s">
        <v>102</v>
      </c>
      <c r="C573" s="4">
        <v>10</v>
      </c>
      <c r="D573" s="4">
        <v>2</v>
      </c>
      <c r="E573" s="4">
        <v>20</v>
      </c>
      <c r="F573" s="4">
        <v>3076.18361</v>
      </c>
      <c r="G573" s="4">
        <v>8151.8865660000001</v>
      </c>
      <c r="H573" s="4">
        <v>1280</v>
      </c>
      <c r="I573" s="4">
        <v>1.28</v>
      </c>
      <c r="J573" s="4">
        <v>1.2800000000000001E-3</v>
      </c>
      <c r="K573" s="4">
        <v>2.8219135999999998</v>
      </c>
      <c r="L573" s="4">
        <v>1.2E-2</v>
      </c>
      <c r="M573" s="4">
        <v>3.1</v>
      </c>
      <c r="N573" s="4">
        <v>41.874029010000001</v>
      </c>
      <c r="O573" s="4">
        <v>51.570703466293651</v>
      </c>
      <c r="P573" s="4">
        <v>42.088401708463309</v>
      </c>
      <c r="Q573" s="4">
        <v>106.9045403394968</v>
      </c>
      <c r="R573" s="2">
        <v>23392.105426918766</v>
      </c>
      <c r="S573" s="2">
        <v>56217.508836622837</v>
      </c>
      <c r="T573" s="2">
        <v>148976.39841705051</v>
      </c>
      <c r="U573" s="4">
        <v>150.03333333333333</v>
      </c>
      <c r="V573" s="4">
        <v>0.11333333333333334</v>
      </c>
      <c r="W573" s="4">
        <v>9</v>
      </c>
    </row>
    <row r="574" spans="1:23" x14ac:dyDescent="0.25">
      <c r="A574" s="4" t="s">
        <v>103</v>
      </c>
      <c r="B574" s="4" t="s">
        <v>104</v>
      </c>
      <c r="C574" s="4">
        <v>10</v>
      </c>
      <c r="D574" s="4">
        <v>1</v>
      </c>
      <c r="E574" s="4">
        <v>10</v>
      </c>
      <c r="F574" s="4">
        <v>4325.8832009999996</v>
      </c>
      <c r="G574" s="4">
        <v>11463.590480000001</v>
      </c>
      <c r="H574" s="4">
        <v>1800</v>
      </c>
      <c r="I574" s="4">
        <v>1.8</v>
      </c>
      <c r="J574" s="4">
        <v>1.8E-3</v>
      </c>
      <c r="K574" s="4">
        <v>3.9683160000000002</v>
      </c>
      <c r="L574" s="4">
        <v>1.2999999999999999E-2</v>
      </c>
      <c r="M574" s="4">
        <v>2.8</v>
      </c>
      <c r="N574" s="4">
        <v>68.578658140000002</v>
      </c>
      <c r="O574" s="4">
        <v>2.0949881368275705</v>
      </c>
      <c r="P574" s="4">
        <v>21.491910515869385</v>
      </c>
      <c r="Q574" s="4">
        <v>54.589452710308244</v>
      </c>
      <c r="R574" s="4">
        <v>950.27176421676768</v>
      </c>
      <c r="S574" s="4">
        <v>2283.7581451977112</v>
      </c>
      <c r="T574" s="4">
        <v>6051.9590847739346</v>
      </c>
      <c r="U574" s="4">
        <v>65.400000000000006</v>
      </c>
      <c r="V574" s="4">
        <v>0.18</v>
      </c>
      <c r="W574" s="4">
        <v>0</v>
      </c>
    </row>
    <row r="575" spans="1:23" x14ac:dyDescent="0.25">
      <c r="A575" s="2" t="s">
        <v>105</v>
      </c>
      <c r="B575" s="4" t="s">
        <v>700</v>
      </c>
      <c r="C575" s="4">
        <v>10</v>
      </c>
      <c r="D575" s="4">
        <v>3</v>
      </c>
      <c r="E575" s="4">
        <v>30</v>
      </c>
      <c r="F575" s="4">
        <v>32000</v>
      </c>
      <c r="G575" s="4">
        <v>85500</v>
      </c>
      <c r="H575" s="4">
        <v>13315.2</v>
      </c>
      <c r="I575" s="4">
        <v>13.315200000000001</v>
      </c>
      <c r="J575" s="4">
        <v>1.3315200000000001E-2</v>
      </c>
      <c r="K575" s="4">
        <v>29.346700800000004</v>
      </c>
      <c r="L575" s="3">
        <v>1.2699999999999999E-2</v>
      </c>
      <c r="M575" s="3">
        <v>3.1</v>
      </c>
      <c r="N575" s="4">
        <v>87.52073557813911</v>
      </c>
      <c r="O575" s="4">
        <v>57.402451728377855</v>
      </c>
      <c r="P575" s="4">
        <v>42.778793744958321</v>
      </c>
      <c r="Q575" s="4">
        <v>108.65813611219413</v>
      </c>
      <c r="R575" s="2">
        <v>26037.345088213777</v>
      </c>
      <c r="S575" s="2">
        <v>62574.729844301321</v>
      </c>
      <c r="T575" s="2">
        <v>165823.0340873985</v>
      </c>
      <c r="U575" s="4">
        <v>109.97499999999999</v>
      </c>
      <c r="V575" s="4">
        <v>0.14750000000000002</v>
      </c>
      <c r="W575" s="4">
        <v>0</v>
      </c>
    </row>
    <row r="576" spans="1:23" x14ac:dyDescent="0.25">
      <c r="A576" s="4" t="s">
        <v>107</v>
      </c>
      <c r="B576" s="4" t="s">
        <v>108</v>
      </c>
      <c r="C576" s="4">
        <v>10</v>
      </c>
      <c r="D576" s="4">
        <v>5</v>
      </c>
      <c r="E576" s="4">
        <v>50</v>
      </c>
      <c r="F576" s="4">
        <v>7701.2572719999998</v>
      </c>
      <c r="G576" s="4">
        <v>20408.331770000001</v>
      </c>
      <c r="H576" s="4">
        <v>3204.4931510000001</v>
      </c>
      <c r="I576" s="4">
        <v>3.2044931509999999</v>
      </c>
      <c r="J576" s="4">
        <v>3.2044930000000001E-3</v>
      </c>
      <c r="K576" s="4">
        <v>7.0646896899999998</v>
      </c>
      <c r="L576" s="4">
        <v>3.5999999999999999E-3</v>
      </c>
      <c r="M576" s="4">
        <v>3</v>
      </c>
      <c r="N576" s="4">
        <v>96.194952009999994</v>
      </c>
      <c r="O576" s="4">
        <v>15.1321591634717</v>
      </c>
      <c r="P576" s="4">
        <v>48.81888270398121</v>
      </c>
      <c r="Q576" s="4">
        <v>123.99996206811227</v>
      </c>
      <c r="R576" s="4">
        <v>6863.8401010023044</v>
      </c>
      <c r="S576" s="4">
        <v>16495.650326850046</v>
      </c>
      <c r="T576" s="4">
        <v>43713.473366152619</v>
      </c>
      <c r="U576" s="4">
        <v>124</v>
      </c>
      <c r="V576" s="4">
        <v>0.3</v>
      </c>
      <c r="W576" s="4">
        <v>0</v>
      </c>
    </row>
    <row r="577" spans="1:23" x14ac:dyDescent="0.25">
      <c r="A577" s="4" t="s">
        <v>109</v>
      </c>
      <c r="B577" s="4" t="s">
        <v>110</v>
      </c>
      <c r="C577" s="4">
        <v>10</v>
      </c>
      <c r="D577" s="4">
        <v>5</v>
      </c>
      <c r="E577" s="4">
        <v>50</v>
      </c>
      <c r="F577" s="4">
        <v>7701.2572719999998</v>
      </c>
      <c r="G577" s="4">
        <v>20408.331770000001</v>
      </c>
      <c r="H577" s="4">
        <v>3204.4931510000001</v>
      </c>
      <c r="I577" s="4">
        <v>3.2044931509999999</v>
      </c>
      <c r="J577" s="4">
        <v>3.2044930000000001E-3</v>
      </c>
      <c r="K577" s="4">
        <v>7.0646896899999998</v>
      </c>
      <c r="L577" s="4">
        <v>4.3E-3</v>
      </c>
      <c r="M577" s="4">
        <v>3.1</v>
      </c>
      <c r="N577" s="4">
        <v>78.394823119999998</v>
      </c>
      <c r="O577" s="4">
        <v>262.28133571106258</v>
      </c>
      <c r="P577" s="4">
        <v>99.037624537959886</v>
      </c>
      <c r="Q577" s="4">
        <v>251.55556632641813</v>
      </c>
      <c r="R577" s="4">
        <v>118968.95415584663</v>
      </c>
      <c r="S577" s="4">
        <v>285914.33346754772</v>
      </c>
      <c r="T577" s="4">
        <v>757672.98368900141</v>
      </c>
      <c r="U577" s="4">
        <v>267</v>
      </c>
      <c r="V577" s="4">
        <v>5.7000000000000002E-2</v>
      </c>
      <c r="W577" s="4">
        <v>0</v>
      </c>
    </row>
    <row r="578" spans="1:23" x14ac:dyDescent="0.25">
      <c r="A578" s="4" t="s">
        <v>111</v>
      </c>
      <c r="B578" s="4" t="s">
        <v>112</v>
      </c>
      <c r="C578" s="4">
        <v>10</v>
      </c>
      <c r="D578" s="4">
        <v>2</v>
      </c>
      <c r="E578" s="4">
        <v>20</v>
      </c>
      <c r="F578" s="4">
        <v>3076.18361</v>
      </c>
      <c r="G578" s="4">
        <v>8151.8865660000001</v>
      </c>
      <c r="H578" s="4">
        <v>1280</v>
      </c>
      <c r="I578" s="4">
        <v>1.28</v>
      </c>
      <c r="J578" s="4">
        <v>1.2800000000000001E-3</v>
      </c>
      <c r="K578" s="4">
        <v>2.8219135999999998</v>
      </c>
      <c r="L578" s="4">
        <v>1.2200000000000001E-2</v>
      </c>
      <c r="M578" s="4">
        <v>2.9</v>
      </c>
      <c r="N578" s="4">
        <v>53.867600940000003</v>
      </c>
      <c r="O578" s="4">
        <v>21.439135995298788</v>
      </c>
      <c r="P578" s="4">
        <v>42.674752342694731</v>
      </c>
      <c r="Q578" s="4">
        <v>108.39387095044462</v>
      </c>
      <c r="R578" s="4">
        <v>9724.6400718939258</v>
      </c>
      <c r="S578" s="4">
        <v>23370.92062459487</v>
      </c>
      <c r="T578" s="4">
        <v>61932.9396551764</v>
      </c>
      <c r="U578" s="4">
        <v>113</v>
      </c>
      <c r="V578" s="4">
        <v>0.16</v>
      </c>
      <c r="W578" s="4">
        <v>0</v>
      </c>
    </row>
    <row r="579" spans="1:23" x14ac:dyDescent="0.25">
      <c r="A579" s="4" t="s">
        <v>113</v>
      </c>
      <c r="B579" s="4" t="s">
        <v>114</v>
      </c>
      <c r="C579" s="4">
        <v>10</v>
      </c>
      <c r="D579" s="4">
        <v>2</v>
      </c>
      <c r="E579" s="4">
        <v>20</v>
      </c>
      <c r="F579" s="4">
        <v>4373.9485699999996</v>
      </c>
      <c r="G579" s="4">
        <v>11590.96371</v>
      </c>
      <c r="H579" s="4">
        <v>1820</v>
      </c>
      <c r="I579" s="4">
        <v>1.82</v>
      </c>
      <c r="J579" s="4">
        <v>1.82E-3</v>
      </c>
      <c r="K579" s="4">
        <v>4.0124084</v>
      </c>
      <c r="L579" s="4">
        <v>1.2E-2</v>
      </c>
      <c r="M579" s="4">
        <v>3.05</v>
      </c>
      <c r="N579" s="4">
        <v>49.963459960000002</v>
      </c>
      <c r="O579" s="4">
        <v>20.095471608124409</v>
      </c>
      <c r="P579" s="4">
        <v>33.360023929469271</v>
      </c>
      <c r="Q579" s="4">
        <v>84.734460780851947</v>
      </c>
      <c r="R579" s="4">
        <v>9115.1634332104441</v>
      </c>
      <c r="S579" s="4">
        <v>21906.184650830193</v>
      </c>
      <c r="T579" s="4">
        <v>58051.389324700009</v>
      </c>
      <c r="U579" s="4">
        <v>85.9</v>
      </c>
      <c r="V579" s="4">
        <v>0.215</v>
      </c>
      <c r="W579" s="4">
        <v>0</v>
      </c>
    </row>
    <row r="580" spans="1:23" x14ac:dyDescent="0.25">
      <c r="A580" s="4" t="s">
        <v>115</v>
      </c>
      <c r="B580" s="4" t="s">
        <v>116</v>
      </c>
      <c r="C580" s="4">
        <v>10</v>
      </c>
      <c r="D580" s="4">
        <v>7</v>
      </c>
      <c r="E580" s="4">
        <v>70</v>
      </c>
      <c r="F580" s="4">
        <v>9236059.2980000004</v>
      </c>
      <c r="G580" s="4">
        <v>24475557.140000001</v>
      </c>
      <c r="H580" s="4">
        <v>3843124.2740000002</v>
      </c>
      <c r="I580" s="4">
        <v>3843.1242739999998</v>
      </c>
      <c r="J580" s="4">
        <v>3.843124274</v>
      </c>
      <c r="K580" s="4">
        <v>8472.6286369999998</v>
      </c>
      <c r="L580" s="2">
        <v>1.4999999999999999E-2</v>
      </c>
      <c r="M580" s="4">
        <v>3</v>
      </c>
      <c r="N580" s="4">
        <v>727.04530810000006</v>
      </c>
      <c r="O580" s="4">
        <v>663.86145309757899</v>
      </c>
      <c r="P580" s="4">
        <v>106.99999731323089</v>
      </c>
      <c r="Q580" s="4">
        <v>271.77999317560648</v>
      </c>
      <c r="R580" s="2">
        <v>301122.84797270229</v>
      </c>
      <c r="S580" s="2">
        <v>723679.03862701822</v>
      </c>
      <c r="T580" s="2">
        <v>1917749.4523615981</v>
      </c>
      <c r="U580" s="4">
        <v>271.77999999999997</v>
      </c>
      <c r="V580" s="4">
        <v>0.25</v>
      </c>
      <c r="W580" s="4">
        <v>0</v>
      </c>
    </row>
    <row r="581" spans="1:23" x14ac:dyDescent="0.25">
      <c r="A581" s="4" t="s">
        <v>117</v>
      </c>
      <c r="B581" s="4" t="s">
        <v>118</v>
      </c>
      <c r="C581" s="4">
        <v>10</v>
      </c>
      <c r="D581" s="4">
        <v>2</v>
      </c>
      <c r="E581" s="4">
        <v>20</v>
      </c>
      <c r="F581" s="4">
        <v>3076.18361</v>
      </c>
      <c r="G581" s="4">
        <v>8151.8865660000001</v>
      </c>
      <c r="H581" s="4">
        <v>1280</v>
      </c>
      <c r="I581" s="4">
        <v>1.28</v>
      </c>
      <c r="J581" s="4">
        <v>1.2800000000000001E-3</v>
      </c>
      <c r="K581" s="4">
        <v>2.8219135999999998</v>
      </c>
      <c r="L581" s="4">
        <v>1.4999999999999999E-2</v>
      </c>
      <c r="M581" s="4">
        <v>3</v>
      </c>
      <c r="N581" s="4">
        <v>44.02569665</v>
      </c>
      <c r="O581" s="4">
        <v>8.38496893870043</v>
      </c>
      <c r="P581" s="4">
        <v>24.918683963417305</v>
      </c>
      <c r="Q581" s="4">
        <v>63.293457267079951</v>
      </c>
      <c r="R581" s="4">
        <v>3803.362456432596</v>
      </c>
      <c r="S581" s="4">
        <v>9140.5009767666306</v>
      </c>
      <c r="T581" s="4">
        <v>24222.32758843157</v>
      </c>
      <c r="U581" s="4">
        <v>73.2</v>
      </c>
      <c r="V581" s="4">
        <v>0.1</v>
      </c>
      <c r="W581" s="4">
        <v>0</v>
      </c>
    </row>
    <row r="582" spans="1:23" x14ac:dyDescent="0.25">
      <c r="A582" s="4" t="s">
        <v>119</v>
      </c>
      <c r="B582" s="4" t="s">
        <v>120</v>
      </c>
      <c r="C582" s="4">
        <v>10</v>
      </c>
      <c r="D582" s="4">
        <v>3</v>
      </c>
      <c r="E582" s="4">
        <v>30</v>
      </c>
      <c r="F582" s="4">
        <v>188718.33360000001</v>
      </c>
      <c r="G582" s="4">
        <v>500103.58419999998</v>
      </c>
      <c r="H582" s="4">
        <v>78525.698610000007</v>
      </c>
      <c r="I582" s="4">
        <v>78.525698610000006</v>
      </c>
      <c r="J582" s="4">
        <v>7.8525699000000004E-2</v>
      </c>
      <c r="K582" s="4">
        <v>173.11932569999999</v>
      </c>
      <c r="L582" s="4">
        <v>2.1399999999999999E-2</v>
      </c>
      <c r="M582" s="4">
        <v>2.96</v>
      </c>
      <c r="N582" s="4">
        <v>165.1085664</v>
      </c>
      <c r="O582" s="4">
        <v>92.336743489784439</v>
      </c>
      <c r="P582" s="4">
        <v>52.567334762858053</v>
      </c>
      <c r="Q582" s="4">
        <v>133.52103029765945</v>
      </c>
      <c r="R582" s="2">
        <v>41883.292127343688</v>
      </c>
      <c r="S582" s="2">
        <v>100656.79434593531</v>
      </c>
      <c r="T582" s="2">
        <v>266740.5050167286</v>
      </c>
      <c r="U582" s="4">
        <v>133.76666666666668</v>
      </c>
      <c r="V582" s="4">
        <v>0.3</v>
      </c>
      <c r="W582" s="4">
        <v>9</v>
      </c>
    </row>
    <row r="583" spans="1:23" x14ac:dyDescent="0.25">
      <c r="A583" s="4" t="s">
        <v>121</v>
      </c>
      <c r="B583" s="4" t="s">
        <v>122</v>
      </c>
      <c r="C583" s="4">
        <v>10</v>
      </c>
      <c r="D583" s="4">
        <v>7</v>
      </c>
      <c r="E583" s="4">
        <v>70</v>
      </c>
      <c r="F583" s="4">
        <v>9236059.2980000004</v>
      </c>
      <c r="G583" s="4">
        <v>24475557.140000001</v>
      </c>
      <c r="H583" s="4">
        <v>3843124.2740000002</v>
      </c>
      <c r="I583" s="4">
        <v>3843.1242739999998</v>
      </c>
      <c r="J583" s="4">
        <v>3.843124274</v>
      </c>
      <c r="K583" s="4">
        <v>8472.6286369999998</v>
      </c>
      <c r="L583" s="2">
        <v>1E-3</v>
      </c>
      <c r="M583" s="4">
        <v>3</v>
      </c>
      <c r="N583" s="4">
        <v>727.04530810000006</v>
      </c>
      <c r="O583" s="4">
        <v>39457.302658802262</v>
      </c>
      <c r="P583" s="4">
        <v>1029.8267457946019</v>
      </c>
      <c r="Q583" s="4">
        <v>2615.7599343182887</v>
      </c>
      <c r="R583" s="2">
        <v>17897552.71148872</v>
      </c>
      <c r="S583" s="2">
        <v>43012623.675771981</v>
      </c>
      <c r="T583" s="2">
        <v>113983452.74079575</v>
      </c>
      <c r="U583" s="4">
        <v>2615.7600000000002</v>
      </c>
      <c r="V583" s="4">
        <v>0.25</v>
      </c>
      <c r="W583" s="4">
        <v>0</v>
      </c>
    </row>
    <row r="584" spans="1:23" x14ac:dyDescent="0.25">
      <c r="A584" s="4" t="s">
        <v>123</v>
      </c>
      <c r="B584" s="4" t="s">
        <v>124</v>
      </c>
      <c r="C584" s="4">
        <v>10</v>
      </c>
      <c r="D584" s="4">
        <v>2</v>
      </c>
      <c r="E584" s="4">
        <v>20</v>
      </c>
      <c r="F584" s="4">
        <v>3076.18361</v>
      </c>
      <c r="G584" s="4">
        <v>8151.8865660000001</v>
      </c>
      <c r="H584" s="4">
        <v>1280</v>
      </c>
      <c r="I584" s="4">
        <v>1.28</v>
      </c>
      <c r="J584" s="4">
        <v>1.2800000000000001E-3</v>
      </c>
      <c r="K584" s="4">
        <v>2.8219135999999998</v>
      </c>
      <c r="L584" s="4">
        <v>9.4999999999999998E-3</v>
      </c>
      <c r="M584" s="4">
        <v>3.1</v>
      </c>
      <c r="N584" s="4">
        <v>45.151587120000002</v>
      </c>
      <c r="O584" s="4">
        <v>35.852318504040518</v>
      </c>
      <c r="P584" s="4">
        <v>40.360803055138561</v>
      </c>
      <c r="Q584" s="4">
        <v>102.51643976005195</v>
      </c>
      <c r="R584" s="4">
        <v>16262.357460260959</v>
      </c>
      <c r="S584" s="4">
        <v>39082.810526942943</v>
      </c>
      <c r="T584" s="4">
        <v>103569.44789639879</v>
      </c>
      <c r="U584" s="4">
        <v>111</v>
      </c>
      <c r="V584" s="4">
        <v>0.13</v>
      </c>
      <c r="W584" s="4">
        <v>0.22</v>
      </c>
    </row>
    <row r="585" spans="1:23" x14ac:dyDescent="0.25">
      <c r="A585" s="4" t="s">
        <v>125</v>
      </c>
      <c r="B585" s="4" t="s">
        <v>126</v>
      </c>
      <c r="C585" s="4">
        <v>10</v>
      </c>
      <c r="D585" s="4">
        <v>1</v>
      </c>
      <c r="E585" s="4">
        <v>10</v>
      </c>
      <c r="F585" s="4">
        <v>34739.245369999997</v>
      </c>
      <c r="G585" s="4">
        <v>92059.000239999994</v>
      </c>
      <c r="H585" s="4">
        <v>14455</v>
      </c>
      <c r="I585" s="4">
        <v>14.455</v>
      </c>
      <c r="J585" s="4">
        <v>1.4455000000000001E-2</v>
      </c>
      <c r="K585" s="4">
        <v>31.867782099999999</v>
      </c>
      <c r="L585" s="4">
        <v>1.4999999999999999E-2</v>
      </c>
      <c r="M585" s="4">
        <v>2.9</v>
      </c>
      <c r="N585" s="4">
        <v>115.7238962</v>
      </c>
      <c r="O585" s="4">
        <v>13.458838780245086</v>
      </c>
      <c r="P585" s="4">
        <v>33.845825197119623</v>
      </c>
      <c r="Q585" s="4">
        <v>85.968396000683839</v>
      </c>
      <c r="R585" s="4">
        <v>6104.8338399565846</v>
      </c>
      <c r="S585" s="4">
        <v>14671.554530056677</v>
      </c>
      <c r="T585" s="4">
        <v>38879.619504650196</v>
      </c>
      <c r="U585" s="4">
        <v>136</v>
      </c>
      <c r="V585" s="4">
        <v>0.1</v>
      </c>
      <c r="W585" s="4">
        <v>0</v>
      </c>
    </row>
    <row r="586" spans="1:23" x14ac:dyDescent="0.25">
      <c r="A586" s="4" t="s">
        <v>127</v>
      </c>
      <c r="B586" s="4" t="s">
        <v>128</v>
      </c>
      <c r="C586" s="4">
        <v>10</v>
      </c>
      <c r="D586" s="4">
        <v>2</v>
      </c>
      <c r="E586" s="4">
        <v>20</v>
      </c>
      <c r="F586" s="4">
        <v>4373.9485699999996</v>
      </c>
      <c r="G586" s="4">
        <v>11590.96371</v>
      </c>
      <c r="H586" s="4">
        <v>1820</v>
      </c>
      <c r="I586" s="4">
        <v>1.82</v>
      </c>
      <c r="J586" s="4">
        <v>1.82E-3</v>
      </c>
      <c r="K586" s="4">
        <v>4.0124084</v>
      </c>
      <c r="L586" s="4">
        <v>1.4E-2</v>
      </c>
      <c r="M586" s="4">
        <v>3</v>
      </c>
      <c r="N586" s="4">
        <v>50.65797019</v>
      </c>
      <c r="O586" s="4">
        <v>7.4272721177615395</v>
      </c>
      <c r="P586" s="4">
        <v>24.488121370057492</v>
      </c>
      <c r="Q586" s="4">
        <v>62.199828279946026</v>
      </c>
      <c r="R586" s="4">
        <v>3368.9579690656619</v>
      </c>
      <c r="S586" s="4">
        <v>8096.5103798742175</v>
      </c>
      <c r="T586" s="4">
        <v>21455.752506666675</v>
      </c>
      <c r="U586" s="4">
        <v>62.2</v>
      </c>
      <c r="V586" s="4">
        <v>0.64</v>
      </c>
      <c r="W586" s="4">
        <v>0</v>
      </c>
    </row>
    <row r="587" spans="1:23" x14ac:dyDescent="0.25">
      <c r="A587" s="4" t="s">
        <v>129</v>
      </c>
      <c r="B587" s="4" t="s">
        <v>130</v>
      </c>
      <c r="C587" s="4">
        <v>10</v>
      </c>
      <c r="D587" s="4">
        <v>2</v>
      </c>
      <c r="E587" s="4">
        <v>20</v>
      </c>
      <c r="F587" s="4">
        <v>3076.18361</v>
      </c>
      <c r="G587" s="4">
        <v>8151.8865660000001</v>
      </c>
      <c r="H587" s="4">
        <v>1280</v>
      </c>
      <c r="I587" s="4">
        <v>1.28</v>
      </c>
      <c r="J587" s="4">
        <v>1.2800000000000001E-3</v>
      </c>
      <c r="K587" s="4">
        <v>2.8219135999999998</v>
      </c>
      <c r="L587" s="4">
        <v>1.2500000000000001E-2</v>
      </c>
      <c r="M587" s="4">
        <v>2.88</v>
      </c>
      <c r="N587" s="4">
        <v>54.91455706</v>
      </c>
      <c r="O587" s="4">
        <v>12.139788251601704</v>
      </c>
      <c r="P587" s="4">
        <v>35.882043698344752</v>
      </c>
      <c r="Q587" s="4">
        <v>91.140390993795677</v>
      </c>
      <c r="R587" s="4">
        <v>5506.5218729766148</v>
      </c>
      <c r="S587" s="4">
        <v>13233.650259496793</v>
      </c>
      <c r="T587" s="4">
        <v>35069.1731876665</v>
      </c>
      <c r="U587" s="4">
        <v>158</v>
      </c>
      <c r="V587" s="4">
        <v>4.2999999999999997E-2</v>
      </c>
      <c r="W587" s="4">
        <v>0</v>
      </c>
    </row>
    <row r="588" spans="1:23" x14ac:dyDescent="0.25">
      <c r="A588" s="4" t="s">
        <v>131</v>
      </c>
      <c r="B588" s="4" t="s">
        <v>132</v>
      </c>
      <c r="C588" s="4">
        <v>10</v>
      </c>
      <c r="D588" s="4">
        <v>2</v>
      </c>
      <c r="E588" s="4">
        <v>20</v>
      </c>
      <c r="F588" s="4">
        <v>4373.9485699999996</v>
      </c>
      <c r="G588" s="4">
        <v>11590.96371</v>
      </c>
      <c r="H588" s="4">
        <v>1820</v>
      </c>
      <c r="I588" s="4">
        <v>1.82</v>
      </c>
      <c r="J588" s="4">
        <v>1.82E-3</v>
      </c>
      <c r="K588" s="4">
        <v>4.0124084</v>
      </c>
      <c r="L588" s="4">
        <v>1.4E-2</v>
      </c>
      <c r="M588" s="4">
        <v>2.9</v>
      </c>
      <c r="N588" s="4">
        <v>58.000099980000002</v>
      </c>
      <c r="O588" s="4">
        <v>1.9051851552504522</v>
      </c>
      <c r="P588" s="4">
        <v>17.662588701883799</v>
      </c>
      <c r="Q588" s="4">
        <v>44.862975302784847</v>
      </c>
      <c r="R588" s="4">
        <v>864.17847758364348</v>
      </c>
      <c r="S588" s="4">
        <v>2076.8528660986385</v>
      </c>
      <c r="T588" s="4">
        <v>5503.6600951613918</v>
      </c>
      <c r="U588" s="4">
        <v>45.7</v>
      </c>
      <c r="V588" s="4">
        <v>0.2</v>
      </c>
      <c r="W588" s="4">
        <v>0</v>
      </c>
    </row>
    <row r="589" spans="1:23" x14ac:dyDescent="0.25">
      <c r="A589" s="4" t="s">
        <v>133</v>
      </c>
      <c r="B589" s="4" t="s">
        <v>134</v>
      </c>
      <c r="C589" s="4">
        <v>10</v>
      </c>
      <c r="D589" s="4">
        <v>3</v>
      </c>
      <c r="E589" s="4">
        <v>30</v>
      </c>
      <c r="F589" s="4">
        <v>32000</v>
      </c>
      <c r="G589" s="4">
        <v>85500</v>
      </c>
      <c r="H589" s="4">
        <v>13315.2</v>
      </c>
      <c r="I589" s="4">
        <v>13.315200000000001</v>
      </c>
      <c r="J589" s="4">
        <v>1.3315199999999999E-2</v>
      </c>
      <c r="K589" s="4">
        <v>29.354956219999998</v>
      </c>
      <c r="L589" s="4">
        <v>1.2699999999999999E-2</v>
      </c>
      <c r="M589" s="4">
        <v>3.1</v>
      </c>
      <c r="N589" s="4">
        <v>87.520735579999993</v>
      </c>
      <c r="O589" s="4">
        <v>56.857453685651627</v>
      </c>
      <c r="P589" s="4">
        <v>42.647352049631301</v>
      </c>
      <c r="Q589" s="4">
        <v>108.32427420606351</v>
      </c>
      <c r="R589" s="4">
        <v>25790.137840376858</v>
      </c>
      <c r="S589" s="4">
        <v>61980.624466178459</v>
      </c>
      <c r="T589" s="4">
        <v>164248.6548353729</v>
      </c>
      <c r="U589" s="4">
        <v>114</v>
      </c>
      <c r="V589" s="4">
        <v>0.1</v>
      </c>
      <c r="W589" s="4">
        <v>0</v>
      </c>
    </row>
    <row r="590" spans="1:23" x14ac:dyDescent="0.25">
      <c r="A590" s="4" t="s">
        <v>135</v>
      </c>
      <c r="B590" s="4" t="s">
        <v>136</v>
      </c>
      <c r="C590" s="4">
        <v>10</v>
      </c>
      <c r="D590" s="4">
        <v>2</v>
      </c>
      <c r="E590" s="4">
        <v>20</v>
      </c>
      <c r="F590" s="4">
        <v>4373.9485699999996</v>
      </c>
      <c r="G590" s="4">
        <v>11590.96371</v>
      </c>
      <c r="H590" s="4">
        <v>1820</v>
      </c>
      <c r="I590" s="4">
        <v>1.82</v>
      </c>
      <c r="J590" s="4">
        <v>1.82E-3</v>
      </c>
      <c r="K590" s="4">
        <v>4.0124084</v>
      </c>
      <c r="L590" s="4">
        <v>1.2E-2</v>
      </c>
      <c r="M590" s="4">
        <v>3</v>
      </c>
      <c r="N590" s="4">
        <v>53.328992700000001</v>
      </c>
      <c r="O590" s="4">
        <v>3.7514421734161894</v>
      </c>
      <c r="P590" s="4">
        <v>20.530240607358657</v>
      </c>
      <c r="Q590" s="4">
        <v>52.146811142690986</v>
      </c>
      <c r="R590" s="4">
        <v>1701.6275700194089</v>
      </c>
      <c r="S590" s="4">
        <v>4089.4678443148491</v>
      </c>
      <c r="T590" s="4">
        <v>10837.08978743435</v>
      </c>
      <c r="U590" s="4">
        <v>60.5</v>
      </c>
      <c r="V590" s="4">
        <v>9.9000000000000005E-2</v>
      </c>
      <c r="W590" s="4">
        <v>0</v>
      </c>
    </row>
    <row r="591" spans="1:23" x14ac:dyDescent="0.25">
      <c r="A591" s="4" t="s">
        <v>137</v>
      </c>
      <c r="B591" s="4" t="s">
        <v>138</v>
      </c>
      <c r="C591" s="4">
        <v>10</v>
      </c>
      <c r="D591" s="4">
        <v>1</v>
      </c>
      <c r="E591" s="4">
        <v>10</v>
      </c>
      <c r="F591" s="4">
        <v>2907.954819</v>
      </c>
      <c r="G591" s="4">
        <v>7706.080269</v>
      </c>
      <c r="H591" s="4">
        <v>1210</v>
      </c>
      <c r="I591" s="4">
        <v>1.21</v>
      </c>
      <c r="J591" s="4">
        <v>1.2099999999999999E-3</v>
      </c>
      <c r="K591" s="4">
        <v>2.6675901999999998</v>
      </c>
      <c r="L591" s="4">
        <v>1.2500000000000001E-2</v>
      </c>
      <c r="M591" s="4">
        <v>2.82</v>
      </c>
      <c r="N591" s="4">
        <v>58.619337639999998</v>
      </c>
      <c r="O591" s="4">
        <v>1.5402780654167569</v>
      </c>
      <c r="P591" s="4">
        <v>18.994402478329821</v>
      </c>
      <c r="Q591" s="4">
        <v>48.245782294957749</v>
      </c>
      <c r="R591" s="4">
        <v>698.65920903228539</v>
      </c>
      <c r="S591" s="4">
        <v>1679.0656309355575</v>
      </c>
      <c r="T591" s="4">
        <v>4449.5239219792275</v>
      </c>
      <c r="U591" s="4">
        <v>50</v>
      </c>
      <c r="V591" s="4">
        <v>0.33500000000000002</v>
      </c>
      <c r="W591" s="4">
        <v>0</v>
      </c>
    </row>
  </sheetData>
  <sortState ref="A2:AP591">
    <sortCondition ref="C2:C591"/>
  </sortState>
  <conditionalFormatting sqref="W1:W1048576">
    <cfRule type="cellIs" dxfId="6" priority="2" operator="lessThan">
      <formula>0</formula>
    </cfRule>
  </conditionalFormatting>
  <conditionalFormatting sqref="D1:D1048576">
    <cfRule type="cellIs" dxfId="5" priority="1" operator="greaterThan">
      <formula>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O4" sqref="O4"/>
    </sheetView>
  </sheetViews>
  <sheetFormatPr defaultRowHeight="15" x14ac:dyDescent="0.25"/>
  <cols>
    <col min="1" max="11" width="9.140625" style="4"/>
  </cols>
  <sheetData>
    <row r="1" spans="1:11" x14ac:dyDescent="0.25">
      <c r="A1" s="11" t="s">
        <v>2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</row>
    <row r="2" spans="1:11" x14ac:dyDescent="0.25">
      <c r="A2" s="4" t="s">
        <v>21</v>
      </c>
      <c r="B2" s="4">
        <v>2460.5194854032702</v>
      </c>
      <c r="C2" s="4">
        <v>5386.8105799443802</v>
      </c>
      <c r="D2" s="4">
        <v>8993.8487101930605</v>
      </c>
      <c r="E2" s="4">
        <v>12884.8217588975</v>
      </c>
      <c r="F2" s="4">
        <v>16757.175219079902</v>
      </c>
      <c r="G2" s="4">
        <v>20412.223342122099</v>
      </c>
      <c r="H2" s="4">
        <v>23737.622253013698</v>
      </c>
      <c r="I2" s="4">
        <v>26683.9591327501</v>
      </c>
      <c r="J2" s="4">
        <v>29243.6861407998</v>
      </c>
      <c r="K2" s="4">
        <v>31434.7794283191</v>
      </c>
    </row>
    <row r="3" spans="1:11" x14ac:dyDescent="0.25">
      <c r="A3" s="4" t="s">
        <v>23</v>
      </c>
      <c r="B3" s="4">
        <v>97158263.750071496</v>
      </c>
      <c r="C3" s="4">
        <v>265770138.982945</v>
      </c>
      <c r="D3" s="4">
        <v>444026960.17106599</v>
      </c>
      <c r="E3" s="4">
        <v>578498250.99945998</v>
      </c>
      <c r="F3" s="4">
        <v>668697387.01546097</v>
      </c>
      <c r="G3" s="4">
        <v>725697669.38403106</v>
      </c>
      <c r="H3" s="4">
        <v>760573842.10905302</v>
      </c>
      <c r="I3" s="4">
        <v>781530502.63649094</v>
      </c>
      <c r="J3" s="4">
        <v>793993605.35234296</v>
      </c>
      <c r="K3" s="4">
        <v>801361404.24893796</v>
      </c>
    </row>
    <row r="4" spans="1:11" x14ac:dyDescent="0.25">
      <c r="A4" s="4" t="s">
        <v>25</v>
      </c>
      <c r="B4" s="4">
        <v>111281793.684653</v>
      </c>
      <c r="C4" s="4">
        <v>298090653.49342</v>
      </c>
      <c r="D4" s="4">
        <v>466124893.61831802</v>
      </c>
      <c r="E4" s="4">
        <v>586526698.88115895</v>
      </c>
      <c r="F4" s="4">
        <v>664377505.36620605</v>
      </c>
      <c r="G4" s="4">
        <v>712159870.72443295</v>
      </c>
      <c r="H4" s="4">
        <v>740677686.43732595</v>
      </c>
      <c r="I4" s="4">
        <v>757436047.81703699</v>
      </c>
      <c r="J4" s="4">
        <v>767198389.37080598</v>
      </c>
      <c r="K4" s="4">
        <v>772857129.05032098</v>
      </c>
    </row>
    <row r="5" spans="1:11" x14ac:dyDescent="0.25">
      <c r="A5" s="4" t="s">
        <v>27</v>
      </c>
      <c r="B5" s="4">
        <v>156433.29523840299</v>
      </c>
      <c r="C5" s="4">
        <v>544180.84001262102</v>
      </c>
      <c r="D5" s="4">
        <v>1054604.69551315</v>
      </c>
      <c r="E5" s="4">
        <v>1580148.17967457</v>
      </c>
      <c r="F5" s="4">
        <v>2058371.2194880899</v>
      </c>
      <c r="G5" s="4">
        <v>2463483.5460760701</v>
      </c>
      <c r="H5" s="4">
        <v>2791600.1798030701</v>
      </c>
      <c r="I5" s="4">
        <v>3049610.9460014901</v>
      </c>
      <c r="J5" s="4">
        <v>3248453.0720549799</v>
      </c>
      <c r="K5" s="4">
        <v>3399566.0148577499</v>
      </c>
    </row>
    <row r="6" spans="1:11" x14ac:dyDescent="0.25">
      <c r="A6" s="4" t="s">
        <v>29</v>
      </c>
      <c r="B6" s="4">
        <v>71779241.887585104</v>
      </c>
      <c r="C6" s="4">
        <v>72876559.528140202</v>
      </c>
      <c r="D6" s="4">
        <v>72883699.475070596</v>
      </c>
      <c r="E6" s="4">
        <v>72883745.698809296</v>
      </c>
      <c r="F6" s="4">
        <v>72883745.998050198</v>
      </c>
      <c r="G6" s="4">
        <v>72883745.999987394</v>
      </c>
      <c r="H6" s="4">
        <v>72883745.999999896</v>
      </c>
      <c r="I6" s="4">
        <v>72883746</v>
      </c>
      <c r="J6" s="4">
        <v>72883746</v>
      </c>
      <c r="K6" s="4">
        <v>72883746</v>
      </c>
    </row>
    <row r="7" spans="1:11" x14ac:dyDescent="0.25">
      <c r="A7" s="4" t="s">
        <v>31</v>
      </c>
      <c r="B7" s="4">
        <v>63475.257401936098</v>
      </c>
      <c r="C7" s="4">
        <v>172668.97384254599</v>
      </c>
      <c r="D7" s="4">
        <v>237623.661700111</v>
      </c>
      <c r="E7" s="4">
        <v>267277.75043603103</v>
      </c>
      <c r="F7" s="4">
        <v>279669.16248891799</v>
      </c>
      <c r="G7" s="4">
        <v>284679.47239585803</v>
      </c>
      <c r="H7" s="4">
        <v>286679.72607794602</v>
      </c>
      <c r="I7" s="4">
        <v>287474.30922185699</v>
      </c>
      <c r="J7" s="4">
        <v>287789.32994100399</v>
      </c>
      <c r="K7" s="4">
        <v>287914.12605230598</v>
      </c>
    </row>
    <row r="8" spans="1:11" x14ac:dyDescent="0.25">
      <c r="A8" s="4" t="s">
        <v>33</v>
      </c>
      <c r="B8" s="4">
        <v>296527.92174413102</v>
      </c>
      <c r="C8" s="4">
        <v>1146016.8080164101</v>
      </c>
      <c r="D8" s="4">
        <v>1919082.80537697</v>
      </c>
      <c r="E8" s="4">
        <v>2428310.77591372</v>
      </c>
      <c r="F8" s="4">
        <v>2723624.5947008501</v>
      </c>
      <c r="G8" s="4">
        <v>2885227.66891794</v>
      </c>
      <c r="H8" s="4">
        <v>2971202.3719539498</v>
      </c>
      <c r="I8" s="4">
        <v>3016300.40597974</v>
      </c>
      <c r="J8" s="4">
        <v>3039787.2260233499</v>
      </c>
      <c r="K8" s="4">
        <v>3051974.0695276898</v>
      </c>
    </row>
    <row r="9" spans="1:11" x14ac:dyDescent="0.25">
      <c r="A9" s="4" t="s">
        <v>35</v>
      </c>
      <c r="B9" s="4">
        <v>42456.899759091</v>
      </c>
      <c r="C9" s="4">
        <v>112082.62320373701</v>
      </c>
      <c r="D9" s="4">
        <v>156198.53954116601</v>
      </c>
      <c r="E9" s="4">
        <v>177899.71342632899</v>
      </c>
      <c r="F9" s="4">
        <v>187656.935789243</v>
      </c>
      <c r="G9" s="4">
        <v>191890.974886718</v>
      </c>
      <c r="H9" s="4">
        <v>193701.66695924499</v>
      </c>
      <c r="I9" s="4">
        <v>194471.30023424901</v>
      </c>
      <c r="J9" s="4">
        <v>194797.592753053</v>
      </c>
      <c r="K9" s="4">
        <v>194935.77720176001</v>
      </c>
    </row>
    <row r="10" spans="1:11" x14ac:dyDescent="0.25">
      <c r="A10" s="4" t="s">
        <v>37</v>
      </c>
      <c r="B10" s="4">
        <v>55356700112.384201</v>
      </c>
      <c r="C10" s="4">
        <v>55356700140.481598</v>
      </c>
      <c r="D10" s="4">
        <v>55356700140.481598</v>
      </c>
      <c r="E10" s="4">
        <v>55356700140.481598</v>
      </c>
      <c r="F10" s="4">
        <v>55356700140.481598</v>
      </c>
      <c r="G10" s="4">
        <v>55356700140.481598</v>
      </c>
      <c r="H10" s="4">
        <v>55356700140.481598</v>
      </c>
      <c r="I10" s="4">
        <v>55356700140.481598</v>
      </c>
      <c r="J10" s="4">
        <v>55356700140.481598</v>
      </c>
      <c r="K10" s="4">
        <v>55356700140.481598</v>
      </c>
    </row>
    <row r="11" spans="1:11" x14ac:dyDescent="0.25">
      <c r="A11" s="4" t="s">
        <v>39</v>
      </c>
      <c r="B11" s="4">
        <v>818611.13000250503</v>
      </c>
      <c r="C11" s="4">
        <v>4441401.1070429003</v>
      </c>
      <c r="D11" s="4">
        <v>9979799.2991078701</v>
      </c>
      <c r="E11" s="4">
        <v>15985319.518006399</v>
      </c>
      <c r="F11" s="4">
        <v>21537408.640398499</v>
      </c>
      <c r="G11" s="4">
        <v>26237093.8741997</v>
      </c>
      <c r="H11" s="4">
        <v>30007854.680300299</v>
      </c>
      <c r="I11" s="4">
        <v>32931046.963365398</v>
      </c>
      <c r="J11" s="4">
        <v>35145922.759331398</v>
      </c>
      <c r="K11" s="4">
        <v>36798156.554556698</v>
      </c>
    </row>
    <row r="12" spans="1:11" x14ac:dyDescent="0.25">
      <c r="A12" s="4" t="s">
        <v>41</v>
      </c>
      <c r="B12" s="4">
        <v>5796407.4227556</v>
      </c>
      <c r="C12" s="4">
        <v>12493368.083817299</v>
      </c>
      <c r="D12" s="4">
        <v>15040595.090855001</v>
      </c>
      <c r="E12" s="4">
        <v>15815259.4832019</v>
      </c>
      <c r="F12" s="4">
        <v>16037794.9684039</v>
      </c>
      <c r="G12" s="4">
        <v>16100732.2814855</v>
      </c>
      <c r="H12" s="4">
        <v>16118454.832495</v>
      </c>
      <c r="I12" s="4">
        <v>16123439.2433016</v>
      </c>
      <c r="J12" s="4">
        <v>16124840.6119467</v>
      </c>
      <c r="K12" s="4">
        <v>16125234.5691783</v>
      </c>
    </row>
    <row r="13" spans="1:11" x14ac:dyDescent="0.25">
      <c r="A13" s="4" t="s">
        <v>43</v>
      </c>
      <c r="B13" s="4">
        <v>628609.04088354995</v>
      </c>
      <c r="C13" s="4">
        <v>1259852.24392177</v>
      </c>
      <c r="D13" s="4">
        <v>1474946.8148385601</v>
      </c>
      <c r="E13" s="4">
        <v>1534807.49665968</v>
      </c>
      <c r="F13" s="4">
        <v>1550681.0746458599</v>
      </c>
      <c r="G13" s="4">
        <v>1554838.8269591799</v>
      </c>
      <c r="H13" s="4">
        <v>1555924.3908530499</v>
      </c>
      <c r="I13" s="4">
        <v>1556207.5893754701</v>
      </c>
      <c r="J13" s="4">
        <v>1556281.45330642</v>
      </c>
      <c r="K13" s="4">
        <v>1556300.71743178</v>
      </c>
    </row>
    <row r="14" spans="1:11" x14ac:dyDescent="0.25">
      <c r="A14" s="4" t="s">
        <v>45</v>
      </c>
      <c r="B14" s="4">
        <v>308816463.77798897</v>
      </c>
      <c r="C14" s="4">
        <v>336359793.02631801</v>
      </c>
      <c r="D14" s="4">
        <v>337343781.05876899</v>
      </c>
      <c r="E14" s="4">
        <v>337377927.29430097</v>
      </c>
      <c r="F14" s="4">
        <v>337379111.045461</v>
      </c>
      <c r="G14" s="4">
        <v>337379152.08126199</v>
      </c>
      <c r="H14" s="4">
        <v>337379153.50380301</v>
      </c>
      <c r="I14" s="4">
        <v>337379153.55311698</v>
      </c>
      <c r="J14" s="4">
        <v>337379153.55482602</v>
      </c>
      <c r="K14" s="4">
        <v>337379153.55488503</v>
      </c>
    </row>
    <row r="15" spans="1:11" x14ac:dyDescent="0.25">
      <c r="A15" s="4" t="s">
        <v>47</v>
      </c>
      <c r="B15" s="4">
        <v>114242.569590295</v>
      </c>
      <c r="C15" s="4">
        <v>470859.05826241599</v>
      </c>
      <c r="D15" s="4">
        <v>841813.30476331897</v>
      </c>
      <c r="E15" s="4">
        <v>1117064.6693381099</v>
      </c>
      <c r="F15" s="4">
        <v>1294331.73211756</v>
      </c>
      <c r="G15" s="4">
        <v>1400944.4367063199</v>
      </c>
      <c r="H15" s="4">
        <v>1462836.51709122</v>
      </c>
      <c r="I15" s="4">
        <v>1498093.9513751999</v>
      </c>
      <c r="J15" s="4">
        <v>1517972.9845881001</v>
      </c>
      <c r="K15" s="4">
        <v>1529118.0047687199</v>
      </c>
    </row>
    <row r="16" spans="1:11" x14ac:dyDescent="0.25">
      <c r="A16" s="4" t="s">
        <v>49</v>
      </c>
      <c r="B16" s="4">
        <v>19962.043838434602</v>
      </c>
      <c r="C16" s="4">
        <v>123151.446299805</v>
      </c>
      <c r="D16" s="4">
        <v>315489.10976816597</v>
      </c>
      <c r="E16" s="4">
        <v>568207.46158456896</v>
      </c>
      <c r="F16" s="4">
        <v>848389.72898017999</v>
      </c>
      <c r="G16" s="4">
        <v>1129953.4835971401</v>
      </c>
      <c r="H16" s="4">
        <v>1395708.66858655</v>
      </c>
      <c r="I16" s="4">
        <v>1636088.5031377601</v>
      </c>
      <c r="J16" s="4">
        <v>1847061.7522628601</v>
      </c>
      <c r="K16" s="4">
        <v>2028203.16291544</v>
      </c>
    </row>
    <row r="17" spans="1:11" x14ac:dyDescent="0.25">
      <c r="A17" s="4" t="s">
        <v>51</v>
      </c>
      <c r="B17" s="4">
        <v>1923.77545396294</v>
      </c>
      <c r="C17" s="4">
        <v>8455.3509376347793</v>
      </c>
      <c r="D17" s="4">
        <v>19808.089233497099</v>
      </c>
      <c r="E17" s="4">
        <v>34766.3934151836</v>
      </c>
      <c r="F17" s="4">
        <v>51792.812427196703</v>
      </c>
      <c r="G17" s="4">
        <v>69523.190031244798</v>
      </c>
      <c r="H17" s="4">
        <v>86930.928383652703</v>
      </c>
      <c r="I17" s="4">
        <v>103332.66183026299</v>
      </c>
      <c r="J17" s="4">
        <v>118331.284386763</v>
      </c>
      <c r="K17" s="4">
        <v>131743.963606548</v>
      </c>
    </row>
    <row r="18" spans="1:11" x14ac:dyDescent="0.25">
      <c r="A18" s="4" t="s">
        <v>53</v>
      </c>
      <c r="B18" s="4">
        <v>45854.537087938297</v>
      </c>
      <c r="C18" s="4">
        <v>183625.514622822</v>
      </c>
      <c r="D18" s="4">
        <v>334387.74432949</v>
      </c>
      <c r="E18" s="4">
        <v>455442.063021223</v>
      </c>
      <c r="F18" s="4">
        <v>540426.15093761997</v>
      </c>
      <c r="G18" s="4">
        <v>596167.98297115497</v>
      </c>
      <c r="H18" s="4">
        <v>631398.66836716502</v>
      </c>
      <c r="I18" s="4">
        <v>653201.38611210603</v>
      </c>
      <c r="J18" s="4">
        <v>666529.86983817595</v>
      </c>
      <c r="K18" s="4">
        <v>674619.28877807502</v>
      </c>
    </row>
    <row r="19" spans="1:11" x14ac:dyDescent="0.25">
      <c r="A19" s="4" t="s">
        <v>55</v>
      </c>
      <c r="B19" s="4">
        <v>26724.9143114252</v>
      </c>
      <c r="C19" s="4">
        <v>214666.47380591501</v>
      </c>
      <c r="D19" s="4">
        <v>661018.96891849604</v>
      </c>
      <c r="E19" s="4">
        <v>1399370.4826257201</v>
      </c>
      <c r="F19" s="4">
        <v>2423862.1936963899</v>
      </c>
      <c r="G19" s="4">
        <v>3705752.6325367601</v>
      </c>
      <c r="H19" s="4">
        <v>5204551.40074882</v>
      </c>
      <c r="I19" s="4">
        <v>6875316.4990699803</v>
      </c>
      <c r="J19" s="4">
        <v>8673268.4272407591</v>
      </c>
      <c r="K19" s="4">
        <v>10556551.026271399</v>
      </c>
    </row>
    <row r="20" spans="1:11" x14ac:dyDescent="0.25">
      <c r="A20" s="4" t="s">
        <v>57</v>
      </c>
      <c r="B20" s="4">
        <v>783466.54990209802</v>
      </c>
      <c r="C20" s="4">
        <v>1772070.6781585801</v>
      </c>
      <c r="D20" s="4">
        <v>2183821.4816796901</v>
      </c>
      <c r="E20" s="4">
        <v>2319474.8659160002</v>
      </c>
      <c r="F20" s="4">
        <v>2361424.2034498202</v>
      </c>
      <c r="G20" s="4">
        <v>2374159.08118734</v>
      </c>
      <c r="H20" s="4">
        <v>2378003.8493653699</v>
      </c>
      <c r="I20" s="4">
        <v>2379162.6972524198</v>
      </c>
      <c r="J20" s="4">
        <v>2379511.8104783702</v>
      </c>
      <c r="K20" s="4">
        <v>2379616.9681611699</v>
      </c>
    </row>
    <row r="21" spans="1:11" x14ac:dyDescent="0.25">
      <c r="A21" s="4" t="s">
        <v>59</v>
      </c>
      <c r="B21" s="4">
        <v>2363259.5956805702</v>
      </c>
      <c r="C21" s="4">
        <v>17269847.7825935</v>
      </c>
      <c r="D21" s="4">
        <v>47278283.338931397</v>
      </c>
      <c r="E21" s="4">
        <v>88655309.313820004</v>
      </c>
      <c r="F21" s="4">
        <v>136287656.59019101</v>
      </c>
      <c r="G21" s="4">
        <v>185723206.94256601</v>
      </c>
      <c r="H21" s="4">
        <v>233752101.275989</v>
      </c>
      <c r="I21" s="4">
        <v>278365572.95652598</v>
      </c>
      <c r="J21" s="4">
        <v>318505182.85656297</v>
      </c>
      <c r="K21" s="4">
        <v>353784791.331213</v>
      </c>
    </row>
    <row r="22" spans="1:11" x14ac:dyDescent="0.25">
      <c r="A22" s="4" t="s">
        <v>61</v>
      </c>
      <c r="B22" s="4">
        <v>1153.9980651435001</v>
      </c>
      <c r="C22" s="4">
        <v>24476.6249330838</v>
      </c>
      <c r="D22" s="4">
        <v>76774.331086170307</v>
      </c>
      <c r="E22" s="4">
        <v>142896.498440853</v>
      </c>
      <c r="F22" s="4">
        <v>209389.87401253701</v>
      </c>
      <c r="G22" s="4">
        <v>268810.50439210702</v>
      </c>
      <c r="H22" s="4">
        <v>318364.23278291599</v>
      </c>
      <c r="I22" s="4">
        <v>357929.38568447699</v>
      </c>
      <c r="J22" s="4">
        <v>388626.40227374801</v>
      </c>
      <c r="K22" s="4">
        <v>411984.03596558399</v>
      </c>
    </row>
    <row r="23" spans="1:11" x14ac:dyDescent="0.25">
      <c r="A23" s="4" t="s">
        <v>63</v>
      </c>
      <c r="B23" s="4">
        <v>549501.79803689604</v>
      </c>
      <c r="C23" s="4">
        <v>1102597.2370213501</v>
      </c>
      <c r="D23" s="4">
        <v>1279316.71841899</v>
      </c>
      <c r="E23" s="4">
        <v>1325198.66846652</v>
      </c>
      <c r="F23" s="4">
        <v>1336567.28203489</v>
      </c>
      <c r="G23" s="4">
        <v>1339352.8514423401</v>
      </c>
      <c r="H23" s="4">
        <v>1340033.52627336</v>
      </c>
      <c r="I23" s="4">
        <v>1340199.7440438501</v>
      </c>
      <c r="J23" s="4">
        <v>1340240.32711715</v>
      </c>
      <c r="K23" s="4">
        <v>1340250.23532833</v>
      </c>
    </row>
    <row r="24" spans="1:11" x14ac:dyDescent="0.25">
      <c r="A24" s="4" t="s">
        <v>65</v>
      </c>
      <c r="B24" s="4">
        <v>1974140.18262786</v>
      </c>
      <c r="C24" s="4">
        <v>2656815.9932613801</v>
      </c>
      <c r="D24" s="4">
        <v>2750044.2819121499</v>
      </c>
      <c r="E24" s="4">
        <v>2761610.7551957499</v>
      </c>
      <c r="F24" s="4">
        <v>2763029.4050072902</v>
      </c>
      <c r="G24" s="4">
        <v>2763203.1617173702</v>
      </c>
      <c r="H24" s="4">
        <v>2763224.43985218</v>
      </c>
      <c r="I24" s="4">
        <v>2763227.0455041998</v>
      </c>
      <c r="J24" s="4">
        <v>2763227.36458315</v>
      </c>
      <c r="K24" s="4">
        <v>2763227.4036564198</v>
      </c>
    </row>
    <row r="25" spans="1:11" x14ac:dyDescent="0.25">
      <c r="A25" s="4" t="s">
        <v>67</v>
      </c>
      <c r="B25" s="4">
        <v>134095.35696500301</v>
      </c>
      <c r="C25" s="4">
        <v>249877.10172442099</v>
      </c>
      <c r="D25" s="4">
        <v>373551.95768406399</v>
      </c>
      <c r="E25" s="4">
        <v>491700.43460235099</v>
      </c>
      <c r="F25" s="4">
        <v>597145.31894962199</v>
      </c>
      <c r="G25" s="4">
        <v>687162.41425896797</v>
      </c>
      <c r="H25" s="4">
        <v>761711.816655086</v>
      </c>
      <c r="I25" s="4">
        <v>822146.11713593302</v>
      </c>
      <c r="J25" s="4">
        <v>870390.69088429504</v>
      </c>
      <c r="K25" s="4">
        <v>908474.38830563496</v>
      </c>
    </row>
    <row r="26" spans="1:11" x14ac:dyDescent="0.25">
      <c r="A26" s="4" t="s">
        <v>69</v>
      </c>
      <c r="B26" s="4">
        <v>4316.5057367255804</v>
      </c>
      <c r="C26" s="4">
        <v>23169.827404021398</v>
      </c>
      <c r="D26" s="4">
        <v>54759.986342720098</v>
      </c>
      <c r="E26" s="4">
        <v>93249.563450422706</v>
      </c>
      <c r="F26" s="4">
        <v>133479.18712702001</v>
      </c>
      <c r="G26" s="4">
        <v>171983.29262699001</v>
      </c>
      <c r="H26" s="4">
        <v>206836.12036591701</v>
      </c>
      <c r="I26" s="4">
        <v>237220.336363054</v>
      </c>
      <c r="J26" s="4">
        <v>263019.56122966198</v>
      </c>
      <c r="K26" s="4">
        <v>284512.64145637298</v>
      </c>
    </row>
    <row r="27" spans="1:11" x14ac:dyDescent="0.25">
      <c r="A27" s="4" t="s">
        <v>71</v>
      </c>
      <c r="B27" s="4">
        <v>777.80446133876501</v>
      </c>
      <c r="C27" s="4">
        <v>1814.39362626141</v>
      </c>
      <c r="D27" s="4">
        <v>2971.6598373956199</v>
      </c>
      <c r="E27" s="4">
        <v>4065.9556123430102</v>
      </c>
      <c r="F27" s="4">
        <v>5010.06283731657</v>
      </c>
      <c r="G27" s="4">
        <v>5780.4191102110599</v>
      </c>
      <c r="H27" s="4">
        <v>6386.8114122370698</v>
      </c>
      <c r="I27" s="4">
        <v>6852.8010659645997</v>
      </c>
      <c r="J27" s="4">
        <v>7205.0441633690198</v>
      </c>
      <c r="K27" s="4">
        <v>7468.2646853721399</v>
      </c>
    </row>
    <row r="28" spans="1:11" x14ac:dyDescent="0.25">
      <c r="A28" s="4" t="s">
        <v>73</v>
      </c>
      <c r="B28" s="4">
        <v>246050.100121183</v>
      </c>
      <c r="C28" s="4">
        <v>446259.71797324001</v>
      </c>
      <c r="D28" s="4">
        <v>505310.373319456</v>
      </c>
      <c r="E28" s="4">
        <v>519998.19037492102</v>
      </c>
      <c r="F28" s="4">
        <v>523517.86383449199</v>
      </c>
      <c r="G28" s="4">
        <v>524354.00980298</v>
      </c>
      <c r="H28" s="4">
        <v>524552.24170601997</v>
      </c>
      <c r="I28" s="4">
        <v>524599.21540475194</v>
      </c>
      <c r="J28" s="4">
        <v>524610.34517413995</v>
      </c>
      <c r="K28" s="4">
        <v>524612.98214769899</v>
      </c>
    </row>
    <row r="29" spans="1:11" x14ac:dyDescent="0.25">
      <c r="A29" s="4" t="s">
        <v>75</v>
      </c>
      <c r="B29" s="4">
        <v>133509.79702155199</v>
      </c>
      <c r="C29" s="4">
        <v>724251.89217385103</v>
      </c>
      <c r="D29" s="4">
        <v>1653001.0797919701</v>
      </c>
      <c r="E29" s="4">
        <v>2686083.0699582198</v>
      </c>
      <c r="F29" s="4">
        <v>3662153.8588981698</v>
      </c>
      <c r="G29" s="4">
        <v>4504022.3547646496</v>
      </c>
      <c r="H29" s="4">
        <v>5190743.4776979703</v>
      </c>
      <c r="I29" s="4">
        <v>5731055.96447434</v>
      </c>
      <c r="J29" s="4">
        <v>6146015.6116599599</v>
      </c>
      <c r="K29" s="4">
        <v>6459458.2492931299</v>
      </c>
    </row>
    <row r="30" spans="1:11" x14ac:dyDescent="0.25">
      <c r="A30" s="4" t="s">
        <v>77</v>
      </c>
      <c r="B30" s="4">
        <v>160174890.61800399</v>
      </c>
      <c r="C30" s="4">
        <v>184411487.200932</v>
      </c>
      <c r="D30" s="4">
        <v>185677073.12783799</v>
      </c>
      <c r="E30" s="4">
        <v>185740231.19995201</v>
      </c>
      <c r="F30" s="4">
        <v>185743376.02297699</v>
      </c>
      <c r="G30" s="4">
        <v>185743532.59540799</v>
      </c>
      <c r="H30" s="4">
        <v>185743540.390692</v>
      </c>
      <c r="I30" s="4">
        <v>185743540.778797</v>
      </c>
      <c r="J30" s="4">
        <v>185743540.79811901</v>
      </c>
      <c r="K30" s="4">
        <v>185743540.799081</v>
      </c>
    </row>
    <row r="31" spans="1:11" x14ac:dyDescent="0.25">
      <c r="A31" s="4" t="s">
        <v>79</v>
      </c>
      <c r="B31" s="4">
        <v>115166.044643599</v>
      </c>
      <c r="C31" s="4">
        <v>539883.94685724506</v>
      </c>
      <c r="D31" s="4">
        <v>1052396.0247682601</v>
      </c>
      <c r="E31" s="4">
        <v>1484566.6206052799</v>
      </c>
      <c r="F31" s="4">
        <v>1796142.2664299</v>
      </c>
      <c r="G31" s="4">
        <v>2003615.20809826</v>
      </c>
      <c r="H31" s="4">
        <v>2135900.09762405</v>
      </c>
      <c r="I31" s="4">
        <v>2218189.4031206402</v>
      </c>
      <c r="J31" s="4">
        <v>2268649.2008491699</v>
      </c>
      <c r="K31" s="4">
        <v>2299330.69630303</v>
      </c>
    </row>
    <row r="32" spans="1:11" x14ac:dyDescent="0.25">
      <c r="A32" s="4" t="s">
        <v>81</v>
      </c>
      <c r="B32" s="4">
        <v>1139130.8785123001</v>
      </c>
      <c r="C32" s="4">
        <v>4670217.0051160697</v>
      </c>
      <c r="D32" s="4">
        <v>8591451.5374477208</v>
      </c>
      <c r="E32" s="4">
        <v>11763149.471421801</v>
      </c>
      <c r="F32" s="4">
        <v>13998651.771089399</v>
      </c>
      <c r="G32" s="4">
        <v>15468246.487307699</v>
      </c>
      <c r="H32" s="4">
        <v>16398296.1060904</v>
      </c>
      <c r="I32" s="4">
        <v>16974306.859406099</v>
      </c>
      <c r="J32" s="4">
        <v>17326596.223731101</v>
      </c>
      <c r="K32" s="4">
        <v>17540468.599571001</v>
      </c>
    </row>
    <row r="33" spans="1:11" x14ac:dyDescent="0.25">
      <c r="A33" s="4" t="s">
        <v>83</v>
      </c>
      <c r="B33" s="4">
        <v>105254065.283895</v>
      </c>
      <c r="C33" s="4">
        <v>118004810.308814</v>
      </c>
      <c r="D33" s="4">
        <v>118519945.57561</v>
      </c>
      <c r="E33" s="4">
        <v>118539989.721696</v>
      </c>
      <c r="F33" s="4">
        <v>118540768.519133</v>
      </c>
      <c r="G33" s="4">
        <v>118540798.77691001</v>
      </c>
      <c r="H33" s="4">
        <v>118540799.952481</v>
      </c>
      <c r="I33" s="4">
        <v>118540799.998154</v>
      </c>
      <c r="J33" s="4">
        <v>118540799.999928</v>
      </c>
      <c r="K33" s="4">
        <v>118540799.999997</v>
      </c>
    </row>
    <row r="34" spans="1:11" x14ac:dyDescent="0.25">
      <c r="A34" s="4" t="s">
        <v>85</v>
      </c>
      <c r="B34" s="4">
        <v>324513791.59914201</v>
      </c>
      <c r="C34" s="4">
        <v>347234460.66852999</v>
      </c>
      <c r="D34" s="4">
        <v>347817056.68531299</v>
      </c>
      <c r="E34" s="4">
        <v>347831657.53252399</v>
      </c>
      <c r="F34" s="4">
        <v>347832023.24575299</v>
      </c>
      <c r="G34" s="4">
        <v>347832032.40578699</v>
      </c>
      <c r="H34" s="4">
        <v>347832032.63521898</v>
      </c>
      <c r="I34" s="4">
        <v>347832032.64096498</v>
      </c>
      <c r="J34" s="4">
        <v>347832032.64110899</v>
      </c>
      <c r="K34" s="4">
        <v>347832032.64111298</v>
      </c>
    </row>
    <row r="35" spans="1:11" x14ac:dyDescent="0.25">
      <c r="A35" s="4" t="s">
        <v>87</v>
      </c>
      <c r="B35" s="4">
        <v>33357.667059212501</v>
      </c>
      <c r="C35" s="4">
        <v>96872.2451244892</v>
      </c>
      <c r="D35" s="4">
        <v>155350.52079330399</v>
      </c>
      <c r="E35" s="4">
        <v>197161.645156385</v>
      </c>
      <c r="F35" s="4">
        <v>223881.90635305201</v>
      </c>
      <c r="G35" s="4">
        <v>240027.289290891</v>
      </c>
      <c r="H35" s="4">
        <v>249497.98301841001</v>
      </c>
      <c r="I35" s="4">
        <v>254964.338134074</v>
      </c>
      <c r="J35" s="4">
        <v>258091.32437078399</v>
      </c>
      <c r="K35" s="4">
        <v>259871.16259853801</v>
      </c>
    </row>
    <row r="36" spans="1:11" x14ac:dyDescent="0.25">
      <c r="A36" s="4" t="s">
        <v>89</v>
      </c>
      <c r="B36" s="4">
        <v>191968502.60639799</v>
      </c>
      <c r="C36" s="4">
        <v>192626640.40068099</v>
      </c>
      <c r="D36" s="4">
        <v>192627345.505806</v>
      </c>
      <c r="E36" s="4">
        <v>192627346.260342</v>
      </c>
      <c r="F36" s="4">
        <v>192627346.26114899</v>
      </c>
      <c r="G36" s="4">
        <v>192627346.26115</v>
      </c>
      <c r="H36" s="4">
        <v>192627346.26115</v>
      </c>
      <c r="I36" s="4">
        <v>192627346.26115</v>
      </c>
      <c r="J36" s="4">
        <v>192627346.26115</v>
      </c>
      <c r="K36" s="4">
        <v>192627346.26115</v>
      </c>
    </row>
    <row r="37" spans="1:11" x14ac:dyDescent="0.25">
      <c r="A37" s="4" t="s">
        <v>91</v>
      </c>
      <c r="B37" s="4">
        <v>232608.663621338</v>
      </c>
      <c r="C37" s="4">
        <v>892495.98935225396</v>
      </c>
      <c r="D37" s="4">
        <v>1558827.3391485999</v>
      </c>
      <c r="E37" s="4">
        <v>2051868.0220091899</v>
      </c>
      <c r="F37" s="4">
        <v>2371924.3688401501</v>
      </c>
      <c r="G37" s="4">
        <v>2566844.9758529402</v>
      </c>
      <c r="H37" s="4">
        <v>2681662.49044153</v>
      </c>
      <c r="I37" s="4">
        <v>2748085.1042749002</v>
      </c>
      <c r="J37" s="4">
        <v>2786129.7835240602</v>
      </c>
      <c r="K37" s="4">
        <v>2807799.6370419902</v>
      </c>
    </row>
    <row r="38" spans="1:11" x14ac:dyDescent="0.25">
      <c r="A38" s="4" t="s">
        <v>93</v>
      </c>
      <c r="B38" s="4">
        <v>67684136583.491699</v>
      </c>
      <c r="C38" s="4">
        <v>67686777780.979202</v>
      </c>
      <c r="D38" s="4">
        <v>67686777815.334503</v>
      </c>
      <c r="E38" s="4">
        <v>67686777815.3349</v>
      </c>
      <c r="F38" s="4">
        <v>67686777815.3349</v>
      </c>
      <c r="G38" s="4">
        <v>67686777815.3349</v>
      </c>
      <c r="H38" s="4">
        <v>67686777815.3349</v>
      </c>
      <c r="I38" s="4">
        <v>67686777815.3349</v>
      </c>
      <c r="J38" s="4">
        <v>67686777815.3349</v>
      </c>
      <c r="K38" s="4">
        <v>67686777815.3349</v>
      </c>
    </row>
    <row r="39" spans="1:11" x14ac:dyDescent="0.25">
      <c r="A39" s="4" t="s">
        <v>95</v>
      </c>
      <c r="B39" s="4">
        <v>2310417.1374153602</v>
      </c>
      <c r="C39" s="4">
        <v>8583930.7559687998</v>
      </c>
      <c r="D39" s="4">
        <v>14628833.6357459</v>
      </c>
      <c r="E39" s="4">
        <v>18910916.362989102</v>
      </c>
      <c r="F39" s="4">
        <v>21581396.046287201</v>
      </c>
      <c r="G39" s="4">
        <v>23148438.324832</v>
      </c>
      <c r="H39" s="4">
        <v>24039823.083638798</v>
      </c>
      <c r="I39" s="4">
        <v>24538610.040999699</v>
      </c>
      <c r="J39" s="4">
        <v>24815259.285009399</v>
      </c>
      <c r="K39" s="4">
        <v>24967967.520712201</v>
      </c>
    </row>
    <row r="40" spans="1:11" x14ac:dyDescent="0.25">
      <c r="A40" s="4" t="s">
        <v>97</v>
      </c>
      <c r="B40" s="4">
        <v>611698.16319277603</v>
      </c>
      <c r="C40" s="4">
        <v>826217.98263751296</v>
      </c>
      <c r="D40" s="4">
        <v>851379.03598601604</v>
      </c>
      <c r="E40" s="4">
        <v>854060.36367353599</v>
      </c>
      <c r="F40" s="4">
        <v>854343.30103985802</v>
      </c>
      <c r="G40" s="4">
        <v>854373.12605856406</v>
      </c>
      <c r="H40" s="4">
        <v>854376.26963284297</v>
      </c>
      <c r="I40" s="4">
        <v>854376.60096358403</v>
      </c>
      <c r="J40" s="4">
        <v>854376.63588559197</v>
      </c>
      <c r="K40" s="4">
        <v>854376.63956634502</v>
      </c>
    </row>
    <row r="41" spans="1:11" x14ac:dyDescent="0.25">
      <c r="A41" s="4" t="s">
        <v>99</v>
      </c>
      <c r="B41" s="4">
        <v>96748.077339411</v>
      </c>
      <c r="C41" s="4">
        <v>415749.01347532897</v>
      </c>
      <c r="D41" s="4">
        <v>780521.78182126395</v>
      </c>
      <c r="E41" s="4">
        <v>1079917.7194328001</v>
      </c>
      <c r="F41" s="4">
        <v>1292623.4043491301</v>
      </c>
      <c r="G41" s="4">
        <v>1433085.33309644</v>
      </c>
      <c r="H41" s="4">
        <v>1522211.3162985099</v>
      </c>
      <c r="I41" s="4">
        <v>1577495.2073912199</v>
      </c>
      <c r="J41" s="4">
        <v>1611337.92069098</v>
      </c>
      <c r="K41" s="4">
        <v>1631894.8143615399</v>
      </c>
    </row>
    <row r="42" spans="1:11" x14ac:dyDescent="0.25">
      <c r="A42" s="4" t="s">
        <v>101</v>
      </c>
      <c r="B42" s="4">
        <v>1414338.1376978101</v>
      </c>
      <c r="C42" s="4">
        <v>4979536.8821647996</v>
      </c>
      <c r="D42" s="4">
        <v>10345726.4433394</v>
      </c>
      <c r="E42" s="4">
        <v>16721264.2194985</v>
      </c>
      <c r="F42" s="4">
        <v>23392105.426918499</v>
      </c>
      <c r="G42" s="4">
        <v>29850516.5086556</v>
      </c>
      <c r="H42" s="4">
        <v>35790938.230401799</v>
      </c>
      <c r="I42" s="4">
        <v>41064014.265004203</v>
      </c>
      <c r="J42" s="4">
        <v>45626620.942135297</v>
      </c>
      <c r="K42" s="4">
        <v>49500869.228393897</v>
      </c>
    </row>
    <row r="43" spans="1:11" x14ac:dyDescent="0.25">
      <c r="A43" s="4" t="s">
        <v>103</v>
      </c>
      <c r="B43" s="4">
        <v>10104.6911210207</v>
      </c>
      <c r="C43" s="4">
        <v>55320.1165151635</v>
      </c>
      <c r="D43" s="4">
        <v>136356.51965689199</v>
      </c>
      <c r="E43" s="4">
        <v>243487.56422705899</v>
      </c>
      <c r="F43" s="4">
        <v>365591.70918239001</v>
      </c>
      <c r="G43" s="4">
        <v>493206.813119528</v>
      </c>
      <c r="H43" s="4">
        <v>619305.52591043594</v>
      </c>
      <c r="I43" s="4">
        <v>739170.93633582897</v>
      </c>
      <c r="J43" s="4">
        <v>849968.56780960201</v>
      </c>
      <c r="K43" s="4">
        <v>950271.76421676797</v>
      </c>
    </row>
    <row r="44" spans="1:11" x14ac:dyDescent="0.25">
      <c r="A44" s="4" t="s">
        <v>105</v>
      </c>
      <c r="B44" s="4">
        <v>7178314.4840419702</v>
      </c>
      <c r="C44" s="4">
        <v>16714240.375901701</v>
      </c>
      <c r="D44" s="4">
        <v>22364171.135055099</v>
      </c>
      <c r="E44" s="4">
        <v>25030593.2399971</v>
      </c>
      <c r="F44" s="4">
        <v>26191083.819039401</v>
      </c>
      <c r="G44" s="4">
        <v>26680471.565908398</v>
      </c>
      <c r="H44" s="4">
        <v>26884241.585686099</v>
      </c>
      <c r="I44" s="4">
        <v>26968646.783894502</v>
      </c>
      <c r="J44" s="4">
        <v>27003534.273735799</v>
      </c>
      <c r="K44" s="4">
        <v>27017941.743493401</v>
      </c>
    </row>
    <row r="45" spans="1:11" x14ac:dyDescent="0.25">
      <c r="A45" s="4" t="s">
        <v>107</v>
      </c>
      <c r="B45" s="4">
        <v>2211620.84465747</v>
      </c>
      <c r="C45" s="4">
        <v>5455702.7820230499</v>
      </c>
      <c r="D45" s="4">
        <v>8093844.81232558</v>
      </c>
      <c r="E45" s="4">
        <v>9821338.6442235298</v>
      </c>
      <c r="F45" s="4">
        <v>10850087.493188599</v>
      </c>
      <c r="G45" s="4">
        <v>11435046.4838608</v>
      </c>
      <c r="H45" s="4">
        <v>11759878.717751199</v>
      </c>
      <c r="I45" s="4">
        <v>11938030.681526</v>
      </c>
      <c r="J45" s="4">
        <v>12035091.909644701</v>
      </c>
      <c r="K45" s="4">
        <v>12087785.599866999</v>
      </c>
    </row>
    <row r="46" spans="1:11" x14ac:dyDescent="0.25">
      <c r="A46" s="4" t="s">
        <v>109</v>
      </c>
      <c r="B46" s="4">
        <v>11071562.2159796</v>
      </c>
      <c r="C46" s="4">
        <v>24633973.8870265</v>
      </c>
      <c r="D46" s="4">
        <v>34430551.456728101</v>
      </c>
      <c r="E46" s="4">
        <v>40212477.311210901</v>
      </c>
      <c r="F46" s="4">
        <v>43345628.925859101</v>
      </c>
      <c r="G46" s="4">
        <v>44977637.835016899</v>
      </c>
      <c r="H46" s="4">
        <v>45811668.703908101</v>
      </c>
      <c r="I46" s="4">
        <v>46233916.274830602</v>
      </c>
      <c r="J46" s="4">
        <v>46446694.895549797</v>
      </c>
      <c r="K46" s="4">
        <v>46553668.930519097</v>
      </c>
    </row>
    <row r="47" spans="1:11" x14ac:dyDescent="0.25">
      <c r="A47" s="4" t="s">
        <v>111</v>
      </c>
      <c r="B47" s="4">
        <v>1767639.2363529401</v>
      </c>
      <c r="C47" s="4">
        <v>3308689.86036151</v>
      </c>
      <c r="D47" s="4">
        <v>4608224.3149673501</v>
      </c>
      <c r="E47" s="4">
        <v>5564796.8412451604</v>
      </c>
      <c r="F47" s="4">
        <v>6221232.2540936898</v>
      </c>
      <c r="G47" s="4">
        <v>6654394.4211897301</v>
      </c>
      <c r="H47" s="4">
        <v>6933762.3397910399</v>
      </c>
      <c r="I47" s="4">
        <v>7111490.2931877198</v>
      </c>
      <c r="J47" s="4">
        <v>7223619.8927457696</v>
      </c>
      <c r="K47" s="4">
        <v>7294002.8434808301</v>
      </c>
    </row>
    <row r="48" spans="1:11" x14ac:dyDescent="0.25">
      <c r="A48" s="4" t="s">
        <v>113</v>
      </c>
      <c r="B48" s="4">
        <v>983369.23109176604</v>
      </c>
      <c r="C48" s="4">
        <v>3559561.4441202199</v>
      </c>
      <c r="D48" s="4">
        <v>5905391.43576755</v>
      </c>
      <c r="E48" s="4">
        <v>7472808.3505459502</v>
      </c>
      <c r="F48" s="4">
        <v>8397008.3244856093</v>
      </c>
      <c r="G48" s="4">
        <v>8911262.1458724905</v>
      </c>
      <c r="H48" s="4">
        <v>9189346.2184136901</v>
      </c>
      <c r="I48" s="4">
        <v>9337551.9877804592</v>
      </c>
      <c r="J48" s="4">
        <v>9415948.6474904008</v>
      </c>
      <c r="K48" s="4">
        <v>9457256.8182548098</v>
      </c>
    </row>
    <row r="49" spans="1:11" x14ac:dyDescent="0.25">
      <c r="A49" s="4" t="s">
        <v>115</v>
      </c>
      <c r="B49" s="4">
        <v>300299856.059394</v>
      </c>
      <c r="C49" s="4">
        <v>301122119.47996002</v>
      </c>
      <c r="D49" s="4">
        <v>301122869.971295</v>
      </c>
      <c r="E49" s="4">
        <v>301122870.65565503</v>
      </c>
      <c r="F49" s="4">
        <v>301122870.65627903</v>
      </c>
      <c r="G49" s="4">
        <v>301122870.65627998</v>
      </c>
      <c r="H49" s="4">
        <v>301122870.65627998</v>
      </c>
      <c r="I49" s="4">
        <v>301122870.65627998</v>
      </c>
      <c r="J49" s="4">
        <v>301122870.65627998</v>
      </c>
      <c r="K49" s="4">
        <v>301122870.65627998</v>
      </c>
    </row>
    <row r="50" spans="1:11" x14ac:dyDescent="0.25">
      <c r="A50" s="4" t="s">
        <v>117</v>
      </c>
      <c r="B50" s="4">
        <v>102432.53088490901</v>
      </c>
      <c r="C50" s="4">
        <v>540378.64051599905</v>
      </c>
      <c r="D50" s="4">
        <v>1229514.7474976601</v>
      </c>
      <c r="E50" s="4">
        <v>2007677.64274075</v>
      </c>
      <c r="F50" s="4">
        <v>2758476.4853580701</v>
      </c>
      <c r="G50" s="4">
        <v>3421507.3565730602</v>
      </c>
      <c r="H50" s="4">
        <v>3975855.2995265699</v>
      </c>
      <c r="I50" s="4">
        <v>4423034.7453948399</v>
      </c>
      <c r="J50" s="4">
        <v>4775099.3795043603</v>
      </c>
      <c r="K50" s="4">
        <v>5047627.6630186103</v>
      </c>
    </row>
    <row r="51" spans="1:11" x14ac:dyDescent="0.25">
      <c r="A51" s="4" t="s">
        <v>119</v>
      </c>
      <c r="B51" s="4">
        <v>24668077.738895901</v>
      </c>
      <c r="C51" s="4">
        <v>37678476.387288198</v>
      </c>
      <c r="D51" s="4">
        <v>41094184.172181003</v>
      </c>
      <c r="E51" s="4">
        <v>41883292.127343901</v>
      </c>
      <c r="F51" s="4">
        <v>42060724.110643499</v>
      </c>
      <c r="G51" s="4">
        <v>42100382.334946901</v>
      </c>
      <c r="H51" s="4">
        <v>42109234.658286303</v>
      </c>
      <c r="I51" s="4">
        <v>42111210.046783403</v>
      </c>
      <c r="J51" s="4">
        <v>42111650.823908098</v>
      </c>
      <c r="K51" s="4">
        <v>42111749.1749954</v>
      </c>
    </row>
    <row r="52" spans="1:11" x14ac:dyDescent="0.25">
      <c r="A52" s="4" t="s">
        <v>121</v>
      </c>
      <c r="B52" s="4">
        <v>17848637322.8069</v>
      </c>
      <c r="C52" s="4">
        <v>17897509412.7575</v>
      </c>
      <c r="D52" s="4">
        <v>17897554018.998199</v>
      </c>
      <c r="E52" s="4">
        <v>17897554059.673901</v>
      </c>
      <c r="F52" s="4">
        <v>17897554059.710899</v>
      </c>
      <c r="G52" s="4">
        <v>17897554059.710999</v>
      </c>
      <c r="H52" s="4">
        <v>17897554059.710999</v>
      </c>
      <c r="I52" s="4">
        <v>17897554059.710999</v>
      </c>
      <c r="J52" s="4">
        <v>17897554059.710999</v>
      </c>
      <c r="K52" s="4">
        <v>17897554059.710999</v>
      </c>
    </row>
    <row r="53" spans="1:11" x14ac:dyDescent="0.25">
      <c r="A53" s="4" t="s">
        <v>123</v>
      </c>
      <c r="B53" s="4">
        <v>515262.03660332598</v>
      </c>
      <c r="C53" s="4">
        <v>2878327.4599697501</v>
      </c>
      <c r="D53" s="4">
        <v>6313149.4253591597</v>
      </c>
      <c r="E53" s="4">
        <v>9776984.4196191803</v>
      </c>
      <c r="F53" s="4">
        <v>12738273.5834498</v>
      </c>
      <c r="G53" s="4">
        <v>15055279.0349984</v>
      </c>
      <c r="H53" s="4">
        <v>16776333.267847501</v>
      </c>
      <c r="I53" s="4">
        <v>18014294.597810298</v>
      </c>
      <c r="J53" s="4">
        <v>18886695.1865994</v>
      </c>
      <c r="K53" s="4">
        <v>19493331.245649699</v>
      </c>
    </row>
    <row r="54" spans="1:11" x14ac:dyDescent="0.25">
      <c r="A54" s="4" t="s">
        <v>125</v>
      </c>
      <c r="B54" s="4">
        <v>25171.327616078899</v>
      </c>
      <c r="C54" s="4">
        <v>163115.06433652199</v>
      </c>
      <c r="D54" s="4">
        <v>460052.13204372901</v>
      </c>
      <c r="E54" s="4">
        <v>924320.23765543604</v>
      </c>
      <c r="F54" s="4">
        <v>1543816.5596502901</v>
      </c>
      <c r="G54" s="4">
        <v>2296106.2271517799</v>
      </c>
      <c r="H54" s="4">
        <v>3154562.7713873801</v>
      </c>
      <c r="I54" s="4">
        <v>4092056.0363752199</v>
      </c>
      <c r="J54" s="4">
        <v>5083073.1391647402</v>
      </c>
      <c r="K54" s="4">
        <v>6104833.8399565797</v>
      </c>
    </row>
    <row r="55" spans="1:11" x14ac:dyDescent="0.25">
      <c r="A55" s="4" t="s">
        <v>127</v>
      </c>
      <c r="B55" s="4">
        <v>770406.49782651803</v>
      </c>
      <c r="C55" s="4">
        <v>2045131.54257155</v>
      </c>
      <c r="D55" s="4">
        <v>2793972.3051704401</v>
      </c>
      <c r="E55" s="4">
        <v>3133530.0703345202</v>
      </c>
      <c r="F55" s="4">
        <v>3274726.5218993002</v>
      </c>
      <c r="G55" s="4">
        <v>3331582.43878855</v>
      </c>
      <c r="H55" s="4">
        <v>3354194.95325138</v>
      </c>
      <c r="I55" s="4">
        <v>3363144.8777517001</v>
      </c>
      <c r="J55" s="4">
        <v>3366680.4789599399</v>
      </c>
      <c r="K55" s="4">
        <v>3368076.1449603499</v>
      </c>
    </row>
    <row r="56" spans="1:11" x14ac:dyDescent="0.25">
      <c r="A56" s="4" t="s">
        <v>129</v>
      </c>
      <c r="B56" s="4">
        <v>61338.531906069002</v>
      </c>
      <c r="C56" s="4">
        <v>377246.46058581001</v>
      </c>
      <c r="D56" s="4">
        <v>1017236.45890659</v>
      </c>
      <c r="E56" s="4">
        <v>1961646.5330109601</v>
      </c>
      <c r="F56" s="4">
        <v>3153612.2682592301</v>
      </c>
      <c r="G56" s="4">
        <v>4525179.1917625004</v>
      </c>
      <c r="H56" s="4">
        <v>6010513.56263988</v>
      </c>
      <c r="I56" s="4">
        <v>7552022.0358241498</v>
      </c>
      <c r="J56" s="4">
        <v>9102550.3384307604</v>
      </c>
      <c r="K56" s="4">
        <v>10625482.0220982</v>
      </c>
    </row>
    <row r="57" spans="1:11" x14ac:dyDescent="0.25">
      <c r="A57" s="4" t="s">
        <v>131</v>
      </c>
      <c r="B57" s="4">
        <v>90682.377724242106</v>
      </c>
      <c r="C57" s="4">
        <v>322491.92680133099</v>
      </c>
      <c r="D57" s="4">
        <v>539914.37751630705</v>
      </c>
      <c r="E57" s="4">
        <v>692007.82131257397</v>
      </c>
      <c r="F57" s="4">
        <v>786259.18486504303</v>
      </c>
      <c r="G57" s="4">
        <v>841381.88165621099</v>
      </c>
      <c r="H57" s="4">
        <v>872681.44070893305</v>
      </c>
      <c r="I57" s="4">
        <v>890178.58444319002</v>
      </c>
      <c r="J57" s="4">
        <v>899878.14630414394</v>
      </c>
      <c r="K57" s="4">
        <v>905230.68282999296</v>
      </c>
    </row>
    <row r="58" spans="1:11" x14ac:dyDescent="0.25">
      <c r="A58" s="4" t="s">
        <v>133</v>
      </c>
      <c r="B58" s="4">
        <v>2562820.6892267698</v>
      </c>
      <c r="C58" s="4">
        <v>9947498.6753603201</v>
      </c>
      <c r="D58" s="4">
        <v>17256584.213301301</v>
      </c>
      <c r="E58" s="4">
        <v>22499583.0719641</v>
      </c>
      <c r="F58" s="4">
        <v>25790137.840376802</v>
      </c>
      <c r="G58" s="4">
        <v>27727490.470329098</v>
      </c>
      <c r="H58" s="4">
        <v>28831492.201488599</v>
      </c>
      <c r="I58" s="4">
        <v>29449850.9976133</v>
      </c>
      <c r="J58" s="4">
        <v>29793001.2885653</v>
      </c>
      <c r="K58" s="4">
        <v>29982472.306847401</v>
      </c>
    </row>
    <row r="59" spans="1:11" x14ac:dyDescent="0.25">
      <c r="A59" s="4" t="s">
        <v>135</v>
      </c>
      <c r="B59" s="4">
        <v>45084.119937067699</v>
      </c>
      <c r="C59" s="4">
        <v>238752.90053153899</v>
      </c>
      <c r="D59" s="4">
        <v>545081.69400260504</v>
      </c>
      <c r="E59" s="4">
        <v>892729.41441720596</v>
      </c>
      <c r="F59" s="4">
        <v>1229771.3794708799</v>
      </c>
      <c r="G59" s="4">
        <v>1528782.07527939</v>
      </c>
      <c r="H59" s="4">
        <v>1779874.27388041</v>
      </c>
      <c r="I59" s="4">
        <v>1983270.5325494399</v>
      </c>
      <c r="J59" s="4">
        <v>2144044.25009323</v>
      </c>
      <c r="K59" s="4">
        <v>2268974.0322691598</v>
      </c>
    </row>
    <row r="60" spans="1:11" x14ac:dyDescent="0.25">
      <c r="A60" s="4" t="s">
        <v>137</v>
      </c>
      <c r="B60" s="4">
        <v>22346.742947147799</v>
      </c>
      <c r="C60" s="4">
        <v>102348.26230305299</v>
      </c>
      <c r="D60" s="4">
        <v>213703.14200022799</v>
      </c>
      <c r="E60" s="4">
        <v>328231.64678402198</v>
      </c>
      <c r="F60" s="4">
        <v>430523.07294985797</v>
      </c>
      <c r="G60" s="4">
        <v>515017.394109249</v>
      </c>
      <c r="H60" s="4">
        <v>581577.22029877396</v>
      </c>
      <c r="I60" s="4">
        <v>632438.139096934</v>
      </c>
      <c r="J60" s="4">
        <v>670525.73986895103</v>
      </c>
      <c r="K60" s="4">
        <v>698659.20903228503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7"/>
  <sheetViews>
    <sheetView topLeftCell="G1" workbookViewId="0">
      <selection activeCell="U21" sqref="U21"/>
    </sheetView>
  </sheetViews>
  <sheetFormatPr defaultRowHeight="15" x14ac:dyDescent="0.25"/>
  <cols>
    <col min="1" max="10" width="12" bestFit="1" customWidth="1"/>
    <col min="12" max="12" width="18.7109375" style="4" customWidth="1"/>
    <col min="13" max="13" width="10.7109375" style="4" bestFit="1" customWidth="1"/>
    <col min="14" max="14" width="16.42578125" style="4" bestFit="1" customWidth="1"/>
    <col min="15" max="24" width="12" style="4" bestFit="1" customWidth="1"/>
    <col min="25" max="25" width="9.140625" style="4"/>
  </cols>
  <sheetData>
    <row r="1" spans="1:24" s="4" customFormat="1" x14ac:dyDescent="0.25">
      <c r="A1" s="13" t="s">
        <v>936</v>
      </c>
      <c r="K1" s="12" t="s">
        <v>939</v>
      </c>
      <c r="L1" s="12" t="s">
        <v>940</v>
      </c>
      <c r="M1" s="12" t="s">
        <v>933</v>
      </c>
      <c r="N1" s="12" t="s">
        <v>935</v>
      </c>
      <c r="O1" s="12" t="s">
        <v>937</v>
      </c>
    </row>
    <row r="2" spans="1:24" x14ac:dyDescent="0.25">
      <c r="A2" t="s">
        <v>815</v>
      </c>
      <c r="B2">
        <v>10</v>
      </c>
      <c r="K2" s="11">
        <v>1</v>
      </c>
      <c r="L2" s="11">
        <v>1</v>
      </c>
      <c r="M2" s="11">
        <v>18</v>
      </c>
      <c r="N2" s="11">
        <v>53</v>
      </c>
      <c r="O2" s="14">
        <v>0.8</v>
      </c>
      <c r="P2" s="14">
        <v>1</v>
      </c>
      <c r="Q2" s="14">
        <v>1.2</v>
      </c>
      <c r="R2" s="14">
        <v>1.7</v>
      </c>
      <c r="S2" s="14">
        <v>1.9</v>
      </c>
      <c r="T2" s="14">
        <v>2.1</v>
      </c>
      <c r="U2" s="14">
        <v>2.2000000000000002</v>
      </c>
      <c r="V2" s="14">
        <v>2.9</v>
      </c>
      <c r="W2" s="14">
        <v>2.9</v>
      </c>
      <c r="X2" s="14">
        <v>2.9</v>
      </c>
    </row>
    <row r="3" spans="1:24" x14ac:dyDescent="0.25">
      <c r="A3">
        <v>0.68075048699999996</v>
      </c>
      <c r="B3">
        <v>0.68723196900000005</v>
      </c>
      <c r="C3">
        <v>4.8226120999999997</v>
      </c>
      <c r="D3">
        <v>16.880116958999999</v>
      </c>
      <c r="E3">
        <v>18.323269980500001</v>
      </c>
      <c r="F3">
        <v>20.368201754400001</v>
      </c>
      <c r="G3">
        <v>20.382651070000001</v>
      </c>
      <c r="H3">
        <v>20.39</v>
      </c>
      <c r="I3">
        <v>20.398235867</v>
      </c>
      <c r="J3">
        <v>20.3994</v>
      </c>
      <c r="K3" s="11">
        <v>2</v>
      </c>
      <c r="L3" s="11">
        <v>2</v>
      </c>
      <c r="M3" s="11">
        <v>13</v>
      </c>
      <c r="N3" s="11">
        <v>38</v>
      </c>
      <c r="O3" s="14">
        <v>2.6666666999999999</v>
      </c>
      <c r="P3" s="14">
        <v>666.66666667000004</v>
      </c>
      <c r="Q3" s="14">
        <v>1266.66666667</v>
      </c>
      <c r="R3" s="14">
        <v>3760.6666666699998</v>
      </c>
      <c r="S3" s="14">
        <v>5796.6666666700003</v>
      </c>
      <c r="T3" s="14">
        <v>8806.6666666700003</v>
      </c>
      <c r="U3" s="14">
        <v>8836.6666666700003</v>
      </c>
      <c r="V3" s="14">
        <v>8806.6666666700003</v>
      </c>
      <c r="W3" s="14">
        <v>8816.6666666700003</v>
      </c>
      <c r="X3" s="14">
        <v>8826.6666666700003</v>
      </c>
    </row>
    <row r="4" spans="1:24" x14ac:dyDescent="0.25">
      <c r="K4" s="11">
        <v>3</v>
      </c>
      <c r="L4" s="11">
        <v>3</v>
      </c>
      <c r="M4" s="11">
        <v>15</v>
      </c>
      <c r="N4" s="11">
        <v>44</v>
      </c>
      <c r="O4" s="14">
        <v>2.6666666999999999</v>
      </c>
      <c r="P4" s="14">
        <v>666.66666667000004</v>
      </c>
      <c r="Q4" s="14">
        <v>1266.66666667</v>
      </c>
      <c r="R4" s="14">
        <v>3760.6666666699998</v>
      </c>
      <c r="S4" s="14">
        <v>5796.6666666700003</v>
      </c>
      <c r="T4" s="14">
        <v>8806.6666666700003</v>
      </c>
      <c r="U4" s="14">
        <v>8836.6666666700003</v>
      </c>
      <c r="V4" s="14">
        <v>8806.6666666700003</v>
      </c>
      <c r="W4" s="14">
        <v>8816.6666666700003</v>
      </c>
      <c r="X4" s="14">
        <v>8826.6666666700003</v>
      </c>
    </row>
    <row r="5" spans="1:24" x14ac:dyDescent="0.25">
      <c r="A5" t="s">
        <v>816</v>
      </c>
      <c r="B5">
        <v>10</v>
      </c>
      <c r="K5" s="11">
        <v>4</v>
      </c>
      <c r="L5" s="11">
        <v>4</v>
      </c>
      <c r="M5" s="11">
        <v>4</v>
      </c>
      <c r="N5" s="11">
        <v>11</v>
      </c>
      <c r="O5" s="14">
        <v>3.022904483</v>
      </c>
      <c r="P5" s="14">
        <v>45.739278749999997</v>
      </c>
      <c r="Q5" s="14">
        <v>80.307992200000001</v>
      </c>
      <c r="R5" s="14">
        <v>195.18810916000001</v>
      </c>
      <c r="S5" s="14">
        <v>195.84161793000001</v>
      </c>
      <c r="T5" s="14">
        <v>195.67300195000001</v>
      </c>
      <c r="U5" s="14">
        <v>195.01803118999999</v>
      </c>
      <c r="V5" s="14">
        <v>195.02339180999999</v>
      </c>
      <c r="W5" s="14">
        <v>195.216374269</v>
      </c>
      <c r="X5" s="14">
        <v>205</v>
      </c>
    </row>
    <row r="6" spans="1:24" x14ac:dyDescent="0.25">
      <c r="A6">
        <v>3.374269</v>
      </c>
      <c r="B6">
        <v>3.0323587000000001</v>
      </c>
      <c r="C6">
        <v>3.6023391999999999</v>
      </c>
      <c r="D6">
        <v>4.8538009999999998</v>
      </c>
      <c r="E6">
        <v>5.3460039000000004</v>
      </c>
      <c r="F6">
        <v>5.4259259000000002</v>
      </c>
      <c r="G6">
        <v>6.46</v>
      </c>
      <c r="H6">
        <v>6.4655214425</v>
      </c>
      <c r="I6">
        <v>6.4663815790000001</v>
      </c>
      <c r="J6">
        <v>6.47</v>
      </c>
      <c r="K6" s="11">
        <v>5</v>
      </c>
      <c r="L6" s="11">
        <v>5</v>
      </c>
      <c r="M6" s="11">
        <v>46</v>
      </c>
      <c r="N6" s="11">
        <v>137</v>
      </c>
      <c r="O6" s="14">
        <v>3</v>
      </c>
      <c r="P6" s="14">
        <v>52</v>
      </c>
      <c r="Q6" s="14">
        <v>300</v>
      </c>
      <c r="R6" s="14">
        <v>1230.5</v>
      </c>
      <c r="S6" s="14">
        <v>1550.5</v>
      </c>
      <c r="T6" s="14">
        <v>1850.5</v>
      </c>
      <c r="U6" s="14">
        <v>1850.5</v>
      </c>
      <c r="V6" s="14">
        <v>1850.5</v>
      </c>
      <c r="W6" s="14">
        <v>2550.5</v>
      </c>
      <c r="X6" s="14">
        <v>2550.5</v>
      </c>
    </row>
    <row r="7" spans="1:24" x14ac:dyDescent="0.25">
      <c r="K7" s="11">
        <v>6</v>
      </c>
      <c r="L7" s="11">
        <v>6</v>
      </c>
      <c r="M7" s="11">
        <v>19</v>
      </c>
      <c r="N7" s="11">
        <v>56</v>
      </c>
      <c r="O7" s="14">
        <v>0.8</v>
      </c>
      <c r="P7" s="14">
        <v>1</v>
      </c>
      <c r="Q7" s="14">
        <v>1.2</v>
      </c>
      <c r="R7" s="14">
        <v>1.7</v>
      </c>
      <c r="S7" s="14">
        <v>1.9</v>
      </c>
      <c r="T7" s="14">
        <v>2.1</v>
      </c>
      <c r="U7" s="14">
        <v>2.2000000000000002</v>
      </c>
      <c r="V7" s="14">
        <v>2.9</v>
      </c>
      <c r="W7" s="14">
        <v>2.9</v>
      </c>
      <c r="X7" s="14">
        <v>2.9</v>
      </c>
    </row>
    <row r="8" spans="1:24" x14ac:dyDescent="0.25">
      <c r="A8" t="s">
        <v>817</v>
      </c>
      <c r="B8">
        <v>10</v>
      </c>
      <c r="K8" s="11">
        <v>7</v>
      </c>
      <c r="L8" s="11">
        <v>7</v>
      </c>
      <c r="M8" s="11">
        <v>28</v>
      </c>
      <c r="N8" s="11">
        <v>83</v>
      </c>
      <c r="O8" s="14">
        <v>0.73001949300000002</v>
      </c>
      <c r="P8" s="14">
        <v>3.9027777779999999</v>
      </c>
      <c r="Q8" s="14">
        <v>5.8809697859999996</v>
      </c>
      <c r="R8" s="14">
        <v>8.4127680310000006</v>
      </c>
      <c r="S8" s="14">
        <v>12.319200779999999</v>
      </c>
      <c r="T8" s="14">
        <v>18.033869396</v>
      </c>
      <c r="U8" s="14">
        <v>21.9</v>
      </c>
      <c r="V8" s="14">
        <v>20.949317739000001</v>
      </c>
      <c r="W8" s="14">
        <v>20.5</v>
      </c>
      <c r="X8" s="14">
        <v>20</v>
      </c>
    </row>
    <row r="9" spans="1:24" x14ac:dyDescent="0.25">
      <c r="A9">
        <v>0.73001949300000002</v>
      </c>
      <c r="B9">
        <v>3.9027777779999999</v>
      </c>
      <c r="C9">
        <v>5.8809697859999996</v>
      </c>
      <c r="D9">
        <v>8.4127680310000006</v>
      </c>
      <c r="E9">
        <v>12.319200779999999</v>
      </c>
      <c r="F9">
        <v>18.033869396</v>
      </c>
      <c r="G9">
        <v>21.9</v>
      </c>
      <c r="H9">
        <v>20.949317739000001</v>
      </c>
      <c r="I9">
        <v>20.5</v>
      </c>
      <c r="J9">
        <v>20</v>
      </c>
      <c r="K9" s="11">
        <v>8</v>
      </c>
      <c r="L9" s="11">
        <v>8</v>
      </c>
      <c r="M9" s="11">
        <v>17</v>
      </c>
      <c r="N9" s="11">
        <v>50</v>
      </c>
      <c r="O9" s="14">
        <v>0.8</v>
      </c>
      <c r="P9" s="14">
        <v>1</v>
      </c>
      <c r="Q9" s="14">
        <v>1.2</v>
      </c>
      <c r="R9" s="14">
        <v>1.7</v>
      </c>
      <c r="S9" s="14">
        <v>1.9</v>
      </c>
      <c r="T9" s="14">
        <v>2.1</v>
      </c>
      <c r="U9" s="14">
        <v>2.2000000000000002</v>
      </c>
      <c r="V9" s="14">
        <v>2.9</v>
      </c>
      <c r="W9" s="14">
        <v>2.9</v>
      </c>
      <c r="X9" s="14">
        <v>2.9</v>
      </c>
    </row>
    <row r="10" spans="1:24" x14ac:dyDescent="0.25">
      <c r="K10" s="11">
        <v>9</v>
      </c>
      <c r="L10" s="11">
        <v>9</v>
      </c>
      <c r="M10" s="11">
        <v>56</v>
      </c>
      <c r="N10" s="11">
        <v>167</v>
      </c>
      <c r="O10" s="14">
        <v>2000000</v>
      </c>
      <c r="P10" s="14">
        <v>3500000</v>
      </c>
      <c r="Q10" s="14">
        <v>3500000</v>
      </c>
      <c r="R10" s="14">
        <v>3500000</v>
      </c>
      <c r="S10" s="14">
        <v>3500000</v>
      </c>
      <c r="T10" s="14">
        <v>3500000</v>
      </c>
      <c r="U10" s="14">
        <v>3500000</v>
      </c>
      <c r="V10" s="14">
        <v>3500000</v>
      </c>
      <c r="W10" s="14">
        <v>3500000</v>
      </c>
      <c r="X10" s="14">
        <v>3500000</v>
      </c>
    </row>
    <row r="11" spans="1:24" x14ac:dyDescent="0.25">
      <c r="A11" t="s">
        <v>818</v>
      </c>
      <c r="B11">
        <v>10</v>
      </c>
      <c r="K11" s="11">
        <v>10</v>
      </c>
      <c r="L11" s="11">
        <v>10</v>
      </c>
      <c r="M11" s="11">
        <v>23</v>
      </c>
      <c r="N11" s="11">
        <v>68</v>
      </c>
      <c r="O11" s="14">
        <v>2.7660818699999998</v>
      </c>
      <c r="P11" s="14">
        <v>33.826754389999998</v>
      </c>
      <c r="Q11" s="14">
        <v>78.983308969999996</v>
      </c>
      <c r="R11" s="14">
        <v>155.83089669</v>
      </c>
      <c r="S11" s="14">
        <v>252.43116472</v>
      </c>
      <c r="T11" s="14">
        <v>305.03045809000002</v>
      </c>
      <c r="U11" s="14">
        <v>305</v>
      </c>
      <c r="V11" s="14">
        <v>304.36647173</v>
      </c>
      <c r="W11" s="14">
        <v>310.18323586999998</v>
      </c>
      <c r="X11" s="14">
        <v>315</v>
      </c>
    </row>
    <row r="12" spans="1:24" x14ac:dyDescent="0.25">
      <c r="A12">
        <v>3.022904483</v>
      </c>
      <c r="B12">
        <v>45.739278749999997</v>
      </c>
      <c r="C12">
        <v>80.307992200000001</v>
      </c>
      <c r="D12">
        <v>195.18810916000001</v>
      </c>
      <c r="E12">
        <v>195.84161793000001</v>
      </c>
      <c r="F12">
        <v>195.67300195000001</v>
      </c>
      <c r="G12">
        <v>195.01803118999999</v>
      </c>
      <c r="H12">
        <v>195.02339180999999</v>
      </c>
      <c r="I12">
        <v>195.216374269</v>
      </c>
      <c r="J12">
        <v>205</v>
      </c>
      <c r="K12" s="11">
        <v>11</v>
      </c>
      <c r="L12" s="11">
        <v>11</v>
      </c>
      <c r="M12" s="11">
        <v>42</v>
      </c>
      <c r="N12" s="11">
        <v>125</v>
      </c>
      <c r="O12" s="14">
        <v>0.5</v>
      </c>
      <c r="P12" s="14">
        <v>10.5</v>
      </c>
      <c r="Q12" s="14">
        <v>25.5</v>
      </c>
      <c r="R12" s="14">
        <v>80.5</v>
      </c>
      <c r="S12" s="14">
        <v>270.5</v>
      </c>
      <c r="T12" s="14">
        <v>320.5</v>
      </c>
      <c r="U12" s="14">
        <v>460.5</v>
      </c>
      <c r="V12" s="14">
        <v>520.5</v>
      </c>
      <c r="W12" s="14">
        <v>520.5</v>
      </c>
      <c r="X12" s="14">
        <v>520.5</v>
      </c>
    </row>
    <row r="13" spans="1:24" x14ac:dyDescent="0.25">
      <c r="K13" s="11">
        <v>12</v>
      </c>
      <c r="L13" s="11">
        <v>12</v>
      </c>
      <c r="M13" s="11">
        <v>34</v>
      </c>
      <c r="N13" s="11">
        <v>101</v>
      </c>
      <c r="O13" s="14">
        <v>0.73001949300000002</v>
      </c>
      <c r="P13" s="14">
        <v>3.9027777779999999</v>
      </c>
      <c r="Q13" s="14">
        <v>5.8809697859999996</v>
      </c>
      <c r="R13" s="14">
        <v>8.4127680310000006</v>
      </c>
      <c r="S13" s="14">
        <v>12.319200779999999</v>
      </c>
      <c r="T13" s="14">
        <v>18.033869396</v>
      </c>
      <c r="U13" s="14">
        <v>21.9</v>
      </c>
      <c r="V13" s="14">
        <v>20.949317739000001</v>
      </c>
      <c r="W13" s="14">
        <v>20.5</v>
      </c>
      <c r="X13" s="14">
        <v>20</v>
      </c>
    </row>
    <row r="14" spans="1:24" x14ac:dyDescent="0.25">
      <c r="A14" t="s">
        <v>819</v>
      </c>
      <c r="B14">
        <v>10</v>
      </c>
      <c r="K14" s="11">
        <v>13</v>
      </c>
      <c r="L14" s="11">
        <v>13</v>
      </c>
      <c r="M14" s="11">
        <v>45</v>
      </c>
      <c r="N14" s="11">
        <v>134</v>
      </c>
      <c r="O14" s="14">
        <v>1</v>
      </c>
      <c r="P14" s="14">
        <v>9</v>
      </c>
      <c r="Q14" s="14">
        <v>10</v>
      </c>
      <c r="R14" s="14">
        <v>15</v>
      </c>
      <c r="S14" s="14">
        <v>15</v>
      </c>
      <c r="T14" s="14">
        <v>20</v>
      </c>
      <c r="U14" s="14">
        <v>20</v>
      </c>
      <c r="V14" s="14">
        <v>20</v>
      </c>
      <c r="W14" s="14">
        <v>20</v>
      </c>
      <c r="X14" s="14">
        <v>20</v>
      </c>
    </row>
    <row r="15" spans="1:24" x14ac:dyDescent="0.25">
      <c r="A15">
        <v>3.3126827489999999</v>
      </c>
      <c r="B15">
        <v>4.1262183239999999</v>
      </c>
      <c r="C15">
        <v>5.7707115010000001</v>
      </c>
      <c r="D15">
        <v>7.4476120899999998</v>
      </c>
      <c r="E15">
        <v>18.7</v>
      </c>
      <c r="F15">
        <v>29.665082846000001</v>
      </c>
      <c r="G15">
        <v>40.663255360999997</v>
      </c>
      <c r="H15">
        <v>40.702972709999997</v>
      </c>
      <c r="I15">
        <v>40.9</v>
      </c>
      <c r="J15">
        <v>41.6</v>
      </c>
      <c r="K15" s="11">
        <v>14</v>
      </c>
      <c r="L15" s="11">
        <v>14</v>
      </c>
      <c r="M15" s="11">
        <v>22</v>
      </c>
      <c r="N15" s="11">
        <v>65</v>
      </c>
      <c r="O15" s="14">
        <v>6.0309941519999999</v>
      </c>
      <c r="P15" s="14">
        <v>9.3099415200000006</v>
      </c>
      <c r="Q15" s="14">
        <v>9.5116959059999999</v>
      </c>
      <c r="R15" s="14">
        <v>9.3000000000000007</v>
      </c>
      <c r="S15" s="14">
        <v>9.289717349</v>
      </c>
      <c r="T15" s="14">
        <v>9.3155458089999996</v>
      </c>
      <c r="U15" s="14">
        <v>9.3155458089999996</v>
      </c>
      <c r="V15" s="14">
        <v>9.5</v>
      </c>
      <c r="W15" s="14">
        <v>9.5218323589999994</v>
      </c>
      <c r="X15" s="14">
        <v>9.59</v>
      </c>
    </row>
    <row r="16" spans="1:24" x14ac:dyDescent="0.25">
      <c r="K16" s="11">
        <v>15</v>
      </c>
      <c r="L16" s="11">
        <v>15</v>
      </c>
      <c r="M16" s="11">
        <v>39</v>
      </c>
      <c r="N16" s="11">
        <v>116</v>
      </c>
      <c r="O16" s="14">
        <v>0.73001949300000002</v>
      </c>
      <c r="P16" s="14">
        <v>3.9027777779999999</v>
      </c>
      <c r="Q16" s="14">
        <v>5.8809697859999996</v>
      </c>
      <c r="R16" s="14">
        <v>8.4127680310000006</v>
      </c>
      <c r="S16" s="14">
        <v>12.319200779999999</v>
      </c>
      <c r="T16" s="14">
        <v>18.033869396</v>
      </c>
      <c r="U16" s="14">
        <v>21.9</v>
      </c>
      <c r="V16" s="14">
        <v>20.949317739000001</v>
      </c>
      <c r="W16" s="14">
        <v>20.5</v>
      </c>
      <c r="X16" s="14">
        <v>20</v>
      </c>
    </row>
    <row r="17" spans="1:24" x14ac:dyDescent="0.25">
      <c r="A17" t="s">
        <v>820</v>
      </c>
      <c r="B17">
        <v>10</v>
      </c>
      <c r="K17" s="11">
        <v>16</v>
      </c>
      <c r="L17" s="11">
        <v>16</v>
      </c>
      <c r="M17" s="11">
        <v>12</v>
      </c>
      <c r="N17" s="11">
        <v>35</v>
      </c>
      <c r="O17" s="14">
        <v>3.3126827489999999</v>
      </c>
      <c r="P17" s="14">
        <v>4.1262183239999999</v>
      </c>
      <c r="Q17" s="14">
        <v>5.7707115010000001</v>
      </c>
      <c r="R17" s="14">
        <v>7.4476120899999998</v>
      </c>
      <c r="S17" s="14">
        <v>18.7</v>
      </c>
      <c r="T17" s="14">
        <v>29.665082846000001</v>
      </c>
      <c r="U17" s="14">
        <v>40.663255360999997</v>
      </c>
      <c r="V17" s="14">
        <v>40.702972709999997</v>
      </c>
      <c r="W17" s="14">
        <v>40.9</v>
      </c>
      <c r="X17" s="14">
        <v>41.6</v>
      </c>
    </row>
    <row r="18" spans="1:24" x14ac:dyDescent="0.25">
      <c r="A18">
        <v>3.3126827489999999</v>
      </c>
      <c r="B18">
        <v>4.1262183239999999</v>
      </c>
      <c r="C18">
        <v>5.7707115010000001</v>
      </c>
      <c r="D18">
        <v>7.4476120899999998</v>
      </c>
      <c r="E18">
        <v>18.7</v>
      </c>
      <c r="F18">
        <v>29.665082846000001</v>
      </c>
      <c r="G18">
        <v>40.663255360999997</v>
      </c>
      <c r="H18">
        <v>40.702972709999997</v>
      </c>
      <c r="I18">
        <v>40.9</v>
      </c>
      <c r="J18">
        <v>41.6</v>
      </c>
      <c r="K18" s="11">
        <v>17</v>
      </c>
      <c r="L18" s="11">
        <v>17</v>
      </c>
      <c r="M18" s="11">
        <v>11</v>
      </c>
      <c r="N18" s="11">
        <v>32</v>
      </c>
      <c r="O18" s="14">
        <v>3.3126827489999999</v>
      </c>
      <c r="P18" s="14">
        <v>4.1262183239999999</v>
      </c>
      <c r="Q18" s="14">
        <v>5.7707115010000001</v>
      </c>
      <c r="R18" s="14">
        <v>7.4476120899999998</v>
      </c>
      <c r="S18" s="14">
        <v>18.7</v>
      </c>
      <c r="T18" s="14">
        <v>29.665082846000001</v>
      </c>
      <c r="U18" s="14">
        <v>40.663255360999997</v>
      </c>
      <c r="V18" s="14">
        <v>40.702972709999997</v>
      </c>
      <c r="W18" s="14">
        <v>40.9</v>
      </c>
      <c r="X18" s="14">
        <v>41.6</v>
      </c>
    </row>
    <row r="19" spans="1:24" x14ac:dyDescent="0.25">
      <c r="K19" s="11">
        <v>18</v>
      </c>
      <c r="L19" s="11">
        <v>18</v>
      </c>
      <c r="M19" s="11">
        <v>20</v>
      </c>
      <c r="N19" s="11">
        <v>59</v>
      </c>
      <c r="O19" s="14">
        <v>1.840253411</v>
      </c>
      <c r="P19" s="14">
        <v>5.0482456139999998</v>
      </c>
      <c r="Q19" s="14">
        <v>6.669103314</v>
      </c>
      <c r="R19" s="14">
        <v>18.428849899999999</v>
      </c>
      <c r="S19" s="14">
        <v>29.21052632</v>
      </c>
      <c r="T19" s="14">
        <v>75.896686160000002</v>
      </c>
      <c r="U19" s="14">
        <v>109.14327485</v>
      </c>
      <c r="V19" s="14">
        <v>152.75584795</v>
      </c>
      <c r="W19" s="14">
        <v>166.47051657</v>
      </c>
      <c r="X19" s="14">
        <v>150</v>
      </c>
    </row>
    <row r="20" spans="1:24" x14ac:dyDescent="0.25">
      <c r="A20" t="s">
        <v>821</v>
      </c>
      <c r="B20">
        <v>10</v>
      </c>
      <c r="K20" s="11">
        <v>19</v>
      </c>
      <c r="L20" s="11">
        <v>19</v>
      </c>
      <c r="M20" s="11">
        <v>40</v>
      </c>
      <c r="N20" s="11">
        <v>119</v>
      </c>
      <c r="O20" s="14">
        <v>0.73001949300000002</v>
      </c>
      <c r="P20" s="14">
        <v>3.9027777779999999</v>
      </c>
      <c r="Q20" s="14">
        <v>5.8809697859999996</v>
      </c>
      <c r="R20" s="14">
        <v>8.4127680310000006</v>
      </c>
      <c r="S20" s="14">
        <v>12.319200779999999</v>
      </c>
      <c r="T20" s="14">
        <v>18.033869396</v>
      </c>
      <c r="U20" s="14">
        <v>21.9</v>
      </c>
      <c r="V20" s="14">
        <v>20.949317739000001</v>
      </c>
      <c r="W20" s="14">
        <v>20.5</v>
      </c>
      <c r="X20" s="14">
        <v>20</v>
      </c>
    </row>
    <row r="21" spans="1:24" x14ac:dyDescent="0.25">
      <c r="A21">
        <v>3.3126827489999999</v>
      </c>
      <c r="B21">
        <v>4.1262183239999999</v>
      </c>
      <c r="C21">
        <v>5.7707115010000001</v>
      </c>
      <c r="D21">
        <v>7.4476120899999998</v>
      </c>
      <c r="E21">
        <v>18.7</v>
      </c>
      <c r="F21">
        <v>29.665082846000001</v>
      </c>
      <c r="G21">
        <v>40.663255360999997</v>
      </c>
      <c r="H21">
        <v>40.702972709999997</v>
      </c>
      <c r="I21">
        <v>40.9</v>
      </c>
      <c r="J21">
        <v>41.6</v>
      </c>
      <c r="K21" s="11">
        <v>20</v>
      </c>
      <c r="L21" s="11">
        <v>20</v>
      </c>
      <c r="M21" s="11">
        <v>9</v>
      </c>
      <c r="N21" s="11">
        <v>26</v>
      </c>
      <c r="O21" s="14">
        <v>3.3126827489999999</v>
      </c>
      <c r="P21" s="14">
        <v>4.1262183239999999</v>
      </c>
      <c r="Q21" s="14">
        <v>5.7707115010000001</v>
      </c>
      <c r="R21" s="14">
        <v>7.4476120899999998</v>
      </c>
      <c r="S21" s="14">
        <v>18.7</v>
      </c>
      <c r="T21" s="14">
        <v>29.665082846000001</v>
      </c>
      <c r="U21" s="14">
        <v>40.663255360999997</v>
      </c>
      <c r="V21" s="14">
        <v>40.702972709999997</v>
      </c>
      <c r="W21" s="14">
        <v>40.9</v>
      </c>
      <c r="X21" s="14">
        <v>41.6</v>
      </c>
    </row>
    <row r="22" spans="1:24" x14ac:dyDescent="0.25">
      <c r="K22" s="11">
        <v>21</v>
      </c>
      <c r="L22" s="11">
        <v>21</v>
      </c>
      <c r="M22" s="11">
        <v>2</v>
      </c>
      <c r="N22" s="11">
        <v>5</v>
      </c>
      <c r="O22" s="14">
        <v>3.374269</v>
      </c>
      <c r="P22" s="14">
        <v>3.0323587000000001</v>
      </c>
      <c r="Q22" s="14">
        <v>3.6023391999999999</v>
      </c>
      <c r="R22" s="14">
        <v>4.8538009999999998</v>
      </c>
      <c r="S22" s="14">
        <v>5.3460039000000004</v>
      </c>
      <c r="T22" s="14">
        <v>5.4259259000000002</v>
      </c>
      <c r="U22" s="14">
        <v>6.46</v>
      </c>
      <c r="V22" s="14">
        <v>6.4655214425</v>
      </c>
      <c r="W22" s="14">
        <v>6.4663815790000001</v>
      </c>
      <c r="X22" s="14">
        <v>6.47</v>
      </c>
    </row>
    <row r="23" spans="1:24" x14ac:dyDescent="0.25">
      <c r="A23" t="s">
        <v>822</v>
      </c>
      <c r="B23">
        <v>10</v>
      </c>
      <c r="K23" s="11">
        <v>22</v>
      </c>
      <c r="L23" s="11">
        <v>22</v>
      </c>
      <c r="M23" s="11">
        <v>59</v>
      </c>
      <c r="N23" s="11">
        <v>176</v>
      </c>
      <c r="O23" s="14">
        <v>0.73001949300000002</v>
      </c>
      <c r="P23" s="14">
        <v>3.9027777779999999</v>
      </c>
      <c r="Q23" s="14">
        <v>5.8809697859999996</v>
      </c>
      <c r="R23" s="14">
        <v>8.4127680310000006</v>
      </c>
      <c r="S23" s="14">
        <v>12.319200779999999</v>
      </c>
      <c r="T23" s="14">
        <v>18.033869396</v>
      </c>
      <c r="U23" s="14">
        <v>21.9</v>
      </c>
      <c r="V23" s="14">
        <v>20.949317739000001</v>
      </c>
      <c r="W23" s="14">
        <v>20.5</v>
      </c>
      <c r="X23" s="14">
        <v>20</v>
      </c>
    </row>
    <row r="24" spans="1:24" x14ac:dyDescent="0.25">
      <c r="A24">
        <v>3.3126827489999999</v>
      </c>
      <c r="B24">
        <v>4.1262183239999999</v>
      </c>
      <c r="C24">
        <v>5.7707115010000001</v>
      </c>
      <c r="D24">
        <v>7.4476120899999998</v>
      </c>
      <c r="E24">
        <v>18.7</v>
      </c>
      <c r="F24">
        <v>29.665082846000001</v>
      </c>
      <c r="G24">
        <v>40.663255360999997</v>
      </c>
      <c r="H24">
        <v>40.702972709999997</v>
      </c>
      <c r="I24">
        <v>40.9</v>
      </c>
      <c r="J24">
        <v>41.6</v>
      </c>
      <c r="K24" s="11">
        <v>23</v>
      </c>
      <c r="L24" s="11">
        <v>23</v>
      </c>
      <c r="M24" s="11">
        <v>50</v>
      </c>
      <c r="N24" s="11">
        <v>149</v>
      </c>
      <c r="O24" s="14">
        <v>3</v>
      </c>
      <c r="P24" s="14">
        <v>9</v>
      </c>
      <c r="Q24" s="14">
        <v>10</v>
      </c>
      <c r="R24" s="14">
        <v>26</v>
      </c>
      <c r="S24" s="14">
        <v>40</v>
      </c>
      <c r="T24" s="14">
        <v>50</v>
      </c>
      <c r="U24" s="14">
        <v>50</v>
      </c>
      <c r="V24" s="14">
        <v>50</v>
      </c>
      <c r="W24" s="14">
        <v>150</v>
      </c>
      <c r="X24" s="14">
        <v>1500</v>
      </c>
    </row>
    <row r="25" spans="1:24" x14ac:dyDescent="0.25">
      <c r="K25" s="11">
        <v>24</v>
      </c>
      <c r="L25" s="11">
        <v>24</v>
      </c>
      <c r="M25" s="11">
        <v>1</v>
      </c>
      <c r="N25" s="11">
        <v>2</v>
      </c>
      <c r="O25" s="14">
        <v>0.68075048699999996</v>
      </c>
      <c r="P25" s="14">
        <v>0.68723196900000005</v>
      </c>
      <c r="Q25" s="14">
        <v>4.8226120999999997</v>
      </c>
      <c r="R25" s="14">
        <v>16.880116958999999</v>
      </c>
      <c r="S25" s="14">
        <v>18.323269980500001</v>
      </c>
      <c r="T25" s="14">
        <v>20.368201754400001</v>
      </c>
      <c r="U25" s="14">
        <v>20.382651070000001</v>
      </c>
      <c r="V25" s="14">
        <v>20.39</v>
      </c>
      <c r="W25" s="14">
        <v>20.398235867</v>
      </c>
      <c r="X25" s="14">
        <v>20.3994</v>
      </c>
    </row>
    <row r="26" spans="1:24" x14ac:dyDescent="0.25">
      <c r="A26" t="s">
        <v>823</v>
      </c>
      <c r="B26">
        <v>10</v>
      </c>
      <c r="K26" s="11">
        <v>25</v>
      </c>
      <c r="L26" s="11">
        <v>25</v>
      </c>
      <c r="M26" s="11">
        <v>21</v>
      </c>
      <c r="N26" s="11">
        <v>62</v>
      </c>
      <c r="O26" s="14">
        <v>6.0309941519999999</v>
      </c>
      <c r="P26" s="14">
        <v>9.3099415200000006</v>
      </c>
      <c r="Q26" s="14">
        <v>9.5116959059999999</v>
      </c>
      <c r="R26" s="14">
        <v>9.3000000000000007</v>
      </c>
      <c r="S26" s="14">
        <v>9.289717349</v>
      </c>
      <c r="T26" s="14">
        <v>9.3155458089999996</v>
      </c>
      <c r="U26" s="14">
        <v>9.3155458089999996</v>
      </c>
      <c r="V26" s="14">
        <v>9.5</v>
      </c>
      <c r="W26" s="14">
        <v>9.5218323589999994</v>
      </c>
      <c r="X26" s="14">
        <v>9.59</v>
      </c>
    </row>
    <row r="27" spans="1:24" x14ac:dyDescent="0.25">
      <c r="A27">
        <v>3.3126827489999999</v>
      </c>
      <c r="B27">
        <v>4.1262183239999999</v>
      </c>
      <c r="C27">
        <v>5.7707115010000001</v>
      </c>
      <c r="D27">
        <v>7.4476120899999998</v>
      </c>
      <c r="E27">
        <v>18.7</v>
      </c>
      <c r="F27">
        <v>29.665082846000001</v>
      </c>
      <c r="G27">
        <v>40.663255360999997</v>
      </c>
      <c r="H27">
        <v>40.702972709999997</v>
      </c>
      <c r="I27">
        <v>40.9</v>
      </c>
      <c r="J27">
        <v>41.6</v>
      </c>
      <c r="K27" s="11">
        <v>26</v>
      </c>
      <c r="L27" s="11">
        <v>26</v>
      </c>
      <c r="M27" s="11">
        <v>16</v>
      </c>
      <c r="N27" s="11">
        <v>47</v>
      </c>
      <c r="O27" s="14">
        <v>3.0732942999999999E-2</v>
      </c>
      <c r="P27" s="14">
        <v>1.732943E-2</v>
      </c>
      <c r="Q27" s="14">
        <v>4.8732899999999997E-3</v>
      </c>
      <c r="R27" s="14">
        <v>4.8732899999999997E-3</v>
      </c>
      <c r="S27" s="14">
        <v>4.8732899999999997E-3</v>
      </c>
      <c r="T27" s="14">
        <v>4.8732899999999997E-3</v>
      </c>
      <c r="U27" s="14">
        <v>4.8732899999999997E-3</v>
      </c>
      <c r="V27" s="14">
        <v>4.8732899999999997E-3</v>
      </c>
      <c r="W27" s="14">
        <v>4.8732899999999997E-3</v>
      </c>
      <c r="X27" s="14">
        <v>4.8732899999999997E-3</v>
      </c>
    </row>
    <row r="28" spans="1:24" x14ac:dyDescent="0.25">
      <c r="K28" s="11">
        <v>27</v>
      </c>
      <c r="L28" s="11">
        <v>27</v>
      </c>
      <c r="M28" s="11">
        <v>25</v>
      </c>
      <c r="N28" s="11">
        <v>74</v>
      </c>
      <c r="O28" s="14">
        <v>0.73001949300000002</v>
      </c>
      <c r="P28" s="14">
        <v>3.9027777779999999</v>
      </c>
      <c r="Q28" s="14">
        <v>5.8809697859999996</v>
      </c>
      <c r="R28" s="14">
        <v>8.4127680310000006</v>
      </c>
      <c r="S28" s="14">
        <v>12.319200779999999</v>
      </c>
      <c r="T28" s="14">
        <v>18.033869396</v>
      </c>
      <c r="U28" s="14">
        <v>21.9</v>
      </c>
      <c r="V28" s="14">
        <v>20.949317739000001</v>
      </c>
      <c r="W28" s="14">
        <v>20.5</v>
      </c>
      <c r="X28" s="14">
        <v>20</v>
      </c>
    </row>
    <row r="29" spans="1:24" x14ac:dyDescent="0.25">
      <c r="A29" t="s">
        <v>824</v>
      </c>
      <c r="B29">
        <v>10</v>
      </c>
      <c r="K29" s="11">
        <v>28</v>
      </c>
      <c r="L29" s="11">
        <v>28</v>
      </c>
      <c r="M29" s="11">
        <v>32</v>
      </c>
      <c r="N29" s="11">
        <v>95</v>
      </c>
      <c r="O29" s="14">
        <v>0.73001949300000002</v>
      </c>
      <c r="P29" s="14">
        <v>3.9027777779999999</v>
      </c>
      <c r="Q29" s="14">
        <v>5.8809697859999996</v>
      </c>
      <c r="R29" s="14">
        <v>8.4127680310000006</v>
      </c>
      <c r="S29" s="14">
        <v>12.319200779999999</v>
      </c>
      <c r="T29" s="14">
        <v>18.033869396</v>
      </c>
      <c r="U29" s="14">
        <v>21.9</v>
      </c>
      <c r="V29" s="14">
        <v>20.949317739000001</v>
      </c>
      <c r="W29" s="14">
        <v>20.5</v>
      </c>
      <c r="X29" s="14">
        <v>20</v>
      </c>
    </row>
    <row r="30" spans="1:24" x14ac:dyDescent="0.25">
      <c r="A30">
        <v>3.3126827489999999</v>
      </c>
      <c r="B30">
        <v>4.1262183239999999</v>
      </c>
      <c r="C30">
        <v>5.7707115010000001</v>
      </c>
      <c r="D30">
        <v>7.4476120899999998</v>
      </c>
      <c r="E30">
        <v>18.7</v>
      </c>
      <c r="F30">
        <v>29.665082846000001</v>
      </c>
      <c r="G30">
        <v>40.663255360999997</v>
      </c>
      <c r="H30">
        <v>40.702972709999997</v>
      </c>
      <c r="I30">
        <v>40.9</v>
      </c>
      <c r="J30">
        <v>41.6</v>
      </c>
      <c r="K30" s="11">
        <v>29</v>
      </c>
      <c r="L30" s="11">
        <v>29</v>
      </c>
      <c r="M30" s="11">
        <v>53</v>
      </c>
      <c r="N30" s="11">
        <v>158</v>
      </c>
      <c r="O30" s="14">
        <v>100</v>
      </c>
      <c r="P30" s="14">
        <v>500</v>
      </c>
      <c r="Q30" s="14">
        <v>500</v>
      </c>
      <c r="R30" s="14">
        <v>500</v>
      </c>
      <c r="S30" s="14">
        <v>500</v>
      </c>
      <c r="T30" s="14">
        <v>500</v>
      </c>
      <c r="U30" s="14">
        <v>500</v>
      </c>
      <c r="V30" s="14">
        <v>500</v>
      </c>
      <c r="W30" s="14">
        <v>500</v>
      </c>
      <c r="X30" s="14">
        <v>500</v>
      </c>
    </row>
    <row r="31" spans="1:24" x14ac:dyDescent="0.25">
      <c r="K31" s="11">
        <v>30</v>
      </c>
      <c r="L31" s="11">
        <v>30</v>
      </c>
      <c r="M31" s="11">
        <v>10</v>
      </c>
      <c r="N31" s="11">
        <v>29</v>
      </c>
      <c r="O31" s="14">
        <v>3.3126827489999999</v>
      </c>
      <c r="P31" s="14">
        <v>4.1262183239999999</v>
      </c>
      <c r="Q31" s="14">
        <v>5.7707115010000001</v>
      </c>
      <c r="R31" s="14">
        <v>7.4476120899999998</v>
      </c>
      <c r="S31" s="14">
        <v>18.7</v>
      </c>
      <c r="T31" s="14">
        <v>29.665082846000001</v>
      </c>
      <c r="U31" s="14">
        <v>40.663255360999997</v>
      </c>
      <c r="V31" s="14">
        <v>40.702972709999997</v>
      </c>
      <c r="W31" s="14">
        <v>40.9</v>
      </c>
      <c r="X31" s="14">
        <v>41.6</v>
      </c>
    </row>
    <row r="32" spans="1:24" x14ac:dyDescent="0.25">
      <c r="A32" t="s">
        <v>825</v>
      </c>
      <c r="B32">
        <v>10</v>
      </c>
      <c r="K32" s="11">
        <v>31</v>
      </c>
      <c r="L32" s="11">
        <v>31</v>
      </c>
      <c r="M32" s="11">
        <v>26</v>
      </c>
      <c r="N32" s="11">
        <v>77</v>
      </c>
      <c r="O32" s="14">
        <v>0.73001949300000002</v>
      </c>
      <c r="P32" s="14">
        <v>3.9027777779999999</v>
      </c>
      <c r="Q32" s="14">
        <v>5.8809697859999996</v>
      </c>
      <c r="R32" s="14">
        <v>8.4127680310000006</v>
      </c>
      <c r="S32" s="14">
        <v>12.319200779999999</v>
      </c>
      <c r="T32" s="14">
        <v>18.033869396</v>
      </c>
      <c r="U32" s="14">
        <v>21.9</v>
      </c>
      <c r="V32" s="14">
        <v>20.949317739000001</v>
      </c>
      <c r="W32" s="14">
        <v>20.5</v>
      </c>
      <c r="X32" s="14">
        <v>20</v>
      </c>
    </row>
    <row r="33" spans="1:24" x14ac:dyDescent="0.25">
      <c r="A33">
        <v>3.3126827489999999</v>
      </c>
      <c r="B33">
        <v>4.1262183239999999</v>
      </c>
      <c r="C33">
        <v>5.7707115010000001</v>
      </c>
      <c r="D33">
        <v>7.4476120899999998</v>
      </c>
      <c r="E33">
        <v>18.7</v>
      </c>
      <c r="F33">
        <v>29.665082846000001</v>
      </c>
      <c r="G33">
        <v>40.663255360999997</v>
      </c>
      <c r="H33">
        <v>40.702972709999997</v>
      </c>
      <c r="I33">
        <v>40.9</v>
      </c>
      <c r="J33">
        <v>41.6</v>
      </c>
      <c r="K33" s="11">
        <v>32</v>
      </c>
      <c r="L33" s="11">
        <v>32</v>
      </c>
      <c r="M33" s="11">
        <v>47</v>
      </c>
      <c r="N33" s="11">
        <v>140</v>
      </c>
      <c r="O33" s="14">
        <v>3</v>
      </c>
      <c r="P33" s="14">
        <v>52</v>
      </c>
      <c r="Q33" s="14">
        <v>300</v>
      </c>
      <c r="R33" s="14">
        <v>1230.5</v>
      </c>
      <c r="S33" s="14">
        <v>1550.5</v>
      </c>
      <c r="T33" s="14">
        <v>1850.5</v>
      </c>
      <c r="U33" s="14">
        <v>1850.5</v>
      </c>
      <c r="V33" s="14">
        <v>1850.5</v>
      </c>
      <c r="W33" s="14">
        <v>2550.5</v>
      </c>
      <c r="X33" s="14">
        <v>2550.5</v>
      </c>
    </row>
    <row r="34" spans="1:24" x14ac:dyDescent="0.25">
      <c r="K34" s="11">
        <v>33</v>
      </c>
      <c r="L34" s="11">
        <v>33</v>
      </c>
      <c r="M34" s="11">
        <v>48</v>
      </c>
      <c r="N34" s="11">
        <v>143</v>
      </c>
      <c r="O34" s="14">
        <v>3</v>
      </c>
      <c r="P34" s="14">
        <v>52</v>
      </c>
      <c r="Q34" s="14">
        <v>300</v>
      </c>
      <c r="R34" s="14">
        <v>1230.5</v>
      </c>
      <c r="S34" s="14">
        <v>1550.5</v>
      </c>
      <c r="T34" s="14">
        <v>1850.5</v>
      </c>
      <c r="U34" s="14">
        <v>1850.5</v>
      </c>
      <c r="V34" s="14">
        <v>1850.5</v>
      </c>
      <c r="W34" s="14">
        <v>2550.5</v>
      </c>
      <c r="X34" s="14">
        <v>2550.5</v>
      </c>
    </row>
    <row r="35" spans="1:24" x14ac:dyDescent="0.25">
      <c r="A35" t="s">
        <v>826</v>
      </c>
      <c r="B35">
        <v>10</v>
      </c>
      <c r="K35" s="11">
        <v>34</v>
      </c>
      <c r="L35" s="11">
        <v>34</v>
      </c>
      <c r="M35" s="11">
        <v>31</v>
      </c>
      <c r="N35" s="11">
        <v>92</v>
      </c>
      <c r="O35" s="14">
        <v>0.73001949300000002</v>
      </c>
      <c r="P35" s="14">
        <v>3.9027777779999999</v>
      </c>
      <c r="Q35" s="14">
        <v>5.8809697859999996</v>
      </c>
      <c r="R35" s="14">
        <v>8.4127680310000006</v>
      </c>
      <c r="S35" s="14">
        <v>12.319200779999999</v>
      </c>
      <c r="T35" s="14">
        <v>18.033869396</v>
      </c>
      <c r="U35" s="14">
        <v>21.9</v>
      </c>
      <c r="V35" s="14">
        <v>20.949317739000001</v>
      </c>
      <c r="W35" s="14">
        <v>20.5</v>
      </c>
      <c r="X35" s="14">
        <v>20</v>
      </c>
    </row>
    <row r="36" spans="1:24" x14ac:dyDescent="0.25">
      <c r="A36">
        <v>3.3126827489999999</v>
      </c>
      <c r="B36">
        <v>4.1262183239999999</v>
      </c>
      <c r="C36">
        <v>5.7707115010000001</v>
      </c>
      <c r="D36">
        <v>7.4476120899999998</v>
      </c>
      <c r="E36">
        <v>18.7</v>
      </c>
      <c r="F36">
        <v>29.665082846000001</v>
      </c>
      <c r="G36">
        <v>40.663255360999997</v>
      </c>
      <c r="H36">
        <v>40.702972709999997</v>
      </c>
      <c r="I36">
        <v>40.9</v>
      </c>
      <c r="J36">
        <v>41.6</v>
      </c>
      <c r="K36" s="11">
        <v>35</v>
      </c>
      <c r="L36" s="11">
        <v>35</v>
      </c>
      <c r="M36" s="11">
        <v>54</v>
      </c>
      <c r="N36" s="11">
        <v>161</v>
      </c>
      <c r="O36" s="14">
        <v>10</v>
      </c>
      <c r="P36" s="14">
        <v>150</v>
      </c>
      <c r="Q36" s="14">
        <v>100</v>
      </c>
      <c r="R36" s="14">
        <v>100</v>
      </c>
      <c r="S36" s="14">
        <v>100</v>
      </c>
      <c r="T36" s="14">
        <v>150</v>
      </c>
      <c r="U36" s="14">
        <v>205</v>
      </c>
      <c r="V36" s="14">
        <v>205</v>
      </c>
      <c r="W36" s="14">
        <v>205</v>
      </c>
      <c r="X36" s="14">
        <v>205</v>
      </c>
    </row>
    <row r="37" spans="1:24" x14ac:dyDescent="0.25">
      <c r="K37" s="11">
        <v>36</v>
      </c>
      <c r="L37" s="11">
        <v>36</v>
      </c>
      <c r="M37" s="11">
        <v>27</v>
      </c>
      <c r="N37" s="11">
        <v>80</v>
      </c>
      <c r="O37" s="14">
        <v>0.73001949300000002</v>
      </c>
      <c r="P37" s="14">
        <v>3.9027777779999999</v>
      </c>
      <c r="Q37" s="14">
        <v>5.8809697859999996</v>
      </c>
      <c r="R37" s="14">
        <v>8.4127680310000006</v>
      </c>
      <c r="S37" s="14">
        <v>12.319200779999999</v>
      </c>
      <c r="T37" s="14">
        <v>18.033869396</v>
      </c>
      <c r="U37" s="14">
        <v>21.9</v>
      </c>
      <c r="V37" s="14">
        <v>20.949317739000001</v>
      </c>
      <c r="W37" s="14">
        <v>20.5</v>
      </c>
      <c r="X37" s="14">
        <v>20</v>
      </c>
    </row>
    <row r="38" spans="1:24" x14ac:dyDescent="0.25">
      <c r="A38" t="s">
        <v>827</v>
      </c>
      <c r="B38">
        <v>10</v>
      </c>
      <c r="K38" s="11">
        <v>37</v>
      </c>
      <c r="L38" s="11">
        <v>37</v>
      </c>
      <c r="M38" s="11">
        <v>55</v>
      </c>
      <c r="N38" s="11">
        <v>164</v>
      </c>
      <c r="O38" s="14">
        <v>2000000</v>
      </c>
      <c r="P38" s="14">
        <v>3500000</v>
      </c>
      <c r="Q38" s="14">
        <v>3500000</v>
      </c>
      <c r="R38" s="14">
        <v>3500000</v>
      </c>
      <c r="S38" s="14">
        <v>3500000</v>
      </c>
      <c r="T38" s="14">
        <v>3500000</v>
      </c>
      <c r="U38" s="14">
        <v>3500000</v>
      </c>
      <c r="V38" s="14">
        <v>3500000</v>
      </c>
      <c r="W38" s="14">
        <v>3500000</v>
      </c>
      <c r="X38" s="14">
        <v>3500000</v>
      </c>
    </row>
    <row r="39" spans="1:24" x14ac:dyDescent="0.25">
      <c r="A39">
        <v>2.6666666999999999</v>
      </c>
      <c r="B39">
        <v>666.66666667000004</v>
      </c>
      <c r="C39">
        <v>1266.66666667</v>
      </c>
      <c r="D39">
        <v>3760.6666666699998</v>
      </c>
      <c r="E39">
        <v>5796.6666666700003</v>
      </c>
      <c r="F39">
        <v>8806.6666666700003</v>
      </c>
      <c r="G39">
        <v>8836.6666666700003</v>
      </c>
      <c r="H39">
        <v>8806.6666666700003</v>
      </c>
      <c r="I39">
        <v>8816.6666666700003</v>
      </c>
      <c r="J39">
        <v>8826.6666666700003</v>
      </c>
      <c r="K39" s="11">
        <v>38</v>
      </c>
      <c r="L39" s="11">
        <v>38</v>
      </c>
      <c r="M39" s="11">
        <v>33</v>
      </c>
      <c r="N39" s="11">
        <v>98</v>
      </c>
      <c r="O39" s="14">
        <v>0.73001949300000002</v>
      </c>
      <c r="P39" s="14">
        <v>3.9027777779999999</v>
      </c>
      <c r="Q39" s="14">
        <v>5.8809697859999996</v>
      </c>
      <c r="R39" s="14">
        <v>8.4127680310000006</v>
      </c>
      <c r="S39" s="14">
        <v>12.319200779999999</v>
      </c>
      <c r="T39" s="14">
        <v>18.033869396</v>
      </c>
      <c r="U39" s="14">
        <v>21.9</v>
      </c>
      <c r="V39" s="14">
        <v>20.949317739000001</v>
      </c>
      <c r="W39" s="14">
        <v>20.5</v>
      </c>
      <c r="X39" s="14">
        <v>20</v>
      </c>
    </row>
    <row r="40" spans="1:24" x14ac:dyDescent="0.25">
      <c r="K40" s="11">
        <v>39</v>
      </c>
      <c r="L40" s="11">
        <v>39</v>
      </c>
      <c r="M40" s="11">
        <v>52</v>
      </c>
      <c r="N40" s="11">
        <v>155</v>
      </c>
      <c r="O40" s="14">
        <v>200</v>
      </c>
      <c r="P40" s="14">
        <v>400</v>
      </c>
      <c r="Q40" s="14">
        <v>500</v>
      </c>
      <c r="R40" s="14">
        <v>500</v>
      </c>
      <c r="S40" s="14">
        <v>500</v>
      </c>
      <c r="T40" s="14">
        <v>800</v>
      </c>
      <c r="U40" s="14">
        <v>800</v>
      </c>
      <c r="V40" s="14">
        <v>800</v>
      </c>
      <c r="W40" s="14">
        <v>800</v>
      </c>
      <c r="X40" s="14">
        <v>800</v>
      </c>
    </row>
    <row r="41" spans="1:24" x14ac:dyDescent="0.25">
      <c r="A41" t="s">
        <v>828</v>
      </c>
      <c r="B41">
        <v>10</v>
      </c>
      <c r="K41" s="11">
        <v>40</v>
      </c>
      <c r="L41" s="11">
        <v>40</v>
      </c>
      <c r="M41" s="11">
        <v>29</v>
      </c>
      <c r="N41" s="11">
        <v>86</v>
      </c>
      <c r="O41" s="14">
        <v>0.73001949300000002</v>
      </c>
      <c r="P41" s="14">
        <v>3.9027777779999999</v>
      </c>
      <c r="Q41" s="14">
        <v>5.8809697859999996</v>
      </c>
      <c r="R41" s="14">
        <v>8.4127680310000006</v>
      </c>
      <c r="S41" s="14">
        <v>12.319200779999999</v>
      </c>
      <c r="T41" s="14">
        <v>18.033869396</v>
      </c>
      <c r="U41" s="14">
        <v>21.9</v>
      </c>
      <c r="V41" s="14">
        <v>20.949317739000001</v>
      </c>
      <c r="W41" s="14">
        <v>20.5</v>
      </c>
      <c r="X41" s="14">
        <v>20</v>
      </c>
    </row>
    <row r="42" spans="1:24" x14ac:dyDescent="0.25">
      <c r="A42">
        <v>2.6666666999999999</v>
      </c>
      <c r="B42">
        <v>666.66666667000004</v>
      </c>
      <c r="C42">
        <v>1266.66666667</v>
      </c>
      <c r="D42">
        <v>3760.6666666699998</v>
      </c>
      <c r="E42">
        <v>5796.6666666700003</v>
      </c>
      <c r="F42">
        <v>8806.6666666700003</v>
      </c>
      <c r="G42">
        <v>8836.6666666700003</v>
      </c>
      <c r="H42">
        <v>8806.6666666700003</v>
      </c>
      <c r="I42">
        <v>8816.6666666700003</v>
      </c>
      <c r="J42">
        <v>8826.6666666700003</v>
      </c>
      <c r="K42" s="11">
        <v>41</v>
      </c>
      <c r="L42" s="11">
        <v>41</v>
      </c>
      <c r="M42" s="11">
        <v>38</v>
      </c>
      <c r="N42" s="11">
        <v>113</v>
      </c>
      <c r="O42" s="14">
        <v>0.73001949300000002</v>
      </c>
      <c r="P42" s="14">
        <v>3.9027777779999999</v>
      </c>
      <c r="Q42" s="14">
        <v>5.8809697859999996</v>
      </c>
      <c r="R42" s="14">
        <v>8.4127680310000006</v>
      </c>
      <c r="S42" s="14">
        <v>12.319200779999999</v>
      </c>
      <c r="T42" s="14">
        <v>18.033869396</v>
      </c>
      <c r="U42" s="14">
        <v>21.9</v>
      </c>
      <c r="V42" s="14">
        <v>20.949317739000001</v>
      </c>
      <c r="W42" s="14">
        <v>20.5</v>
      </c>
      <c r="X42" s="14">
        <v>20</v>
      </c>
    </row>
    <row r="43" spans="1:24" x14ac:dyDescent="0.25">
      <c r="K43" s="11">
        <v>42</v>
      </c>
      <c r="L43" s="11">
        <v>42</v>
      </c>
      <c r="M43" s="11">
        <v>24</v>
      </c>
      <c r="N43" s="11">
        <v>71</v>
      </c>
      <c r="O43" s="14">
        <v>0.12551788498999999</v>
      </c>
      <c r="P43" s="14">
        <v>2.3450292400000001</v>
      </c>
      <c r="Q43" s="14">
        <v>3.130116959</v>
      </c>
      <c r="R43" s="14">
        <v>6.8788986349999997</v>
      </c>
      <c r="S43" s="14">
        <v>15.069200779999999</v>
      </c>
      <c r="T43" s="14">
        <v>28.33406433</v>
      </c>
      <c r="U43" s="14">
        <v>44.060185185000002</v>
      </c>
      <c r="V43" s="14">
        <v>45</v>
      </c>
      <c r="W43" s="14">
        <v>46.873294346999998</v>
      </c>
      <c r="X43" s="14">
        <v>47</v>
      </c>
    </row>
    <row r="44" spans="1:24" x14ac:dyDescent="0.25">
      <c r="A44" t="s">
        <v>829</v>
      </c>
      <c r="B44">
        <v>10</v>
      </c>
      <c r="K44" s="11">
        <v>43</v>
      </c>
      <c r="L44" s="11">
        <v>43</v>
      </c>
      <c r="M44" s="11">
        <v>51</v>
      </c>
      <c r="N44" s="11">
        <v>152</v>
      </c>
      <c r="O44" s="14">
        <v>3</v>
      </c>
      <c r="P44" s="14">
        <v>9</v>
      </c>
      <c r="Q44" s="14">
        <v>10</v>
      </c>
      <c r="R44" s="14">
        <v>26</v>
      </c>
      <c r="S44" s="14">
        <v>40</v>
      </c>
      <c r="T44" s="14">
        <v>50</v>
      </c>
      <c r="U44" s="14">
        <v>50</v>
      </c>
      <c r="V44" s="14">
        <v>50</v>
      </c>
      <c r="W44" s="14">
        <v>150</v>
      </c>
      <c r="X44" s="14">
        <v>1500</v>
      </c>
    </row>
    <row r="45" spans="1:24" x14ac:dyDescent="0.25">
      <c r="A45">
        <v>2.6666666999999999</v>
      </c>
      <c r="B45">
        <v>666.66666667000004</v>
      </c>
      <c r="C45">
        <v>1266.66666667</v>
      </c>
      <c r="D45">
        <v>3760.6666666699998</v>
      </c>
      <c r="E45">
        <v>5796.6666666700003</v>
      </c>
      <c r="F45">
        <v>8806.6666666700003</v>
      </c>
      <c r="G45">
        <v>8836.6666666700003</v>
      </c>
      <c r="H45">
        <v>8806.6666666700003</v>
      </c>
      <c r="I45">
        <v>8816.6666666700003</v>
      </c>
      <c r="J45">
        <v>8826.6666666700003</v>
      </c>
      <c r="K45" s="11">
        <v>44</v>
      </c>
      <c r="L45" s="11">
        <v>44</v>
      </c>
      <c r="M45" s="11">
        <v>43</v>
      </c>
      <c r="N45" s="11">
        <v>128</v>
      </c>
      <c r="O45" s="14">
        <v>0.5</v>
      </c>
      <c r="P45" s="14">
        <v>10.5</v>
      </c>
      <c r="Q45" s="14">
        <v>25.5</v>
      </c>
      <c r="R45" s="14">
        <v>80.5</v>
      </c>
      <c r="S45" s="14">
        <v>270.5</v>
      </c>
      <c r="T45" s="14">
        <v>320.5</v>
      </c>
      <c r="U45" s="14">
        <v>460.5</v>
      </c>
      <c r="V45" s="14">
        <v>520.5</v>
      </c>
      <c r="W45" s="14">
        <v>520.5</v>
      </c>
      <c r="X45" s="14">
        <v>520.5</v>
      </c>
    </row>
    <row r="46" spans="1:24" x14ac:dyDescent="0.25">
      <c r="K46" s="11">
        <v>45</v>
      </c>
      <c r="L46" s="11">
        <v>45</v>
      </c>
      <c r="M46" s="11">
        <v>44</v>
      </c>
      <c r="N46" s="11">
        <v>131</v>
      </c>
      <c r="O46" s="14">
        <v>1</v>
      </c>
      <c r="P46" s="14">
        <v>9</v>
      </c>
      <c r="Q46" s="14">
        <v>10</v>
      </c>
      <c r="R46" s="14">
        <v>15</v>
      </c>
      <c r="S46" s="14">
        <v>15</v>
      </c>
      <c r="T46" s="14">
        <v>20</v>
      </c>
      <c r="U46" s="14">
        <v>20</v>
      </c>
      <c r="V46" s="14">
        <v>20</v>
      </c>
      <c r="W46" s="14">
        <v>20</v>
      </c>
      <c r="X46" s="14">
        <v>20</v>
      </c>
    </row>
    <row r="47" spans="1:24" x14ac:dyDescent="0.25">
      <c r="A47" t="s">
        <v>830</v>
      </c>
      <c r="B47">
        <v>10</v>
      </c>
      <c r="K47" s="11">
        <v>46</v>
      </c>
      <c r="L47" s="11">
        <v>46</v>
      </c>
      <c r="M47" s="11">
        <v>35</v>
      </c>
      <c r="N47" s="11">
        <v>104</v>
      </c>
      <c r="O47" s="14">
        <v>0.73001949300000002</v>
      </c>
      <c r="P47" s="14">
        <v>3.9027777779999999</v>
      </c>
      <c r="Q47" s="14">
        <v>5.8809697859999996</v>
      </c>
      <c r="R47" s="14">
        <v>8.4127680310000006</v>
      </c>
      <c r="S47" s="14">
        <v>12.319200779999999</v>
      </c>
      <c r="T47" s="14">
        <v>18.033869396</v>
      </c>
      <c r="U47" s="14">
        <v>21.9</v>
      </c>
      <c r="V47" s="14">
        <v>20.949317739000001</v>
      </c>
      <c r="W47" s="14">
        <v>20.5</v>
      </c>
      <c r="X47" s="14">
        <v>20</v>
      </c>
    </row>
    <row r="48" spans="1:24" x14ac:dyDescent="0.25">
      <c r="A48">
        <v>3.0732942999999999E-2</v>
      </c>
      <c r="B48">
        <v>1.732943E-2</v>
      </c>
      <c r="C48">
        <v>4.8732899999999997E-3</v>
      </c>
      <c r="D48">
        <v>4.8732899999999997E-3</v>
      </c>
      <c r="E48">
        <v>4.8732899999999997E-3</v>
      </c>
      <c r="F48">
        <v>4.8732899999999997E-3</v>
      </c>
      <c r="G48">
        <v>4.8732899999999997E-3</v>
      </c>
      <c r="H48">
        <v>4.8732899999999997E-3</v>
      </c>
      <c r="I48">
        <v>4.8732899999999997E-3</v>
      </c>
      <c r="J48">
        <v>4.8732899999999997E-3</v>
      </c>
      <c r="K48" s="11">
        <v>47</v>
      </c>
      <c r="L48" s="11">
        <v>47</v>
      </c>
      <c r="M48" s="11">
        <v>6</v>
      </c>
      <c r="N48" s="11">
        <v>17</v>
      </c>
      <c r="O48" s="14">
        <v>3.3126827489999999</v>
      </c>
      <c r="P48" s="14">
        <v>4.1262183239999999</v>
      </c>
      <c r="Q48" s="14">
        <v>5.7707115010000001</v>
      </c>
      <c r="R48" s="14">
        <v>7.4476120899999998</v>
      </c>
      <c r="S48" s="14">
        <v>18.7</v>
      </c>
      <c r="T48" s="14">
        <v>29.665082846000001</v>
      </c>
      <c r="U48" s="14">
        <v>40.663255360999997</v>
      </c>
      <c r="V48" s="14">
        <v>40.702972709999997</v>
      </c>
      <c r="W48" s="14">
        <v>40.9</v>
      </c>
      <c r="X48" s="14">
        <v>41.6</v>
      </c>
    </row>
    <row r="49" spans="1:24" x14ac:dyDescent="0.25">
      <c r="K49" s="11">
        <v>48</v>
      </c>
      <c r="L49" s="11">
        <v>48</v>
      </c>
      <c r="M49" s="11">
        <v>57</v>
      </c>
      <c r="N49" s="11">
        <v>170</v>
      </c>
      <c r="O49" s="14">
        <v>52000</v>
      </c>
      <c r="P49" s="14">
        <v>18000</v>
      </c>
      <c r="Q49" s="14">
        <v>18000</v>
      </c>
      <c r="R49" s="14">
        <v>18000</v>
      </c>
      <c r="S49" s="14">
        <v>18000</v>
      </c>
      <c r="T49" s="14">
        <v>18000</v>
      </c>
      <c r="U49" s="14">
        <v>18000</v>
      </c>
      <c r="V49" s="14">
        <v>18000</v>
      </c>
      <c r="W49" s="14">
        <v>18000</v>
      </c>
      <c r="X49" s="14">
        <v>18000</v>
      </c>
    </row>
    <row r="50" spans="1:24" x14ac:dyDescent="0.25">
      <c r="A50" t="s">
        <v>831</v>
      </c>
      <c r="B50">
        <v>10</v>
      </c>
      <c r="K50" s="11">
        <v>49</v>
      </c>
      <c r="L50" s="11">
        <v>49</v>
      </c>
      <c r="M50" s="11">
        <v>36</v>
      </c>
      <c r="N50" s="11">
        <v>107</v>
      </c>
      <c r="O50" s="14">
        <v>0.73001949300000002</v>
      </c>
      <c r="P50" s="14">
        <v>3.9027777779999999</v>
      </c>
      <c r="Q50" s="14">
        <v>5.8809697859999996</v>
      </c>
      <c r="R50" s="14">
        <v>8.4127680310000006</v>
      </c>
      <c r="S50" s="14">
        <v>12.319200779999999</v>
      </c>
      <c r="T50" s="14">
        <v>18.033869396</v>
      </c>
      <c r="U50" s="14">
        <v>21.9</v>
      </c>
      <c r="V50" s="14">
        <v>20.949317739000001</v>
      </c>
      <c r="W50" s="14">
        <v>20.5</v>
      </c>
      <c r="X50" s="14">
        <v>20</v>
      </c>
    </row>
    <row r="51" spans="1:24" x14ac:dyDescent="0.25">
      <c r="A51">
        <v>0.8</v>
      </c>
      <c r="B51">
        <v>1</v>
      </c>
      <c r="C51">
        <v>1.2</v>
      </c>
      <c r="D51">
        <v>1.7</v>
      </c>
      <c r="E51">
        <v>1.9</v>
      </c>
      <c r="F51">
        <v>2.1</v>
      </c>
      <c r="G51">
        <v>2.2000000000000002</v>
      </c>
      <c r="H51">
        <v>2.9</v>
      </c>
      <c r="I51">
        <v>2.9</v>
      </c>
      <c r="J51">
        <v>2.9</v>
      </c>
      <c r="K51" s="11">
        <v>50</v>
      </c>
      <c r="L51" s="11">
        <v>50</v>
      </c>
      <c r="M51" s="11">
        <v>14</v>
      </c>
      <c r="N51" s="11">
        <v>41</v>
      </c>
      <c r="O51" s="14">
        <v>2.6666666999999999</v>
      </c>
      <c r="P51" s="14">
        <v>666.66666667000004</v>
      </c>
      <c r="Q51" s="14">
        <v>1266.66666667</v>
      </c>
      <c r="R51" s="14">
        <v>3760.6666666699998</v>
      </c>
      <c r="S51" s="14">
        <v>5796.6666666700003</v>
      </c>
      <c r="T51" s="14">
        <v>8806.6666666700003</v>
      </c>
      <c r="U51" s="14">
        <v>8836.6666666700003</v>
      </c>
      <c r="V51" s="14">
        <v>8806.6666666700003</v>
      </c>
      <c r="W51" s="14">
        <v>8816.6666666700003</v>
      </c>
      <c r="X51" s="14">
        <v>8826.6666666700003</v>
      </c>
    </row>
    <row r="52" spans="1:24" x14ac:dyDescent="0.25">
      <c r="K52" s="11">
        <v>51</v>
      </c>
      <c r="L52" s="11">
        <v>51</v>
      </c>
      <c r="M52" s="11">
        <v>58</v>
      </c>
      <c r="N52" s="11">
        <v>173</v>
      </c>
      <c r="O52" s="14">
        <v>52000</v>
      </c>
      <c r="P52" s="14">
        <v>18000</v>
      </c>
      <c r="Q52" s="14">
        <v>18000</v>
      </c>
      <c r="R52" s="14">
        <v>18000</v>
      </c>
      <c r="S52" s="14">
        <v>18000</v>
      </c>
      <c r="T52" s="14">
        <v>18000</v>
      </c>
      <c r="U52" s="14">
        <v>18000</v>
      </c>
      <c r="V52" s="14">
        <v>18000</v>
      </c>
      <c r="W52" s="14">
        <v>18000</v>
      </c>
      <c r="X52" s="14">
        <v>18000</v>
      </c>
    </row>
    <row r="53" spans="1:24" x14ac:dyDescent="0.25">
      <c r="A53" t="s">
        <v>832</v>
      </c>
      <c r="B53">
        <v>10</v>
      </c>
      <c r="K53" s="11">
        <v>52</v>
      </c>
      <c r="L53" s="11">
        <v>52</v>
      </c>
      <c r="M53" s="11">
        <v>30</v>
      </c>
      <c r="N53" s="11">
        <v>89</v>
      </c>
      <c r="O53" s="14">
        <v>0.73001949300000002</v>
      </c>
      <c r="P53" s="14">
        <v>3.9027777779999999</v>
      </c>
      <c r="Q53" s="14">
        <v>5.8809697859999996</v>
      </c>
      <c r="R53" s="14">
        <v>8.4127680310000006</v>
      </c>
      <c r="S53" s="14">
        <v>12.319200779999999</v>
      </c>
      <c r="T53" s="14">
        <v>18.033869396</v>
      </c>
      <c r="U53" s="14">
        <v>21.9</v>
      </c>
      <c r="V53" s="14">
        <v>20.949317739000001</v>
      </c>
      <c r="W53" s="14">
        <v>20.5</v>
      </c>
      <c r="X53" s="14">
        <v>20</v>
      </c>
    </row>
    <row r="54" spans="1:24" x14ac:dyDescent="0.25">
      <c r="A54">
        <v>0.8</v>
      </c>
      <c r="B54">
        <v>1</v>
      </c>
      <c r="C54">
        <v>1.2</v>
      </c>
      <c r="D54">
        <v>1.7</v>
      </c>
      <c r="E54">
        <v>1.9</v>
      </c>
      <c r="F54">
        <v>2.1</v>
      </c>
      <c r="G54">
        <v>2.2000000000000002</v>
      </c>
      <c r="H54">
        <v>2.9</v>
      </c>
      <c r="I54">
        <v>2.9</v>
      </c>
      <c r="J54">
        <v>2.9</v>
      </c>
      <c r="K54" s="11">
        <v>53</v>
      </c>
      <c r="L54" s="11">
        <v>53</v>
      </c>
      <c r="M54" s="11">
        <v>3</v>
      </c>
      <c r="N54" s="11">
        <v>8</v>
      </c>
      <c r="O54" s="14">
        <v>0.73001949300000002</v>
      </c>
      <c r="P54" s="14">
        <v>3.9027777779999999</v>
      </c>
      <c r="Q54" s="14">
        <v>5.8809697859999996</v>
      </c>
      <c r="R54" s="14">
        <v>8.4127680310000006</v>
      </c>
      <c r="S54" s="14">
        <v>12.319200779999999</v>
      </c>
      <c r="T54" s="14">
        <v>18.033869396</v>
      </c>
      <c r="U54" s="14">
        <v>21.9</v>
      </c>
      <c r="V54" s="14">
        <v>20.949317739000001</v>
      </c>
      <c r="W54" s="14">
        <v>20.5</v>
      </c>
      <c r="X54" s="14">
        <v>20</v>
      </c>
    </row>
    <row r="55" spans="1:24" x14ac:dyDescent="0.25">
      <c r="K55" s="11">
        <v>54</v>
      </c>
      <c r="L55" s="11">
        <v>54</v>
      </c>
      <c r="M55" s="11">
        <v>7</v>
      </c>
      <c r="N55" s="11">
        <v>20</v>
      </c>
      <c r="O55" s="14">
        <v>3.3126827489999999</v>
      </c>
      <c r="P55" s="14">
        <v>4.1262183239999999</v>
      </c>
      <c r="Q55" s="14">
        <v>5.7707115010000001</v>
      </c>
      <c r="R55" s="14">
        <v>7.4476120899999998</v>
      </c>
      <c r="S55" s="14">
        <v>18.7</v>
      </c>
      <c r="T55" s="14">
        <v>29.665082846000001</v>
      </c>
      <c r="U55" s="14">
        <v>40.663255360999997</v>
      </c>
      <c r="V55" s="14">
        <v>40.702972709999997</v>
      </c>
      <c r="W55" s="14">
        <v>40.9</v>
      </c>
      <c r="X55" s="14">
        <v>41.6</v>
      </c>
    </row>
    <row r="56" spans="1:24" x14ac:dyDescent="0.25">
      <c r="A56" t="s">
        <v>833</v>
      </c>
      <c r="B56">
        <v>10</v>
      </c>
      <c r="K56" s="11">
        <v>55</v>
      </c>
      <c r="L56" s="11">
        <v>55</v>
      </c>
      <c r="M56" s="11">
        <v>37</v>
      </c>
      <c r="N56" s="11">
        <v>110</v>
      </c>
      <c r="O56" s="14">
        <v>0.73001949300000002</v>
      </c>
      <c r="P56" s="14">
        <v>3.9027777779999999</v>
      </c>
      <c r="Q56" s="14">
        <v>5.8809697859999996</v>
      </c>
      <c r="R56" s="14">
        <v>8.4127680310000006</v>
      </c>
      <c r="S56" s="14">
        <v>12.319200779999999</v>
      </c>
      <c r="T56" s="14">
        <v>18.033869396</v>
      </c>
      <c r="U56" s="14">
        <v>21.9</v>
      </c>
      <c r="V56" s="14">
        <v>20.949317739000001</v>
      </c>
      <c r="W56" s="14">
        <v>20.5</v>
      </c>
      <c r="X56" s="14">
        <v>20</v>
      </c>
    </row>
    <row r="57" spans="1:24" x14ac:dyDescent="0.25">
      <c r="A57">
        <v>0.8</v>
      </c>
      <c r="B57">
        <v>1</v>
      </c>
      <c r="C57">
        <v>1.2</v>
      </c>
      <c r="D57">
        <v>1.7</v>
      </c>
      <c r="E57">
        <v>1.9</v>
      </c>
      <c r="F57">
        <v>2.1</v>
      </c>
      <c r="G57">
        <v>2.2000000000000002</v>
      </c>
      <c r="H57">
        <v>2.9</v>
      </c>
      <c r="I57">
        <v>2.9</v>
      </c>
      <c r="J57">
        <v>2.9</v>
      </c>
      <c r="K57" s="11">
        <v>56</v>
      </c>
      <c r="L57" s="11">
        <v>56</v>
      </c>
      <c r="M57" s="11">
        <v>5</v>
      </c>
      <c r="N57" s="11">
        <v>14</v>
      </c>
      <c r="O57" s="14">
        <v>3.3126827489999999</v>
      </c>
      <c r="P57" s="14">
        <v>4.1262183239999999</v>
      </c>
      <c r="Q57" s="14">
        <v>5.7707115010000001</v>
      </c>
      <c r="R57" s="14">
        <v>7.4476120899999998</v>
      </c>
      <c r="S57" s="14">
        <v>18.7</v>
      </c>
      <c r="T57" s="14">
        <v>29.665082846000001</v>
      </c>
      <c r="U57" s="14">
        <v>40.663255360999997</v>
      </c>
      <c r="V57" s="14">
        <v>40.702972709999997</v>
      </c>
      <c r="W57" s="14">
        <v>40.9</v>
      </c>
      <c r="X57" s="14">
        <v>41.6</v>
      </c>
    </row>
    <row r="58" spans="1:24" x14ac:dyDescent="0.25">
      <c r="K58" s="11">
        <v>57</v>
      </c>
      <c r="L58" s="11">
        <v>57</v>
      </c>
      <c r="M58" s="11">
        <v>49</v>
      </c>
      <c r="N58" s="11">
        <v>146</v>
      </c>
      <c r="O58" s="14">
        <v>3</v>
      </c>
      <c r="P58" s="14">
        <v>9</v>
      </c>
      <c r="Q58" s="14">
        <v>10</v>
      </c>
      <c r="R58" s="14">
        <v>26</v>
      </c>
      <c r="S58" s="14">
        <v>40</v>
      </c>
      <c r="T58" s="14">
        <v>50</v>
      </c>
      <c r="U58" s="14">
        <v>50</v>
      </c>
      <c r="V58" s="14">
        <v>50</v>
      </c>
      <c r="W58" s="14">
        <v>150</v>
      </c>
      <c r="X58" s="14">
        <v>1500</v>
      </c>
    </row>
    <row r="59" spans="1:24" x14ac:dyDescent="0.25">
      <c r="A59" t="s">
        <v>834</v>
      </c>
      <c r="B59">
        <v>10</v>
      </c>
      <c r="K59" s="11">
        <v>58</v>
      </c>
      <c r="L59" s="11">
        <v>58</v>
      </c>
      <c r="M59" s="11">
        <v>8</v>
      </c>
      <c r="N59" s="11">
        <v>23</v>
      </c>
      <c r="O59" s="14">
        <v>3.3126827489999999</v>
      </c>
      <c r="P59" s="14">
        <v>4.1262183239999999</v>
      </c>
      <c r="Q59" s="14">
        <v>5.7707115010000001</v>
      </c>
      <c r="R59" s="14">
        <v>7.4476120899999998</v>
      </c>
      <c r="S59" s="14">
        <v>18.7</v>
      </c>
      <c r="T59" s="14">
        <v>29.665082846000001</v>
      </c>
      <c r="U59" s="14">
        <v>40.663255360999997</v>
      </c>
      <c r="V59" s="14">
        <v>40.702972709999997</v>
      </c>
      <c r="W59" s="14">
        <v>40.9</v>
      </c>
      <c r="X59" s="14">
        <v>41.6</v>
      </c>
    </row>
    <row r="60" spans="1:24" x14ac:dyDescent="0.25">
      <c r="A60">
        <v>1.840253411</v>
      </c>
      <c r="B60">
        <v>5.0482456139999998</v>
      </c>
      <c r="C60">
        <v>6.669103314</v>
      </c>
      <c r="D60">
        <v>18.428849899999999</v>
      </c>
      <c r="E60">
        <v>29.21052632</v>
      </c>
      <c r="F60">
        <v>75.896686160000002</v>
      </c>
      <c r="G60">
        <v>109.14327485</v>
      </c>
      <c r="H60">
        <v>152.75584795</v>
      </c>
      <c r="I60">
        <v>166.47051657</v>
      </c>
      <c r="J60">
        <v>150</v>
      </c>
      <c r="K60" s="11">
        <v>59</v>
      </c>
      <c r="L60" s="11">
        <v>59</v>
      </c>
      <c r="M60" s="11">
        <v>41</v>
      </c>
      <c r="N60" s="11">
        <v>122</v>
      </c>
      <c r="O60" s="14">
        <v>0.754386</v>
      </c>
      <c r="P60" s="14">
        <v>2.8630604289999999</v>
      </c>
      <c r="Q60" s="14">
        <v>5.5843079920000003</v>
      </c>
      <c r="R60" s="14">
        <v>7.75</v>
      </c>
      <c r="S60" s="14">
        <v>11.23245614</v>
      </c>
      <c r="T60" s="14">
        <v>15.656432749</v>
      </c>
      <c r="U60" s="14">
        <v>15.391812865</v>
      </c>
      <c r="V60" s="14">
        <v>15.324561404000001</v>
      </c>
      <c r="W60" s="14">
        <v>15.762670565000001</v>
      </c>
      <c r="X60" s="14">
        <v>15.5</v>
      </c>
    </row>
    <row r="61" spans="1:24" x14ac:dyDescent="0.25">
      <c r="K61" s="11"/>
      <c r="L61" s="11">
        <v>24</v>
      </c>
      <c r="M61" s="11">
        <v>1</v>
      </c>
      <c r="N61" s="11">
        <v>1</v>
      </c>
      <c r="O61" s="4" t="s">
        <v>815</v>
      </c>
      <c r="P61" s="4">
        <v>10</v>
      </c>
    </row>
    <row r="62" spans="1:24" x14ac:dyDescent="0.25">
      <c r="A62" t="s">
        <v>835</v>
      </c>
      <c r="B62">
        <v>10</v>
      </c>
      <c r="K62" s="11"/>
      <c r="L62" s="11"/>
      <c r="M62" s="11"/>
      <c r="N62" s="11">
        <v>3</v>
      </c>
    </row>
    <row r="63" spans="1:24" x14ac:dyDescent="0.25">
      <c r="A63">
        <v>6.0309941519999999</v>
      </c>
      <c r="B63">
        <v>9.3099415200000006</v>
      </c>
      <c r="C63">
        <v>9.5116959059999999</v>
      </c>
      <c r="D63">
        <v>9.3000000000000007</v>
      </c>
      <c r="E63">
        <v>9.289717349</v>
      </c>
      <c r="F63">
        <v>9.3155458089999996</v>
      </c>
      <c r="G63">
        <v>9.3155458089999996</v>
      </c>
      <c r="H63">
        <v>9.5</v>
      </c>
      <c r="I63">
        <v>9.5218323589999994</v>
      </c>
      <c r="J63">
        <v>9.59</v>
      </c>
      <c r="K63" s="11"/>
      <c r="L63" s="11">
        <v>21</v>
      </c>
      <c r="M63" s="11">
        <v>2</v>
      </c>
      <c r="N63" s="11">
        <v>4</v>
      </c>
      <c r="O63" s="4" t="s">
        <v>816</v>
      </c>
      <c r="P63" s="4">
        <v>10</v>
      </c>
    </row>
    <row r="64" spans="1:24" x14ac:dyDescent="0.25">
      <c r="K64" s="11"/>
      <c r="L64" s="11"/>
      <c r="M64" s="11"/>
      <c r="N64" s="11">
        <v>6</v>
      </c>
    </row>
    <row r="65" spans="1:16" x14ac:dyDescent="0.25">
      <c r="A65" t="s">
        <v>836</v>
      </c>
      <c r="B65">
        <v>10</v>
      </c>
      <c r="K65" s="11"/>
      <c r="L65" s="11">
        <v>53</v>
      </c>
      <c r="M65" s="11">
        <v>3</v>
      </c>
      <c r="N65" s="11">
        <v>7</v>
      </c>
      <c r="O65" s="4" t="s">
        <v>817</v>
      </c>
      <c r="P65" s="4">
        <v>10</v>
      </c>
    </row>
    <row r="66" spans="1:16" x14ac:dyDescent="0.25">
      <c r="A66">
        <v>6.0309941519999999</v>
      </c>
      <c r="B66">
        <v>9.3099415200000006</v>
      </c>
      <c r="C66">
        <v>9.5116959059999999</v>
      </c>
      <c r="D66">
        <v>9.3000000000000007</v>
      </c>
      <c r="E66">
        <v>9.289717349</v>
      </c>
      <c r="F66">
        <v>9.3155458089999996</v>
      </c>
      <c r="G66">
        <v>9.3155458089999996</v>
      </c>
      <c r="H66">
        <v>9.5</v>
      </c>
      <c r="I66">
        <v>9.5218323589999994</v>
      </c>
      <c r="J66">
        <v>9.59</v>
      </c>
      <c r="K66" s="11"/>
      <c r="L66" s="11"/>
      <c r="M66" s="11"/>
      <c r="N66" s="11">
        <v>9</v>
      </c>
    </row>
    <row r="67" spans="1:16" x14ac:dyDescent="0.25">
      <c r="K67" s="11"/>
      <c r="L67" s="11">
        <v>4</v>
      </c>
      <c r="M67" s="11">
        <v>4</v>
      </c>
      <c r="N67" s="11">
        <v>10</v>
      </c>
      <c r="O67" s="4" t="s">
        <v>818</v>
      </c>
      <c r="P67" s="4">
        <v>10</v>
      </c>
    </row>
    <row r="68" spans="1:16" x14ac:dyDescent="0.25">
      <c r="A68" t="s">
        <v>837</v>
      </c>
      <c r="B68">
        <v>10</v>
      </c>
      <c r="K68" s="11"/>
      <c r="L68" s="11"/>
      <c r="M68" s="11"/>
      <c r="N68" s="11">
        <v>12</v>
      </c>
    </row>
    <row r="69" spans="1:16" x14ac:dyDescent="0.25">
      <c r="A69">
        <v>2.7660818699999998</v>
      </c>
      <c r="B69">
        <v>33.826754389999998</v>
      </c>
      <c r="C69">
        <v>78.983308969999996</v>
      </c>
      <c r="D69">
        <v>155.83089669</v>
      </c>
      <c r="E69">
        <v>252.43116472</v>
      </c>
      <c r="F69">
        <v>305.03045809000002</v>
      </c>
      <c r="G69">
        <v>305</v>
      </c>
      <c r="H69">
        <v>304.36647173</v>
      </c>
      <c r="I69">
        <v>310.18323586999998</v>
      </c>
      <c r="J69">
        <v>315</v>
      </c>
      <c r="K69" s="11"/>
      <c r="L69" s="11">
        <v>56</v>
      </c>
      <c r="M69" s="11">
        <v>5</v>
      </c>
      <c r="N69" s="11">
        <v>13</v>
      </c>
      <c r="O69" s="4" t="s">
        <v>819</v>
      </c>
      <c r="P69" s="4">
        <v>10</v>
      </c>
    </row>
    <row r="70" spans="1:16" x14ac:dyDescent="0.25">
      <c r="K70" s="11"/>
      <c r="L70" s="11"/>
      <c r="M70" s="11"/>
      <c r="N70" s="11">
        <v>15</v>
      </c>
    </row>
    <row r="71" spans="1:16" x14ac:dyDescent="0.25">
      <c r="A71" t="s">
        <v>838</v>
      </c>
      <c r="B71">
        <v>10</v>
      </c>
      <c r="K71" s="11"/>
      <c r="L71" s="11">
        <v>47</v>
      </c>
      <c r="M71" s="11">
        <v>6</v>
      </c>
      <c r="N71" s="11">
        <v>16</v>
      </c>
      <c r="O71" s="4" t="s">
        <v>820</v>
      </c>
      <c r="P71" s="4">
        <v>10</v>
      </c>
    </row>
    <row r="72" spans="1:16" x14ac:dyDescent="0.25">
      <c r="A72">
        <v>0.12551788498999999</v>
      </c>
      <c r="B72">
        <v>2.3450292400000001</v>
      </c>
      <c r="C72">
        <v>3.130116959</v>
      </c>
      <c r="D72">
        <v>6.8788986349999997</v>
      </c>
      <c r="E72">
        <v>15.069200779999999</v>
      </c>
      <c r="F72">
        <v>28.33406433</v>
      </c>
      <c r="G72">
        <v>44.060185185000002</v>
      </c>
      <c r="H72">
        <v>45</v>
      </c>
      <c r="I72">
        <v>46.873294346999998</v>
      </c>
      <c r="J72">
        <v>47</v>
      </c>
      <c r="K72" s="11"/>
      <c r="L72" s="11"/>
      <c r="M72" s="11"/>
      <c r="N72" s="11">
        <v>18</v>
      </c>
    </row>
    <row r="73" spans="1:16" x14ac:dyDescent="0.25">
      <c r="K73" s="11"/>
      <c r="L73" s="11">
        <v>54</v>
      </c>
      <c r="M73" s="11">
        <v>7</v>
      </c>
      <c r="N73" s="11">
        <v>19</v>
      </c>
      <c r="O73" s="4" t="s">
        <v>821</v>
      </c>
      <c r="P73" s="4">
        <v>10</v>
      </c>
    </row>
    <row r="74" spans="1:16" x14ac:dyDescent="0.25">
      <c r="A74" t="s">
        <v>839</v>
      </c>
      <c r="B74">
        <v>10</v>
      </c>
      <c r="K74" s="11"/>
      <c r="L74" s="11"/>
      <c r="M74" s="11"/>
      <c r="N74" s="11">
        <v>21</v>
      </c>
    </row>
    <row r="75" spans="1:16" x14ac:dyDescent="0.25">
      <c r="A75">
        <v>0.73001949300000002</v>
      </c>
      <c r="B75">
        <v>3.9027777779999999</v>
      </c>
      <c r="C75">
        <v>5.8809697859999996</v>
      </c>
      <c r="D75">
        <v>8.4127680310000006</v>
      </c>
      <c r="E75">
        <v>12.319200779999999</v>
      </c>
      <c r="F75">
        <v>18.033869396</v>
      </c>
      <c r="G75">
        <v>21.9</v>
      </c>
      <c r="H75">
        <v>20.949317739000001</v>
      </c>
      <c r="I75">
        <v>20.5</v>
      </c>
      <c r="J75">
        <v>20</v>
      </c>
      <c r="K75" s="11"/>
      <c r="L75" s="11">
        <v>58</v>
      </c>
      <c r="M75" s="11">
        <v>8</v>
      </c>
      <c r="N75" s="11">
        <v>22</v>
      </c>
      <c r="O75" s="4" t="s">
        <v>822</v>
      </c>
      <c r="P75" s="4">
        <v>10</v>
      </c>
    </row>
    <row r="76" spans="1:16" x14ac:dyDescent="0.25">
      <c r="K76" s="11"/>
      <c r="L76" s="11"/>
      <c r="M76" s="11"/>
      <c r="N76" s="11">
        <v>24</v>
      </c>
    </row>
    <row r="77" spans="1:16" x14ac:dyDescent="0.25">
      <c r="A77" t="s">
        <v>840</v>
      </c>
      <c r="B77">
        <v>10</v>
      </c>
      <c r="K77" s="11"/>
      <c r="L77" s="11">
        <v>20</v>
      </c>
      <c r="M77" s="11">
        <v>9</v>
      </c>
      <c r="N77" s="11">
        <v>25</v>
      </c>
      <c r="O77" s="4" t="s">
        <v>823</v>
      </c>
      <c r="P77" s="4">
        <v>10</v>
      </c>
    </row>
    <row r="78" spans="1:16" x14ac:dyDescent="0.25">
      <c r="A78">
        <v>0.73001949300000002</v>
      </c>
      <c r="B78">
        <v>3.9027777779999999</v>
      </c>
      <c r="C78">
        <v>5.8809697859999996</v>
      </c>
      <c r="D78">
        <v>8.4127680310000006</v>
      </c>
      <c r="E78">
        <v>12.319200779999999</v>
      </c>
      <c r="F78">
        <v>18.033869396</v>
      </c>
      <c r="G78">
        <v>21.9</v>
      </c>
      <c r="H78">
        <v>20.949317739000001</v>
      </c>
      <c r="I78">
        <v>20.5</v>
      </c>
      <c r="J78">
        <v>20</v>
      </c>
      <c r="K78" s="11"/>
      <c r="L78" s="11"/>
      <c r="M78" s="11"/>
      <c r="N78" s="11">
        <v>27</v>
      </c>
    </row>
    <row r="79" spans="1:16" x14ac:dyDescent="0.25">
      <c r="K79" s="11"/>
      <c r="L79" s="11">
        <v>30</v>
      </c>
      <c r="M79" s="11">
        <v>10</v>
      </c>
      <c r="N79" s="11">
        <v>28</v>
      </c>
      <c r="O79" s="4" t="s">
        <v>824</v>
      </c>
      <c r="P79" s="4">
        <v>10</v>
      </c>
    </row>
    <row r="80" spans="1:16" x14ac:dyDescent="0.25">
      <c r="A80" t="s">
        <v>841</v>
      </c>
      <c r="B80">
        <v>10</v>
      </c>
      <c r="K80" s="11"/>
      <c r="L80" s="11"/>
      <c r="M80" s="11"/>
      <c r="N80" s="11">
        <v>30</v>
      </c>
    </row>
    <row r="81" spans="1:16" x14ac:dyDescent="0.25">
      <c r="A81">
        <v>0.73001949300000002</v>
      </c>
      <c r="B81">
        <v>3.9027777779999999</v>
      </c>
      <c r="C81">
        <v>5.8809697859999996</v>
      </c>
      <c r="D81">
        <v>8.4127680310000006</v>
      </c>
      <c r="E81">
        <v>12.319200779999999</v>
      </c>
      <c r="F81">
        <v>18.033869396</v>
      </c>
      <c r="G81">
        <v>21.9</v>
      </c>
      <c r="H81">
        <v>20.949317739000001</v>
      </c>
      <c r="I81">
        <v>20.5</v>
      </c>
      <c r="J81">
        <v>20</v>
      </c>
      <c r="K81" s="11"/>
      <c r="L81" s="11">
        <v>17</v>
      </c>
      <c r="M81" s="11">
        <v>11</v>
      </c>
      <c r="N81" s="11">
        <v>31</v>
      </c>
      <c r="O81" s="4" t="s">
        <v>825</v>
      </c>
      <c r="P81" s="4">
        <v>10</v>
      </c>
    </row>
    <row r="82" spans="1:16" x14ac:dyDescent="0.25">
      <c r="K82" s="11"/>
      <c r="L82" s="11"/>
      <c r="M82" s="11"/>
      <c r="N82" s="11">
        <v>33</v>
      </c>
    </row>
    <row r="83" spans="1:16" x14ac:dyDescent="0.25">
      <c r="A83" t="s">
        <v>842</v>
      </c>
      <c r="B83">
        <v>10</v>
      </c>
      <c r="K83" s="11"/>
      <c r="L83" s="11">
        <v>16</v>
      </c>
      <c r="M83" s="11">
        <v>12</v>
      </c>
      <c r="N83" s="11">
        <v>34</v>
      </c>
      <c r="O83" s="4" t="s">
        <v>826</v>
      </c>
      <c r="P83" s="4">
        <v>10</v>
      </c>
    </row>
    <row r="84" spans="1:16" x14ac:dyDescent="0.25">
      <c r="A84">
        <v>0.73001949300000002</v>
      </c>
      <c r="B84">
        <v>3.9027777779999999</v>
      </c>
      <c r="C84">
        <v>5.8809697859999996</v>
      </c>
      <c r="D84">
        <v>8.4127680310000006</v>
      </c>
      <c r="E84">
        <v>12.319200779999999</v>
      </c>
      <c r="F84">
        <v>18.033869396</v>
      </c>
      <c r="G84">
        <v>21.9</v>
      </c>
      <c r="H84">
        <v>20.949317739000001</v>
      </c>
      <c r="I84">
        <v>20.5</v>
      </c>
      <c r="J84">
        <v>20</v>
      </c>
      <c r="K84" s="11"/>
      <c r="L84" s="11"/>
      <c r="M84" s="11"/>
      <c r="N84" s="11">
        <v>36</v>
      </c>
    </row>
    <row r="85" spans="1:16" x14ac:dyDescent="0.25">
      <c r="K85" s="11"/>
      <c r="L85" s="11">
        <v>2</v>
      </c>
      <c r="M85" s="11">
        <v>13</v>
      </c>
      <c r="N85" s="11">
        <v>37</v>
      </c>
      <c r="O85" s="4" t="s">
        <v>827</v>
      </c>
      <c r="P85" s="4">
        <v>10</v>
      </c>
    </row>
    <row r="86" spans="1:16" x14ac:dyDescent="0.25">
      <c r="A86" t="s">
        <v>843</v>
      </c>
      <c r="B86">
        <v>10</v>
      </c>
      <c r="K86" s="11"/>
      <c r="L86" s="11"/>
      <c r="M86" s="11"/>
      <c r="N86" s="11">
        <v>39</v>
      </c>
    </row>
    <row r="87" spans="1:16" x14ac:dyDescent="0.25">
      <c r="A87">
        <v>0.73001949300000002</v>
      </c>
      <c r="B87">
        <v>3.9027777779999999</v>
      </c>
      <c r="C87">
        <v>5.8809697859999996</v>
      </c>
      <c r="D87">
        <v>8.4127680310000006</v>
      </c>
      <c r="E87">
        <v>12.319200779999999</v>
      </c>
      <c r="F87">
        <v>18.033869396</v>
      </c>
      <c r="G87">
        <v>21.9</v>
      </c>
      <c r="H87">
        <v>20.949317739000001</v>
      </c>
      <c r="I87">
        <v>20.5</v>
      </c>
      <c r="J87">
        <v>20</v>
      </c>
      <c r="K87" s="11"/>
      <c r="L87" s="11">
        <v>50</v>
      </c>
      <c r="M87" s="11">
        <v>14</v>
      </c>
      <c r="N87" s="11">
        <v>40</v>
      </c>
      <c r="O87" s="4" t="s">
        <v>828</v>
      </c>
      <c r="P87" s="4">
        <v>10</v>
      </c>
    </row>
    <row r="88" spans="1:16" x14ac:dyDescent="0.25">
      <c r="K88" s="11"/>
      <c r="L88" s="11"/>
      <c r="M88" s="11"/>
      <c r="N88" s="11">
        <v>42</v>
      </c>
    </row>
    <row r="89" spans="1:16" x14ac:dyDescent="0.25">
      <c r="A89" t="s">
        <v>844</v>
      </c>
      <c r="B89">
        <v>10</v>
      </c>
      <c r="K89" s="11"/>
      <c r="L89" s="11">
        <v>3</v>
      </c>
      <c r="M89" s="11">
        <v>15</v>
      </c>
      <c r="N89" s="11">
        <v>43</v>
      </c>
      <c r="O89" s="4" t="s">
        <v>829</v>
      </c>
      <c r="P89" s="4">
        <v>10</v>
      </c>
    </row>
    <row r="90" spans="1:16" x14ac:dyDescent="0.25">
      <c r="A90">
        <v>0.73001949300000002</v>
      </c>
      <c r="B90">
        <v>3.9027777779999999</v>
      </c>
      <c r="C90">
        <v>5.8809697859999996</v>
      </c>
      <c r="D90">
        <v>8.4127680310000006</v>
      </c>
      <c r="E90">
        <v>12.319200779999999</v>
      </c>
      <c r="F90">
        <v>18.033869396</v>
      </c>
      <c r="G90">
        <v>21.9</v>
      </c>
      <c r="H90">
        <v>20.949317739000001</v>
      </c>
      <c r="I90">
        <v>20.5</v>
      </c>
      <c r="J90">
        <v>20</v>
      </c>
      <c r="K90" s="11"/>
      <c r="L90" s="11"/>
      <c r="M90" s="11"/>
      <c r="N90" s="11">
        <v>45</v>
      </c>
    </row>
    <row r="91" spans="1:16" x14ac:dyDescent="0.25">
      <c r="K91" s="11"/>
      <c r="L91" s="11">
        <v>26</v>
      </c>
      <c r="M91" s="11">
        <v>16</v>
      </c>
      <c r="N91" s="11">
        <v>46</v>
      </c>
      <c r="O91" s="4" t="s">
        <v>830</v>
      </c>
      <c r="P91" s="4">
        <v>10</v>
      </c>
    </row>
    <row r="92" spans="1:16" x14ac:dyDescent="0.25">
      <c r="A92" t="s">
        <v>845</v>
      </c>
      <c r="B92">
        <v>10</v>
      </c>
      <c r="K92" s="11"/>
      <c r="L92" s="11"/>
      <c r="M92" s="11"/>
      <c r="N92" s="11">
        <v>48</v>
      </c>
    </row>
    <row r="93" spans="1:16" x14ac:dyDescent="0.25">
      <c r="A93">
        <v>0.73001949300000002</v>
      </c>
      <c r="B93">
        <v>3.9027777779999999</v>
      </c>
      <c r="C93">
        <v>5.8809697859999996</v>
      </c>
      <c r="D93">
        <v>8.4127680310000006</v>
      </c>
      <c r="E93">
        <v>12.319200779999999</v>
      </c>
      <c r="F93">
        <v>18.033869396</v>
      </c>
      <c r="G93">
        <v>21.9</v>
      </c>
      <c r="H93">
        <v>20.949317739000001</v>
      </c>
      <c r="I93">
        <v>20.5</v>
      </c>
      <c r="J93">
        <v>20</v>
      </c>
      <c r="K93" s="11"/>
      <c r="L93" s="11">
        <v>8</v>
      </c>
      <c r="M93" s="11">
        <v>17</v>
      </c>
      <c r="N93" s="11">
        <v>49</v>
      </c>
      <c r="O93" s="4" t="s">
        <v>831</v>
      </c>
      <c r="P93" s="4">
        <v>10</v>
      </c>
    </row>
    <row r="94" spans="1:16" x14ac:dyDescent="0.25">
      <c r="K94" s="11"/>
      <c r="L94" s="11"/>
      <c r="M94" s="11"/>
      <c r="N94" s="11">
        <v>51</v>
      </c>
    </row>
    <row r="95" spans="1:16" x14ac:dyDescent="0.25">
      <c r="A95" t="s">
        <v>846</v>
      </c>
      <c r="B95">
        <v>10</v>
      </c>
      <c r="K95" s="11"/>
      <c r="L95" s="11">
        <v>1</v>
      </c>
      <c r="M95" s="11">
        <v>18</v>
      </c>
      <c r="N95" s="11">
        <v>52</v>
      </c>
      <c r="O95" s="4" t="s">
        <v>832</v>
      </c>
      <c r="P95" s="4">
        <v>10</v>
      </c>
    </row>
    <row r="96" spans="1:16" x14ac:dyDescent="0.25">
      <c r="A96">
        <v>0.73001949300000002</v>
      </c>
      <c r="B96">
        <v>3.9027777779999999</v>
      </c>
      <c r="C96">
        <v>5.8809697859999996</v>
      </c>
      <c r="D96">
        <v>8.4127680310000006</v>
      </c>
      <c r="E96">
        <v>12.319200779999999</v>
      </c>
      <c r="F96">
        <v>18.033869396</v>
      </c>
      <c r="G96">
        <v>21.9</v>
      </c>
      <c r="H96">
        <v>20.949317739000001</v>
      </c>
      <c r="I96">
        <v>20.5</v>
      </c>
      <c r="J96">
        <v>20</v>
      </c>
      <c r="K96" s="11"/>
      <c r="L96" s="11"/>
      <c r="M96" s="11"/>
      <c r="N96" s="11">
        <v>54</v>
      </c>
    </row>
    <row r="97" spans="1:16" x14ac:dyDescent="0.25">
      <c r="K97" s="11"/>
      <c r="L97" s="11">
        <v>6</v>
      </c>
      <c r="M97" s="11">
        <v>19</v>
      </c>
      <c r="N97" s="11">
        <v>55</v>
      </c>
      <c r="O97" s="4" t="s">
        <v>833</v>
      </c>
      <c r="P97" s="4">
        <v>10</v>
      </c>
    </row>
    <row r="98" spans="1:16" x14ac:dyDescent="0.25">
      <c r="A98" t="s">
        <v>847</v>
      </c>
      <c r="B98">
        <v>10</v>
      </c>
      <c r="K98" s="11"/>
      <c r="L98" s="11"/>
      <c r="M98" s="11"/>
      <c r="N98" s="11">
        <v>57</v>
      </c>
    </row>
    <row r="99" spans="1:16" x14ac:dyDescent="0.25">
      <c r="A99">
        <v>0.73001949300000002</v>
      </c>
      <c r="B99">
        <v>3.9027777779999999</v>
      </c>
      <c r="C99">
        <v>5.8809697859999996</v>
      </c>
      <c r="D99">
        <v>8.4127680310000006</v>
      </c>
      <c r="E99">
        <v>12.319200779999999</v>
      </c>
      <c r="F99">
        <v>18.033869396</v>
      </c>
      <c r="G99">
        <v>21.9</v>
      </c>
      <c r="H99">
        <v>20.949317739000001</v>
      </c>
      <c r="I99">
        <v>20.5</v>
      </c>
      <c r="J99">
        <v>20</v>
      </c>
      <c r="K99" s="11"/>
      <c r="L99" s="11">
        <v>18</v>
      </c>
      <c r="M99" s="11">
        <v>20</v>
      </c>
      <c r="N99" s="11">
        <v>58</v>
      </c>
      <c r="O99" s="4" t="s">
        <v>834</v>
      </c>
      <c r="P99" s="4">
        <v>10</v>
      </c>
    </row>
    <row r="100" spans="1:16" x14ac:dyDescent="0.25">
      <c r="K100" s="11"/>
      <c r="L100" s="11"/>
      <c r="M100" s="11"/>
      <c r="N100" s="11">
        <v>60</v>
      </c>
    </row>
    <row r="101" spans="1:16" x14ac:dyDescent="0.25">
      <c r="A101" t="s">
        <v>848</v>
      </c>
      <c r="B101">
        <v>10</v>
      </c>
      <c r="K101" s="11"/>
      <c r="L101" s="11">
        <v>25</v>
      </c>
      <c r="M101" s="11">
        <v>21</v>
      </c>
      <c r="N101" s="11">
        <v>61</v>
      </c>
      <c r="O101" s="4" t="s">
        <v>835</v>
      </c>
      <c r="P101" s="4">
        <v>10</v>
      </c>
    </row>
    <row r="102" spans="1:16" x14ac:dyDescent="0.25">
      <c r="A102">
        <v>0.73001949300000002</v>
      </c>
      <c r="B102">
        <v>3.9027777779999999</v>
      </c>
      <c r="C102">
        <v>5.8809697859999996</v>
      </c>
      <c r="D102">
        <v>8.4127680310000006</v>
      </c>
      <c r="E102">
        <v>12.319200779999999</v>
      </c>
      <c r="F102">
        <v>18.033869396</v>
      </c>
      <c r="G102">
        <v>21.9</v>
      </c>
      <c r="H102">
        <v>20.949317739000001</v>
      </c>
      <c r="I102">
        <v>20.5</v>
      </c>
      <c r="J102">
        <v>20</v>
      </c>
      <c r="K102" s="11"/>
      <c r="L102" s="11"/>
      <c r="M102" s="11"/>
      <c r="N102" s="11">
        <v>63</v>
      </c>
    </row>
    <row r="103" spans="1:16" x14ac:dyDescent="0.25">
      <c r="K103" s="11"/>
      <c r="L103" s="11">
        <v>14</v>
      </c>
      <c r="M103" s="11">
        <v>22</v>
      </c>
      <c r="N103" s="11">
        <v>64</v>
      </c>
      <c r="O103" s="4" t="s">
        <v>836</v>
      </c>
      <c r="P103" s="4">
        <v>10</v>
      </c>
    </row>
    <row r="104" spans="1:16" x14ac:dyDescent="0.25">
      <c r="A104" t="s">
        <v>849</v>
      </c>
      <c r="B104">
        <v>10</v>
      </c>
      <c r="K104" s="11"/>
      <c r="L104" s="11"/>
      <c r="M104" s="11"/>
      <c r="N104" s="11">
        <v>66</v>
      </c>
    </row>
    <row r="105" spans="1:16" x14ac:dyDescent="0.25">
      <c r="A105">
        <v>0.73001949300000002</v>
      </c>
      <c r="B105">
        <v>3.9027777779999999</v>
      </c>
      <c r="C105">
        <v>5.8809697859999996</v>
      </c>
      <c r="D105">
        <v>8.4127680310000006</v>
      </c>
      <c r="E105">
        <v>12.319200779999999</v>
      </c>
      <c r="F105">
        <v>18.033869396</v>
      </c>
      <c r="G105">
        <v>21.9</v>
      </c>
      <c r="H105">
        <v>20.949317739000001</v>
      </c>
      <c r="I105">
        <v>20.5</v>
      </c>
      <c r="J105">
        <v>20</v>
      </c>
      <c r="K105" s="11"/>
      <c r="L105" s="11">
        <v>10</v>
      </c>
      <c r="M105" s="11">
        <v>23</v>
      </c>
      <c r="N105" s="11">
        <v>67</v>
      </c>
      <c r="O105" s="4" t="s">
        <v>837</v>
      </c>
      <c r="P105" s="4">
        <v>10</v>
      </c>
    </row>
    <row r="106" spans="1:16" x14ac:dyDescent="0.25">
      <c r="K106" s="11"/>
      <c r="L106" s="11"/>
      <c r="M106" s="11"/>
      <c r="N106" s="11">
        <v>69</v>
      </c>
    </row>
    <row r="107" spans="1:16" x14ac:dyDescent="0.25">
      <c r="A107" t="s">
        <v>850</v>
      </c>
      <c r="B107">
        <v>10</v>
      </c>
      <c r="K107" s="11"/>
      <c r="L107" s="11">
        <v>42</v>
      </c>
      <c r="M107" s="11">
        <v>24</v>
      </c>
      <c r="N107" s="11">
        <v>70</v>
      </c>
      <c r="O107" s="4" t="s">
        <v>838</v>
      </c>
      <c r="P107" s="4">
        <v>10</v>
      </c>
    </row>
    <row r="108" spans="1:16" x14ac:dyDescent="0.25">
      <c r="A108">
        <v>0.73001949300000002</v>
      </c>
      <c r="B108">
        <v>3.9027777779999999</v>
      </c>
      <c r="C108">
        <v>5.8809697859999996</v>
      </c>
      <c r="D108">
        <v>8.4127680310000006</v>
      </c>
      <c r="E108">
        <v>12.319200779999999</v>
      </c>
      <c r="F108">
        <v>18.033869396</v>
      </c>
      <c r="G108">
        <v>21.9</v>
      </c>
      <c r="H108">
        <v>20.949317739000001</v>
      </c>
      <c r="I108">
        <v>20.5</v>
      </c>
      <c r="J108">
        <v>20</v>
      </c>
      <c r="K108" s="11"/>
      <c r="L108" s="11"/>
      <c r="M108" s="11"/>
      <c r="N108" s="11">
        <v>72</v>
      </c>
    </row>
    <row r="109" spans="1:16" x14ac:dyDescent="0.25">
      <c r="K109" s="11"/>
      <c r="L109" s="11">
        <v>27</v>
      </c>
      <c r="M109" s="11">
        <v>25</v>
      </c>
      <c r="N109" s="11">
        <v>73</v>
      </c>
      <c r="O109" s="4" t="s">
        <v>839</v>
      </c>
      <c r="P109" s="4">
        <v>10</v>
      </c>
    </row>
    <row r="110" spans="1:16" x14ac:dyDescent="0.25">
      <c r="A110" t="s">
        <v>851</v>
      </c>
      <c r="B110">
        <v>10</v>
      </c>
      <c r="K110" s="11"/>
      <c r="L110" s="11"/>
      <c r="M110" s="11"/>
      <c r="N110" s="11">
        <v>75</v>
      </c>
    </row>
    <row r="111" spans="1:16" x14ac:dyDescent="0.25">
      <c r="A111">
        <v>0.73001949300000002</v>
      </c>
      <c r="B111">
        <v>3.9027777779999999</v>
      </c>
      <c r="C111">
        <v>5.8809697859999996</v>
      </c>
      <c r="D111">
        <v>8.4127680310000006</v>
      </c>
      <c r="E111">
        <v>12.319200779999999</v>
      </c>
      <c r="F111">
        <v>18.033869396</v>
      </c>
      <c r="G111">
        <v>21.9</v>
      </c>
      <c r="H111">
        <v>20.949317739000001</v>
      </c>
      <c r="I111">
        <v>20.5</v>
      </c>
      <c r="J111">
        <v>20</v>
      </c>
      <c r="K111" s="11"/>
      <c r="L111" s="11">
        <v>31</v>
      </c>
      <c r="M111" s="11">
        <v>26</v>
      </c>
      <c r="N111" s="11">
        <v>76</v>
      </c>
      <c r="O111" s="4" t="s">
        <v>840</v>
      </c>
      <c r="P111" s="4">
        <v>10</v>
      </c>
    </row>
    <row r="112" spans="1:16" x14ac:dyDescent="0.25">
      <c r="K112" s="11"/>
      <c r="L112" s="11"/>
      <c r="M112" s="11"/>
      <c r="N112" s="11">
        <v>78</v>
      </c>
    </row>
    <row r="113" spans="1:16" x14ac:dyDescent="0.25">
      <c r="A113" t="s">
        <v>852</v>
      </c>
      <c r="B113">
        <v>10</v>
      </c>
      <c r="K113" s="11"/>
      <c r="L113" s="11">
        <v>36</v>
      </c>
      <c r="M113" s="11">
        <v>27</v>
      </c>
      <c r="N113" s="11">
        <v>79</v>
      </c>
      <c r="O113" s="4" t="s">
        <v>841</v>
      </c>
      <c r="P113" s="4">
        <v>10</v>
      </c>
    </row>
    <row r="114" spans="1:16" x14ac:dyDescent="0.25">
      <c r="A114">
        <v>0.73001949300000002</v>
      </c>
      <c r="B114">
        <v>3.9027777779999999</v>
      </c>
      <c r="C114">
        <v>5.8809697859999996</v>
      </c>
      <c r="D114">
        <v>8.4127680310000006</v>
      </c>
      <c r="E114">
        <v>12.319200779999999</v>
      </c>
      <c r="F114">
        <v>18.033869396</v>
      </c>
      <c r="G114">
        <v>21.9</v>
      </c>
      <c r="H114">
        <v>20.949317739000001</v>
      </c>
      <c r="I114">
        <v>20.5</v>
      </c>
      <c r="J114">
        <v>20</v>
      </c>
      <c r="K114" s="11"/>
      <c r="L114" s="11"/>
      <c r="M114" s="11"/>
      <c r="N114" s="11">
        <v>81</v>
      </c>
    </row>
    <row r="115" spans="1:16" x14ac:dyDescent="0.25">
      <c r="K115" s="11"/>
      <c r="L115" s="11">
        <v>7</v>
      </c>
      <c r="M115" s="11">
        <v>28</v>
      </c>
      <c r="N115" s="11">
        <v>82</v>
      </c>
      <c r="O115" s="4" t="s">
        <v>842</v>
      </c>
      <c r="P115" s="4">
        <v>10</v>
      </c>
    </row>
    <row r="116" spans="1:16" x14ac:dyDescent="0.25">
      <c r="A116" t="s">
        <v>853</v>
      </c>
      <c r="B116">
        <v>10</v>
      </c>
      <c r="K116" s="11"/>
      <c r="L116" s="11"/>
      <c r="M116" s="11"/>
      <c r="N116" s="11">
        <v>84</v>
      </c>
    </row>
    <row r="117" spans="1:16" x14ac:dyDescent="0.25">
      <c r="A117">
        <v>0.73001949300000002</v>
      </c>
      <c r="B117">
        <v>3.9027777779999999</v>
      </c>
      <c r="C117">
        <v>5.8809697859999996</v>
      </c>
      <c r="D117">
        <v>8.4127680310000006</v>
      </c>
      <c r="E117">
        <v>12.319200779999999</v>
      </c>
      <c r="F117">
        <v>18.033869396</v>
      </c>
      <c r="G117">
        <v>21.9</v>
      </c>
      <c r="H117">
        <v>20.949317739000001</v>
      </c>
      <c r="I117">
        <v>20.5</v>
      </c>
      <c r="J117">
        <v>20</v>
      </c>
      <c r="K117" s="11"/>
      <c r="L117" s="11">
        <v>40</v>
      </c>
      <c r="M117" s="11">
        <v>29</v>
      </c>
      <c r="N117" s="11">
        <v>85</v>
      </c>
      <c r="O117" s="4" t="s">
        <v>843</v>
      </c>
      <c r="P117" s="4">
        <v>10</v>
      </c>
    </row>
    <row r="118" spans="1:16" x14ac:dyDescent="0.25">
      <c r="K118" s="11"/>
      <c r="L118" s="11"/>
      <c r="M118" s="11"/>
      <c r="N118" s="11">
        <v>87</v>
      </c>
    </row>
    <row r="119" spans="1:16" x14ac:dyDescent="0.25">
      <c r="A119" t="s">
        <v>854</v>
      </c>
      <c r="B119">
        <v>10</v>
      </c>
      <c r="K119" s="11"/>
      <c r="L119" s="11">
        <v>52</v>
      </c>
      <c r="M119" s="11">
        <v>30</v>
      </c>
      <c r="N119" s="11">
        <v>88</v>
      </c>
      <c r="O119" s="4" t="s">
        <v>844</v>
      </c>
      <c r="P119" s="4">
        <v>10</v>
      </c>
    </row>
    <row r="120" spans="1:16" x14ac:dyDescent="0.25">
      <c r="A120">
        <v>0.73001949300000002</v>
      </c>
      <c r="B120">
        <v>3.9027777779999999</v>
      </c>
      <c r="C120">
        <v>5.8809697859999996</v>
      </c>
      <c r="D120">
        <v>8.4127680310000006</v>
      </c>
      <c r="E120">
        <v>12.319200779999999</v>
      </c>
      <c r="F120">
        <v>18.033869396</v>
      </c>
      <c r="G120">
        <v>21.9</v>
      </c>
      <c r="H120">
        <v>20.949317739000001</v>
      </c>
      <c r="I120">
        <v>20.5</v>
      </c>
      <c r="J120">
        <v>20</v>
      </c>
      <c r="K120" s="11"/>
      <c r="L120" s="11"/>
      <c r="M120" s="11"/>
      <c r="N120" s="11">
        <v>90</v>
      </c>
    </row>
    <row r="121" spans="1:16" x14ac:dyDescent="0.25">
      <c r="K121" s="11"/>
      <c r="L121" s="11">
        <v>34</v>
      </c>
      <c r="M121" s="11">
        <v>31</v>
      </c>
      <c r="N121" s="11">
        <v>91</v>
      </c>
      <c r="O121" s="4" t="s">
        <v>845</v>
      </c>
      <c r="P121" s="4">
        <v>10</v>
      </c>
    </row>
    <row r="122" spans="1:16" x14ac:dyDescent="0.25">
      <c r="A122" t="s">
        <v>855</v>
      </c>
      <c r="B122">
        <v>10</v>
      </c>
      <c r="K122" s="11"/>
      <c r="L122" s="11"/>
      <c r="M122" s="11"/>
      <c r="N122" s="11">
        <v>93</v>
      </c>
    </row>
    <row r="123" spans="1:16" x14ac:dyDescent="0.25">
      <c r="A123">
        <v>0.754386</v>
      </c>
      <c r="B123">
        <v>2.8630604289999999</v>
      </c>
      <c r="C123">
        <v>5.5843079920000003</v>
      </c>
      <c r="D123">
        <v>7.75</v>
      </c>
      <c r="E123">
        <v>11.23245614</v>
      </c>
      <c r="F123">
        <v>15.656432749</v>
      </c>
      <c r="G123">
        <v>15.391812865</v>
      </c>
      <c r="H123">
        <v>15.324561404000001</v>
      </c>
      <c r="I123">
        <v>15.762670565000001</v>
      </c>
      <c r="J123">
        <v>15.5</v>
      </c>
      <c r="K123" s="11"/>
      <c r="L123" s="11">
        <v>28</v>
      </c>
      <c r="M123" s="11">
        <v>32</v>
      </c>
      <c r="N123" s="11">
        <v>94</v>
      </c>
      <c r="O123" s="4" t="s">
        <v>846</v>
      </c>
      <c r="P123" s="4">
        <v>10</v>
      </c>
    </row>
    <row r="124" spans="1:16" x14ac:dyDescent="0.25">
      <c r="K124" s="11"/>
      <c r="L124" s="11"/>
      <c r="M124" s="11"/>
      <c r="N124" s="11">
        <v>96</v>
      </c>
    </row>
    <row r="125" spans="1:16" x14ac:dyDescent="0.25">
      <c r="A125" t="s">
        <v>856</v>
      </c>
      <c r="B125">
        <v>10</v>
      </c>
      <c r="K125" s="11"/>
      <c r="L125" s="11">
        <v>38</v>
      </c>
      <c r="M125" s="11">
        <v>33</v>
      </c>
      <c r="N125" s="11">
        <v>97</v>
      </c>
      <c r="O125" s="4" t="s">
        <v>847</v>
      </c>
      <c r="P125" s="4">
        <v>10</v>
      </c>
    </row>
    <row r="126" spans="1:16" x14ac:dyDescent="0.25">
      <c r="A126">
        <v>0.5</v>
      </c>
      <c r="B126">
        <v>10.5</v>
      </c>
      <c r="C126">
        <v>25.5</v>
      </c>
      <c r="D126">
        <v>80.5</v>
      </c>
      <c r="E126">
        <v>270.5</v>
      </c>
      <c r="F126">
        <v>320.5</v>
      </c>
      <c r="G126">
        <v>460.5</v>
      </c>
      <c r="H126">
        <v>520.5</v>
      </c>
      <c r="I126">
        <v>520.5</v>
      </c>
      <c r="J126">
        <v>520.5</v>
      </c>
      <c r="K126" s="11"/>
      <c r="L126" s="11"/>
      <c r="M126" s="11"/>
      <c r="N126" s="11">
        <v>99</v>
      </c>
    </row>
    <row r="127" spans="1:16" x14ac:dyDescent="0.25">
      <c r="K127" s="11"/>
      <c r="L127" s="11">
        <v>12</v>
      </c>
      <c r="M127" s="11">
        <v>34</v>
      </c>
      <c r="N127" s="11">
        <v>100</v>
      </c>
      <c r="O127" s="4" t="s">
        <v>848</v>
      </c>
      <c r="P127" s="4">
        <v>10</v>
      </c>
    </row>
    <row r="128" spans="1:16" x14ac:dyDescent="0.25">
      <c r="A128" t="s">
        <v>857</v>
      </c>
      <c r="B128">
        <v>10</v>
      </c>
      <c r="K128" s="11"/>
      <c r="L128" s="11"/>
      <c r="M128" s="11"/>
      <c r="N128" s="11">
        <v>102</v>
      </c>
    </row>
    <row r="129" spans="1:16" x14ac:dyDescent="0.25">
      <c r="A129">
        <v>0.5</v>
      </c>
      <c r="B129">
        <v>10.5</v>
      </c>
      <c r="C129">
        <v>25.5</v>
      </c>
      <c r="D129">
        <v>80.5</v>
      </c>
      <c r="E129">
        <v>270.5</v>
      </c>
      <c r="F129">
        <v>320.5</v>
      </c>
      <c r="G129">
        <v>460.5</v>
      </c>
      <c r="H129">
        <v>520.5</v>
      </c>
      <c r="I129">
        <v>520.5</v>
      </c>
      <c r="J129">
        <v>520.5</v>
      </c>
      <c r="K129" s="11"/>
      <c r="L129" s="11">
        <v>46</v>
      </c>
      <c r="M129" s="11">
        <v>35</v>
      </c>
      <c r="N129" s="11">
        <v>103</v>
      </c>
      <c r="O129" s="4" t="s">
        <v>849</v>
      </c>
      <c r="P129" s="4">
        <v>10</v>
      </c>
    </row>
    <row r="130" spans="1:16" x14ac:dyDescent="0.25">
      <c r="K130" s="11"/>
      <c r="L130" s="11"/>
      <c r="M130" s="11"/>
      <c r="N130" s="11">
        <v>105</v>
      </c>
    </row>
    <row r="131" spans="1:16" x14ac:dyDescent="0.25">
      <c r="A131" t="s">
        <v>858</v>
      </c>
      <c r="B131">
        <v>10</v>
      </c>
      <c r="K131" s="11"/>
      <c r="L131" s="11">
        <v>49</v>
      </c>
      <c r="M131" s="11">
        <v>36</v>
      </c>
      <c r="N131" s="11">
        <v>106</v>
      </c>
      <c r="O131" s="4" t="s">
        <v>850</v>
      </c>
      <c r="P131" s="4">
        <v>10</v>
      </c>
    </row>
    <row r="132" spans="1:16" x14ac:dyDescent="0.25">
      <c r="A132">
        <v>1</v>
      </c>
      <c r="B132">
        <v>9</v>
      </c>
      <c r="C132">
        <v>10</v>
      </c>
      <c r="D132">
        <v>15</v>
      </c>
      <c r="E132">
        <v>15</v>
      </c>
      <c r="F132">
        <v>20</v>
      </c>
      <c r="G132">
        <v>20</v>
      </c>
      <c r="H132">
        <v>20</v>
      </c>
      <c r="I132">
        <v>20</v>
      </c>
      <c r="J132">
        <v>20</v>
      </c>
      <c r="K132" s="11"/>
      <c r="L132" s="11"/>
      <c r="M132" s="11"/>
      <c r="N132" s="11">
        <v>108</v>
      </c>
    </row>
    <row r="133" spans="1:16" x14ac:dyDescent="0.25">
      <c r="K133" s="11"/>
      <c r="L133" s="11">
        <v>55</v>
      </c>
      <c r="M133" s="11">
        <v>37</v>
      </c>
      <c r="N133" s="11">
        <v>109</v>
      </c>
      <c r="O133" s="4" t="s">
        <v>851</v>
      </c>
      <c r="P133" s="4">
        <v>10</v>
      </c>
    </row>
    <row r="134" spans="1:16" x14ac:dyDescent="0.25">
      <c r="A134" t="s">
        <v>859</v>
      </c>
      <c r="B134">
        <v>10</v>
      </c>
      <c r="K134" s="11"/>
      <c r="L134" s="11"/>
      <c r="M134" s="11"/>
      <c r="N134" s="11">
        <v>111</v>
      </c>
    </row>
    <row r="135" spans="1:16" x14ac:dyDescent="0.25">
      <c r="A135">
        <v>1</v>
      </c>
      <c r="B135">
        <v>9</v>
      </c>
      <c r="C135">
        <v>10</v>
      </c>
      <c r="D135">
        <v>15</v>
      </c>
      <c r="E135">
        <v>15</v>
      </c>
      <c r="F135">
        <v>20</v>
      </c>
      <c r="G135">
        <v>20</v>
      </c>
      <c r="H135">
        <v>20</v>
      </c>
      <c r="I135">
        <v>20</v>
      </c>
      <c r="J135">
        <v>20</v>
      </c>
      <c r="K135" s="11"/>
      <c r="L135" s="11">
        <v>41</v>
      </c>
      <c r="M135" s="11">
        <v>38</v>
      </c>
      <c r="N135" s="11">
        <v>112</v>
      </c>
      <c r="O135" s="4" t="s">
        <v>852</v>
      </c>
      <c r="P135" s="4">
        <v>10</v>
      </c>
    </row>
    <row r="136" spans="1:16" x14ac:dyDescent="0.25">
      <c r="K136" s="11"/>
      <c r="L136" s="11"/>
      <c r="M136" s="11"/>
      <c r="N136" s="11">
        <v>114</v>
      </c>
    </row>
    <row r="137" spans="1:16" x14ac:dyDescent="0.25">
      <c r="A137" t="s">
        <v>860</v>
      </c>
      <c r="B137">
        <v>10</v>
      </c>
      <c r="K137" s="11"/>
      <c r="L137" s="11">
        <v>15</v>
      </c>
      <c r="M137" s="11">
        <v>39</v>
      </c>
      <c r="N137" s="11">
        <v>115</v>
      </c>
      <c r="O137" s="4" t="s">
        <v>853</v>
      </c>
      <c r="P137" s="4">
        <v>10</v>
      </c>
    </row>
    <row r="138" spans="1:16" x14ac:dyDescent="0.25">
      <c r="A138">
        <v>3</v>
      </c>
      <c r="B138">
        <v>52</v>
      </c>
      <c r="C138">
        <v>300</v>
      </c>
      <c r="D138">
        <v>1230.5</v>
      </c>
      <c r="E138">
        <v>1550.5</v>
      </c>
      <c r="F138">
        <v>1850.5</v>
      </c>
      <c r="G138">
        <v>1850.5</v>
      </c>
      <c r="H138">
        <v>1850.5</v>
      </c>
      <c r="I138">
        <v>2550.5</v>
      </c>
      <c r="J138">
        <v>2550.5</v>
      </c>
      <c r="K138" s="11"/>
      <c r="L138" s="11"/>
      <c r="M138" s="11"/>
      <c r="N138" s="11">
        <v>117</v>
      </c>
    </row>
    <row r="139" spans="1:16" x14ac:dyDescent="0.25">
      <c r="K139" s="11"/>
      <c r="L139" s="11">
        <v>19</v>
      </c>
      <c r="M139" s="11">
        <v>40</v>
      </c>
      <c r="N139" s="11">
        <v>118</v>
      </c>
      <c r="O139" s="4" t="s">
        <v>854</v>
      </c>
      <c r="P139" s="4">
        <v>10</v>
      </c>
    </row>
    <row r="140" spans="1:16" x14ac:dyDescent="0.25">
      <c r="A140" t="s">
        <v>861</v>
      </c>
      <c r="B140">
        <v>10</v>
      </c>
      <c r="K140" s="11"/>
      <c r="L140" s="11"/>
      <c r="M140" s="11"/>
      <c r="N140" s="11">
        <v>120</v>
      </c>
    </row>
    <row r="141" spans="1:16" x14ac:dyDescent="0.25">
      <c r="A141">
        <v>3</v>
      </c>
      <c r="B141">
        <v>52</v>
      </c>
      <c r="C141">
        <v>300</v>
      </c>
      <c r="D141">
        <v>1230.5</v>
      </c>
      <c r="E141">
        <v>1550.5</v>
      </c>
      <c r="F141">
        <v>1850.5</v>
      </c>
      <c r="G141">
        <v>1850.5</v>
      </c>
      <c r="H141">
        <v>1850.5</v>
      </c>
      <c r="I141">
        <v>2550.5</v>
      </c>
      <c r="J141">
        <v>2550.5</v>
      </c>
      <c r="K141" s="11"/>
      <c r="L141" s="11">
        <v>59</v>
      </c>
      <c r="M141" s="11">
        <v>41</v>
      </c>
      <c r="N141" s="11">
        <v>121</v>
      </c>
      <c r="O141" s="4" t="s">
        <v>855</v>
      </c>
      <c r="P141" s="4">
        <v>10</v>
      </c>
    </row>
    <row r="142" spans="1:16" x14ac:dyDescent="0.25">
      <c r="K142" s="11"/>
      <c r="L142" s="11"/>
      <c r="M142" s="11"/>
      <c r="N142" s="11">
        <v>123</v>
      </c>
    </row>
    <row r="143" spans="1:16" x14ac:dyDescent="0.25">
      <c r="A143" t="s">
        <v>862</v>
      </c>
      <c r="B143">
        <v>10</v>
      </c>
      <c r="K143" s="11"/>
      <c r="L143" s="11">
        <v>11</v>
      </c>
      <c r="M143" s="11">
        <v>42</v>
      </c>
      <c r="N143" s="11">
        <v>124</v>
      </c>
      <c r="O143" s="4" t="s">
        <v>856</v>
      </c>
      <c r="P143" s="4">
        <v>10</v>
      </c>
    </row>
    <row r="144" spans="1:16" x14ac:dyDescent="0.25">
      <c r="A144">
        <v>3</v>
      </c>
      <c r="B144">
        <v>52</v>
      </c>
      <c r="C144">
        <v>300</v>
      </c>
      <c r="D144">
        <v>1230.5</v>
      </c>
      <c r="E144">
        <v>1550.5</v>
      </c>
      <c r="F144">
        <v>1850.5</v>
      </c>
      <c r="G144">
        <v>1850.5</v>
      </c>
      <c r="H144">
        <v>1850.5</v>
      </c>
      <c r="I144">
        <v>2550.5</v>
      </c>
      <c r="J144">
        <v>2550.5</v>
      </c>
      <c r="K144" s="11"/>
      <c r="L144" s="11"/>
      <c r="M144" s="11"/>
      <c r="N144" s="11">
        <v>126</v>
      </c>
    </row>
    <row r="145" spans="1:16" x14ac:dyDescent="0.25">
      <c r="K145" s="11"/>
      <c r="L145" s="11">
        <v>44</v>
      </c>
      <c r="M145" s="11">
        <v>43</v>
      </c>
      <c r="N145" s="11">
        <v>127</v>
      </c>
      <c r="O145" s="4" t="s">
        <v>857</v>
      </c>
      <c r="P145" s="4">
        <v>10</v>
      </c>
    </row>
    <row r="146" spans="1:16" x14ac:dyDescent="0.25">
      <c r="A146" t="s">
        <v>863</v>
      </c>
      <c r="B146">
        <v>10</v>
      </c>
      <c r="K146" s="11"/>
      <c r="L146" s="11"/>
      <c r="M146" s="11"/>
      <c r="N146" s="11">
        <v>129</v>
      </c>
    </row>
    <row r="147" spans="1:16" x14ac:dyDescent="0.25">
      <c r="A147">
        <v>3</v>
      </c>
      <c r="B147">
        <v>9</v>
      </c>
      <c r="C147">
        <v>10</v>
      </c>
      <c r="D147">
        <v>26</v>
      </c>
      <c r="E147">
        <v>40</v>
      </c>
      <c r="F147">
        <v>50</v>
      </c>
      <c r="G147">
        <v>50</v>
      </c>
      <c r="H147">
        <v>50</v>
      </c>
      <c r="I147">
        <v>150</v>
      </c>
      <c r="J147">
        <v>1500</v>
      </c>
      <c r="K147" s="11"/>
      <c r="L147" s="11">
        <v>45</v>
      </c>
      <c r="M147" s="11">
        <v>44</v>
      </c>
      <c r="N147" s="11">
        <v>130</v>
      </c>
      <c r="O147" s="4" t="s">
        <v>858</v>
      </c>
      <c r="P147" s="4">
        <v>10</v>
      </c>
    </row>
    <row r="148" spans="1:16" x14ac:dyDescent="0.25">
      <c r="K148" s="11"/>
      <c r="L148" s="11"/>
      <c r="M148" s="11"/>
      <c r="N148" s="11">
        <v>132</v>
      </c>
    </row>
    <row r="149" spans="1:16" x14ac:dyDescent="0.25">
      <c r="A149" t="s">
        <v>864</v>
      </c>
      <c r="B149">
        <v>10</v>
      </c>
      <c r="K149" s="11"/>
      <c r="L149" s="11">
        <v>13</v>
      </c>
      <c r="M149" s="11">
        <v>45</v>
      </c>
      <c r="N149" s="11">
        <v>133</v>
      </c>
      <c r="O149" s="4" t="s">
        <v>859</v>
      </c>
      <c r="P149" s="4">
        <v>10</v>
      </c>
    </row>
    <row r="150" spans="1:16" x14ac:dyDescent="0.25">
      <c r="A150">
        <v>3</v>
      </c>
      <c r="B150">
        <v>9</v>
      </c>
      <c r="C150">
        <v>10</v>
      </c>
      <c r="D150">
        <v>26</v>
      </c>
      <c r="E150">
        <v>40</v>
      </c>
      <c r="F150">
        <v>50</v>
      </c>
      <c r="G150">
        <v>50</v>
      </c>
      <c r="H150">
        <v>50</v>
      </c>
      <c r="I150">
        <v>150</v>
      </c>
      <c r="J150">
        <v>1500</v>
      </c>
      <c r="K150" s="11"/>
      <c r="L150" s="11"/>
      <c r="M150" s="11"/>
      <c r="N150" s="11">
        <v>135</v>
      </c>
    </row>
    <row r="151" spans="1:16" x14ac:dyDescent="0.25">
      <c r="K151" s="11"/>
      <c r="L151" s="11">
        <v>5</v>
      </c>
      <c r="M151" s="11">
        <v>46</v>
      </c>
      <c r="N151" s="11">
        <v>136</v>
      </c>
      <c r="O151" s="4" t="s">
        <v>860</v>
      </c>
      <c r="P151" s="4">
        <v>10</v>
      </c>
    </row>
    <row r="152" spans="1:16" x14ac:dyDescent="0.25">
      <c r="A152" t="s">
        <v>865</v>
      </c>
      <c r="B152">
        <v>10</v>
      </c>
      <c r="K152" s="11"/>
      <c r="L152" s="11"/>
      <c r="M152" s="11"/>
      <c r="N152" s="11">
        <v>138</v>
      </c>
    </row>
    <row r="153" spans="1:16" x14ac:dyDescent="0.25">
      <c r="A153">
        <v>3</v>
      </c>
      <c r="B153">
        <v>9</v>
      </c>
      <c r="C153">
        <v>10</v>
      </c>
      <c r="D153">
        <v>26</v>
      </c>
      <c r="E153">
        <v>40</v>
      </c>
      <c r="F153">
        <v>50</v>
      </c>
      <c r="G153">
        <v>50</v>
      </c>
      <c r="H153">
        <v>50</v>
      </c>
      <c r="I153">
        <v>150</v>
      </c>
      <c r="J153">
        <v>1500</v>
      </c>
      <c r="K153" s="11"/>
      <c r="L153" s="11">
        <v>32</v>
      </c>
      <c r="M153" s="11">
        <v>47</v>
      </c>
      <c r="N153" s="11">
        <v>139</v>
      </c>
      <c r="O153" s="4" t="s">
        <v>861</v>
      </c>
      <c r="P153" s="4">
        <v>10</v>
      </c>
    </row>
    <row r="154" spans="1:16" x14ac:dyDescent="0.25">
      <c r="K154" s="11"/>
      <c r="L154" s="11"/>
      <c r="M154" s="11"/>
      <c r="N154" s="11">
        <v>141</v>
      </c>
    </row>
    <row r="155" spans="1:16" x14ac:dyDescent="0.25">
      <c r="A155" t="s">
        <v>866</v>
      </c>
      <c r="B155">
        <v>10</v>
      </c>
      <c r="K155" s="11"/>
      <c r="L155" s="11">
        <v>33</v>
      </c>
      <c r="M155" s="11">
        <v>48</v>
      </c>
      <c r="N155" s="11">
        <v>142</v>
      </c>
      <c r="O155" s="4" t="s">
        <v>862</v>
      </c>
      <c r="P155" s="4">
        <v>10</v>
      </c>
    </row>
    <row r="156" spans="1:16" x14ac:dyDescent="0.25">
      <c r="A156">
        <v>200</v>
      </c>
      <c r="B156">
        <v>400</v>
      </c>
      <c r="C156">
        <v>500</v>
      </c>
      <c r="D156">
        <v>500</v>
      </c>
      <c r="E156">
        <v>500</v>
      </c>
      <c r="F156">
        <v>800</v>
      </c>
      <c r="G156">
        <v>800</v>
      </c>
      <c r="H156">
        <v>800</v>
      </c>
      <c r="I156">
        <v>800</v>
      </c>
      <c r="J156">
        <v>800</v>
      </c>
      <c r="K156" s="11"/>
      <c r="L156" s="11"/>
      <c r="M156" s="11"/>
      <c r="N156" s="11">
        <v>144</v>
      </c>
    </row>
    <row r="157" spans="1:16" x14ac:dyDescent="0.25">
      <c r="K157" s="11"/>
      <c r="L157" s="11">
        <v>57</v>
      </c>
      <c r="M157" s="11">
        <v>49</v>
      </c>
      <c r="N157" s="11">
        <v>145</v>
      </c>
      <c r="O157" s="4" t="s">
        <v>863</v>
      </c>
      <c r="P157" s="4">
        <v>10</v>
      </c>
    </row>
    <row r="158" spans="1:16" x14ac:dyDescent="0.25">
      <c r="A158" t="s">
        <v>867</v>
      </c>
      <c r="B158">
        <v>10</v>
      </c>
      <c r="K158" s="11"/>
      <c r="L158" s="11"/>
      <c r="M158" s="11"/>
      <c r="N158" s="11">
        <v>147</v>
      </c>
    </row>
    <row r="159" spans="1:16" x14ac:dyDescent="0.25">
      <c r="A159">
        <v>100</v>
      </c>
      <c r="B159">
        <v>500</v>
      </c>
      <c r="C159">
        <v>500</v>
      </c>
      <c r="D159">
        <v>500</v>
      </c>
      <c r="E159">
        <v>500</v>
      </c>
      <c r="F159">
        <v>500</v>
      </c>
      <c r="G159">
        <v>500</v>
      </c>
      <c r="H159">
        <v>500</v>
      </c>
      <c r="I159">
        <v>500</v>
      </c>
      <c r="J159">
        <v>500</v>
      </c>
      <c r="K159" s="11"/>
      <c r="L159" s="11">
        <v>23</v>
      </c>
      <c r="M159" s="11">
        <v>50</v>
      </c>
      <c r="N159" s="11">
        <v>148</v>
      </c>
      <c r="O159" s="4" t="s">
        <v>864</v>
      </c>
      <c r="P159" s="4">
        <v>10</v>
      </c>
    </row>
    <row r="160" spans="1:16" x14ac:dyDescent="0.25">
      <c r="K160" s="11"/>
      <c r="L160" s="11"/>
      <c r="M160" s="11"/>
      <c r="N160" s="11">
        <v>150</v>
      </c>
    </row>
    <row r="161" spans="1:16" x14ac:dyDescent="0.25">
      <c r="A161" t="s">
        <v>868</v>
      </c>
      <c r="B161">
        <v>10</v>
      </c>
      <c r="K161" s="11"/>
      <c r="L161" s="11">
        <v>43</v>
      </c>
      <c r="M161" s="11">
        <v>51</v>
      </c>
      <c r="N161" s="11">
        <v>151</v>
      </c>
      <c r="O161" s="4" t="s">
        <v>865</v>
      </c>
      <c r="P161" s="4">
        <v>10</v>
      </c>
    </row>
    <row r="162" spans="1:16" x14ac:dyDescent="0.25">
      <c r="A162">
        <v>10</v>
      </c>
      <c r="B162">
        <v>150</v>
      </c>
      <c r="C162">
        <v>100</v>
      </c>
      <c r="D162">
        <v>100</v>
      </c>
      <c r="E162">
        <v>100</v>
      </c>
      <c r="F162">
        <v>150</v>
      </c>
      <c r="G162">
        <v>205</v>
      </c>
      <c r="H162">
        <v>205</v>
      </c>
      <c r="I162">
        <v>205</v>
      </c>
      <c r="J162">
        <v>205</v>
      </c>
      <c r="K162" s="11"/>
      <c r="L162" s="11"/>
      <c r="M162" s="11"/>
      <c r="N162" s="11">
        <v>153</v>
      </c>
    </row>
    <row r="163" spans="1:16" x14ac:dyDescent="0.25">
      <c r="K163" s="11"/>
      <c r="L163" s="11">
        <v>39</v>
      </c>
      <c r="M163" s="11">
        <v>52</v>
      </c>
      <c r="N163" s="11">
        <v>154</v>
      </c>
      <c r="O163" s="4" t="s">
        <v>866</v>
      </c>
      <c r="P163" s="4">
        <v>10</v>
      </c>
    </row>
    <row r="164" spans="1:16" x14ac:dyDescent="0.25">
      <c r="A164" t="s">
        <v>869</v>
      </c>
      <c r="B164">
        <v>10</v>
      </c>
      <c r="K164" s="11"/>
      <c r="L164" s="11"/>
      <c r="M164" s="11"/>
      <c r="N164" s="11">
        <v>156</v>
      </c>
    </row>
    <row r="165" spans="1:16" x14ac:dyDescent="0.25">
      <c r="A165" s="6">
        <v>2000000</v>
      </c>
      <c r="B165">
        <v>3500000</v>
      </c>
      <c r="C165">
        <v>3500000</v>
      </c>
      <c r="D165">
        <v>3500000</v>
      </c>
      <c r="E165">
        <v>3500000</v>
      </c>
      <c r="F165">
        <v>3500000</v>
      </c>
      <c r="G165">
        <v>3500000</v>
      </c>
      <c r="H165">
        <v>3500000</v>
      </c>
      <c r="I165">
        <v>3500000</v>
      </c>
      <c r="J165">
        <v>3500000</v>
      </c>
      <c r="K165" s="11"/>
      <c r="L165" s="11">
        <v>29</v>
      </c>
      <c r="M165" s="11">
        <v>53</v>
      </c>
      <c r="N165" s="11">
        <v>157</v>
      </c>
      <c r="O165" s="4" t="s">
        <v>867</v>
      </c>
      <c r="P165" s="4">
        <v>10</v>
      </c>
    </row>
    <row r="166" spans="1:16" x14ac:dyDescent="0.25">
      <c r="K166" s="11"/>
      <c r="L166" s="11"/>
      <c r="M166" s="11"/>
      <c r="N166" s="11">
        <v>159</v>
      </c>
    </row>
    <row r="167" spans="1:16" x14ac:dyDescent="0.25">
      <c r="A167" t="s">
        <v>870</v>
      </c>
      <c r="B167">
        <v>10</v>
      </c>
      <c r="K167" s="11"/>
      <c r="L167" s="11">
        <v>35</v>
      </c>
      <c r="M167" s="11">
        <v>54</v>
      </c>
      <c r="N167" s="11">
        <v>160</v>
      </c>
      <c r="O167" s="4" t="s">
        <v>868</v>
      </c>
      <c r="P167" s="4">
        <v>10</v>
      </c>
    </row>
    <row r="168" spans="1:16" x14ac:dyDescent="0.25">
      <c r="A168" s="6">
        <v>2000000</v>
      </c>
      <c r="B168">
        <v>3500000</v>
      </c>
      <c r="C168">
        <v>3500000</v>
      </c>
      <c r="D168">
        <v>3500000</v>
      </c>
      <c r="E168">
        <v>3500000</v>
      </c>
      <c r="F168">
        <v>3500000</v>
      </c>
      <c r="G168">
        <v>3500000</v>
      </c>
      <c r="H168">
        <v>3500000</v>
      </c>
      <c r="I168">
        <v>3500000</v>
      </c>
      <c r="J168">
        <v>3500000</v>
      </c>
      <c r="K168" s="11"/>
      <c r="L168" s="11"/>
      <c r="M168" s="11"/>
      <c r="N168" s="11">
        <v>162</v>
      </c>
    </row>
    <row r="169" spans="1:16" x14ac:dyDescent="0.25">
      <c r="K169" s="11"/>
      <c r="L169" s="11">
        <v>37</v>
      </c>
      <c r="M169" s="11">
        <v>55</v>
      </c>
      <c r="N169" s="11">
        <v>163</v>
      </c>
      <c r="O169" s="4" t="s">
        <v>869</v>
      </c>
      <c r="P169" s="4">
        <v>10</v>
      </c>
    </row>
    <row r="170" spans="1:16" x14ac:dyDescent="0.25">
      <c r="A170" t="s">
        <v>871</v>
      </c>
      <c r="B170">
        <v>10</v>
      </c>
      <c r="K170" s="11"/>
      <c r="L170" s="11"/>
      <c r="M170" s="11"/>
      <c r="N170" s="11">
        <v>165</v>
      </c>
    </row>
    <row r="171" spans="1:16" x14ac:dyDescent="0.25">
      <c r="A171">
        <v>52000</v>
      </c>
      <c r="B171">
        <v>18000</v>
      </c>
      <c r="C171">
        <v>18000</v>
      </c>
      <c r="D171">
        <v>18000</v>
      </c>
      <c r="E171">
        <v>18000</v>
      </c>
      <c r="F171">
        <v>18000</v>
      </c>
      <c r="G171">
        <v>18000</v>
      </c>
      <c r="H171">
        <v>18000</v>
      </c>
      <c r="I171">
        <v>18000</v>
      </c>
      <c r="J171">
        <v>18000</v>
      </c>
      <c r="K171" s="11"/>
      <c r="L171" s="11">
        <v>9</v>
      </c>
      <c r="M171" s="11">
        <v>56</v>
      </c>
      <c r="N171" s="11">
        <v>166</v>
      </c>
      <c r="O171" s="4" t="s">
        <v>870</v>
      </c>
      <c r="P171" s="4">
        <v>10</v>
      </c>
    </row>
    <row r="172" spans="1:16" x14ac:dyDescent="0.25">
      <c r="K172" s="11"/>
      <c r="L172" s="11"/>
      <c r="M172" s="11"/>
      <c r="N172" s="11">
        <v>168</v>
      </c>
    </row>
    <row r="173" spans="1:16" x14ac:dyDescent="0.25">
      <c r="A173" t="s">
        <v>872</v>
      </c>
      <c r="B173">
        <v>10</v>
      </c>
      <c r="K173" s="11"/>
      <c r="L173" s="11">
        <v>48</v>
      </c>
      <c r="M173" s="11">
        <v>57</v>
      </c>
      <c r="N173" s="11">
        <v>169</v>
      </c>
      <c r="O173" s="4" t="s">
        <v>871</v>
      </c>
      <c r="P173" s="4">
        <v>10</v>
      </c>
    </row>
    <row r="174" spans="1:16" x14ac:dyDescent="0.25">
      <c r="A174">
        <v>52000</v>
      </c>
      <c r="B174">
        <v>18000</v>
      </c>
      <c r="C174">
        <v>18000</v>
      </c>
      <c r="D174">
        <v>18000</v>
      </c>
      <c r="E174">
        <v>18000</v>
      </c>
      <c r="F174">
        <v>18000</v>
      </c>
      <c r="G174">
        <v>18000</v>
      </c>
      <c r="H174">
        <v>18000</v>
      </c>
      <c r="I174">
        <v>18000</v>
      </c>
      <c r="J174">
        <v>18000</v>
      </c>
      <c r="K174" s="11"/>
      <c r="L174" s="11"/>
      <c r="M174" s="11"/>
      <c r="N174" s="11">
        <v>171</v>
      </c>
    </row>
    <row r="175" spans="1:16" x14ac:dyDescent="0.25">
      <c r="K175" s="11"/>
      <c r="L175" s="11">
        <v>51</v>
      </c>
      <c r="M175" s="11">
        <v>58</v>
      </c>
      <c r="N175" s="11">
        <v>172</v>
      </c>
      <c r="O175" s="4" t="s">
        <v>872</v>
      </c>
      <c r="P175" s="4">
        <v>10</v>
      </c>
    </row>
    <row r="176" spans="1:16" x14ac:dyDescent="0.25">
      <c r="A176" t="s">
        <v>873</v>
      </c>
      <c r="B176">
        <v>10</v>
      </c>
      <c r="K176" s="11"/>
      <c r="L176" s="11"/>
      <c r="M176" s="11"/>
      <c r="N176" s="11">
        <v>174</v>
      </c>
    </row>
    <row r="177" spans="1:16" x14ac:dyDescent="0.25">
      <c r="A177">
        <v>0.73001949300000002</v>
      </c>
      <c r="B177">
        <v>3.9027777779999999</v>
      </c>
      <c r="C177">
        <v>5.8809697859999996</v>
      </c>
      <c r="D177">
        <v>8.4127680310000006</v>
      </c>
      <c r="E177">
        <v>12.319200779999999</v>
      </c>
      <c r="F177">
        <v>18.033869396</v>
      </c>
      <c r="G177">
        <v>21.9</v>
      </c>
      <c r="H177">
        <v>20.949317739000001</v>
      </c>
      <c r="I177">
        <v>20.5</v>
      </c>
      <c r="J177">
        <v>20</v>
      </c>
      <c r="K177" s="11"/>
      <c r="L177" s="11">
        <v>22</v>
      </c>
      <c r="M177" s="11">
        <v>59</v>
      </c>
      <c r="N177" s="11">
        <v>175</v>
      </c>
      <c r="O177" s="4" t="s">
        <v>873</v>
      </c>
      <c r="P177" s="4">
        <v>10</v>
      </c>
    </row>
  </sheetData>
  <sortState ref="K2:X177">
    <sortCondition ref="K2:K177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G9" sqref="G9"/>
    </sheetView>
  </sheetViews>
  <sheetFormatPr defaultRowHeight="15" x14ac:dyDescent="0.25"/>
  <sheetData>
    <row r="1" spans="1:18" x14ac:dyDescent="0.25">
      <c r="A1" t="s">
        <v>976</v>
      </c>
      <c r="B1">
        <v>2375</v>
      </c>
    </row>
    <row r="2" spans="1:18" x14ac:dyDescent="0.25">
      <c r="A2" t="s">
        <v>977</v>
      </c>
      <c r="B2">
        <v>355</v>
      </c>
    </row>
    <row r="3" spans="1:18" x14ac:dyDescent="0.25">
      <c r="A3" t="s">
        <v>978</v>
      </c>
      <c r="B3">
        <v>2375</v>
      </c>
    </row>
    <row r="4" spans="1:18" x14ac:dyDescent="0.25">
      <c r="A4" t="s">
        <v>979</v>
      </c>
      <c r="B4">
        <v>355</v>
      </c>
    </row>
    <row r="5" spans="1:18" x14ac:dyDescent="0.25">
      <c r="A5" t="s">
        <v>980</v>
      </c>
      <c r="B5">
        <v>20263</v>
      </c>
    </row>
    <row r="6" spans="1:18" x14ac:dyDescent="0.25">
      <c r="A6" t="s">
        <v>981</v>
      </c>
      <c r="B6">
        <v>3290</v>
      </c>
    </row>
    <row r="7" spans="1:18" x14ac:dyDescent="0.25">
      <c r="A7" t="s">
        <v>982</v>
      </c>
      <c r="B7">
        <v>3290</v>
      </c>
    </row>
    <row r="8" spans="1:18" x14ac:dyDescent="0.25">
      <c r="A8" t="s">
        <v>983</v>
      </c>
      <c r="B8">
        <v>90</v>
      </c>
    </row>
    <row r="9" spans="1:18" x14ac:dyDescent="0.25">
      <c r="A9" t="s">
        <v>984</v>
      </c>
      <c r="B9">
        <v>10</v>
      </c>
    </row>
    <row r="10" spans="1:18" x14ac:dyDescent="0.25">
      <c r="A10" t="s">
        <v>985</v>
      </c>
      <c r="B10">
        <v>90</v>
      </c>
    </row>
    <row r="11" spans="1:18" x14ac:dyDescent="0.25">
      <c r="A11" t="s">
        <v>986</v>
      </c>
      <c r="B11">
        <v>10</v>
      </c>
    </row>
    <row r="12" spans="1:18" x14ac:dyDescent="0.25">
      <c r="A12" t="s">
        <v>987</v>
      </c>
      <c r="B12">
        <v>2375</v>
      </c>
    </row>
    <row r="14" spans="1:18" x14ac:dyDescent="0.25">
      <c r="A14" t="s">
        <v>988</v>
      </c>
      <c r="B14" t="s">
        <v>989</v>
      </c>
      <c r="C14" t="s">
        <v>990</v>
      </c>
      <c r="D14" t="s">
        <v>991</v>
      </c>
      <c r="E14" t="s">
        <v>992</v>
      </c>
      <c r="F14" t="s">
        <v>993</v>
      </c>
      <c r="G14" t="s">
        <v>994</v>
      </c>
      <c r="H14" t="s">
        <v>995</v>
      </c>
      <c r="I14" t="s">
        <v>996</v>
      </c>
      <c r="J14" t="s">
        <v>997</v>
      </c>
      <c r="K14" t="s">
        <v>998</v>
      </c>
      <c r="L14" t="s">
        <v>999</v>
      </c>
      <c r="M14" t="s">
        <v>1000</v>
      </c>
      <c r="N14" t="s">
        <v>1001</v>
      </c>
      <c r="O14" t="s">
        <v>1002</v>
      </c>
      <c r="P14" t="s">
        <v>1003</v>
      </c>
      <c r="Q14" t="s">
        <v>995</v>
      </c>
      <c r="R14" t="s">
        <v>1004</v>
      </c>
    </row>
    <row r="15" spans="1:18" x14ac:dyDescent="0.25">
      <c r="A15" t="s">
        <v>1005</v>
      </c>
      <c r="B15">
        <v>1</v>
      </c>
      <c r="C15" t="s">
        <v>1006</v>
      </c>
      <c r="D15" t="s">
        <v>1007</v>
      </c>
      <c r="E15" t="s">
        <v>992</v>
      </c>
      <c r="F15" t="s">
        <v>1008</v>
      </c>
      <c r="G15" t="s">
        <v>1009</v>
      </c>
      <c r="H15" t="s">
        <v>1010</v>
      </c>
      <c r="I15" t="s">
        <v>1011</v>
      </c>
      <c r="J15" t="s">
        <v>1012</v>
      </c>
      <c r="K15" t="s">
        <v>1013</v>
      </c>
      <c r="L15" t="s">
        <v>1014</v>
      </c>
      <c r="M15" t="s">
        <v>1015</v>
      </c>
      <c r="N15" t="s">
        <v>1016</v>
      </c>
      <c r="O15" t="s">
        <v>1017</v>
      </c>
    </row>
    <row r="16" spans="1:18" x14ac:dyDescent="0.25">
      <c r="A16" t="s">
        <v>1018</v>
      </c>
      <c r="B16">
        <v>1</v>
      </c>
      <c r="C16" t="s">
        <v>1006</v>
      </c>
      <c r="D16" t="s">
        <v>1007</v>
      </c>
      <c r="E16" t="s">
        <v>992</v>
      </c>
      <c r="F16" t="s">
        <v>1019</v>
      </c>
      <c r="G16" t="s">
        <v>1010</v>
      </c>
      <c r="H16" t="s">
        <v>1011</v>
      </c>
      <c r="I16" t="s">
        <v>1012</v>
      </c>
      <c r="J16" t="s">
        <v>1013</v>
      </c>
      <c r="K16" t="s">
        <v>1014</v>
      </c>
      <c r="L16" t="s">
        <v>1015</v>
      </c>
      <c r="M16" t="s">
        <v>1016</v>
      </c>
      <c r="N16" t="s">
        <v>1017</v>
      </c>
    </row>
    <row r="17" spans="1:16" x14ac:dyDescent="0.25">
      <c r="A17" t="s">
        <v>1020</v>
      </c>
      <c r="B17">
        <v>1</v>
      </c>
      <c r="C17" t="s">
        <v>1006</v>
      </c>
      <c r="D17" t="s">
        <v>1007</v>
      </c>
      <c r="E17" t="s">
        <v>992</v>
      </c>
      <c r="F17" t="s">
        <v>1021</v>
      </c>
      <c r="G17" t="s">
        <v>1009</v>
      </c>
      <c r="H17" t="s">
        <v>1010</v>
      </c>
      <c r="I17" t="s">
        <v>1011</v>
      </c>
      <c r="J17" t="s">
        <v>1012</v>
      </c>
      <c r="K17" t="s">
        <v>1013</v>
      </c>
      <c r="L17" t="s">
        <v>1014</v>
      </c>
      <c r="M17" t="s">
        <v>1015</v>
      </c>
      <c r="N17" t="s">
        <v>1016</v>
      </c>
      <c r="O17" t="s">
        <v>1017</v>
      </c>
    </row>
    <row r="18" spans="1:16" x14ac:dyDescent="0.25">
      <c r="A18" t="s">
        <v>1022</v>
      </c>
      <c r="B18">
        <v>1</v>
      </c>
      <c r="C18" t="s">
        <v>1006</v>
      </c>
      <c r="D18" t="s">
        <v>1007</v>
      </c>
      <c r="E18" t="s">
        <v>992</v>
      </c>
      <c r="F18" t="s">
        <v>1023</v>
      </c>
      <c r="G18" t="s">
        <v>1010</v>
      </c>
      <c r="H18" t="s">
        <v>1011</v>
      </c>
      <c r="I18" t="s">
        <v>1012</v>
      </c>
      <c r="J18" t="s">
        <v>1013</v>
      </c>
      <c r="K18" t="s">
        <v>1014</v>
      </c>
      <c r="L18" t="s">
        <v>1015</v>
      </c>
      <c r="M18" t="s">
        <v>1016</v>
      </c>
      <c r="N18" t="s">
        <v>1017</v>
      </c>
    </row>
    <row r="19" spans="1:16" x14ac:dyDescent="0.25">
      <c r="A19" t="s">
        <v>1024</v>
      </c>
      <c r="B19">
        <v>90</v>
      </c>
      <c r="C19" t="s">
        <v>1006</v>
      </c>
      <c r="D19" t="s">
        <v>1007</v>
      </c>
      <c r="E19" t="s">
        <v>992</v>
      </c>
      <c r="F19" t="s">
        <v>1025</v>
      </c>
      <c r="G19" t="s">
        <v>1026</v>
      </c>
      <c r="H19" t="s">
        <v>1027</v>
      </c>
      <c r="I19" t="s">
        <v>1010</v>
      </c>
      <c r="J19" t="s">
        <v>1011</v>
      </c>
      <c r="K19" t="s">
        <v>1012</v>
      </c>
      <c r="L19" t="s">
        <v>1013</v>
      </c>
      <c r="M19" t="s">
        <v>1014</v>
      </c>
      <c r="N19" t="s">
        <v>1015</v>
      </c>
      <c r="O19" t="s">
        <v>1016</v>
      </c>
      <c r="P19" t="s">
        <v>1017</v>
      </c>
    </row>
    <row r="20" spans="1:16" x14ac:dyDescent="0.25">
      <c r="A20" t="s">
        <v>1028</v>
      </c>
      <c r="B20">
        <v>50</v>
      </c>
      <c r="C20" t="s">
        <v>1006</v>
      </c>
      <c r="D20" t="s">
        <v>1007</v>
      </c>
      <c r="E20" t="s">
        <v>992</v>
      </c>
      <c r="F20" t="s">
        <v>1029</v>
      </c>
      <c r="G20" t="s">
        <v>1030</v>
      </c>
      <c r="H20" t="s">
        <v>1010</v>
      </c>
      <c r="I20" t="s">
        <v>1011</v>
      </c>
      <c r="J20" t="s">
        <v>1012</v>
      </c>
      <c r="K20" t="s">
        <v>1013</v>
      </c>
      <c r="L20" t="s">
        <v>1014</v>
      </c>
      <c r="M20" t="s">
        <v>1015</v>
      </c>
      <c r="N20" t="s">
        <v>1016</v>
      </c>
      <c r="O20" t="s">
        <v>1017</v>
      </c>
    </row>
    <row r="21" spans="1:16" x14ac:dyDescent="0.25">
      <c r="A21" t="s">
        <v>1031</v>
      </c>
      <c r="B21">
        <v>1</v>
      </c>
      <c r="C21" t="s">
        <v>1006</v>
      </c>
      <c r="D21" t="s">
        <v>1007</v>
      </c>
      <c r="E21" t="s">
        <v>992</v>
      </c>
      <c r="F21" t="s">
        <v>1032</v>
      </c>
      <c r="G21" t="s">
        <v>1010</v>
      </c>
      <c r="H21" t="s">
        <v>1011</v>
      </c>
      <c r="I21" t="s">
        <v>1012</v>
      </c>
      <c r="J21" t="s">
        <v>1013</v>
      </c>
      <c r="K21" t="s">
        <v>1014</v>
      </c>
      <c r="L21" t="s">
        <v>1015</v>
      </c>
      <c r="M21" t="s">
        <v>1016</v>
      </c>
      <c r="N21" t="s">
        <v>1017</v>
      </c>
    </row>
    <row r="22" spans="1:16" x14ac:dyDescent="0.25">
      <c r="A22" t="s">
        <v>1033</v>
      </c>
      <c r="B22">
        <v>10</v>
      </c>
      <c r="C22" t="s">
        <v>1006</v>
      </c>
      <c r="D22" t="s">
        <v>1007</v>
      </c>
      <c r="E22" t="s">
        <v>992</v>
      </c>
      <c r="F22" t="s">
        <v>1034</v>
      </c>
      <c r="G22" t="s">
        <v>1027</v>
      </c>
      <c r="H22" t="s">
        <v>1010</v>
      </c>
      <c r="I22" t="s">
        <v>1011</v>
      </c>
      <c r="J22" t="s">
        <v>1012</v>
      </c>
      <c r="K22" t="s">
        <v>1013</v>
      </c>
      <c r="L22" t="s">
        <v>1014</v>
      </c>
      <c r="M22" t="s">
        <v>1015</v>
      </c>
      <c r="N22" t="s">
        <v>1016</v>
      </c>
      <c r="O22" t="s">
        <v>1017</v>
      </c>
    </row>
    <row r="23" spans="1:16" x14ac:dyDescent="0.25">
      <c r="A23" t="s">
        <v>1035</v>
      </c>
      <c r="B23">
        <v>5</v>
      </c>
      <c r="C23" t="s">
        <v>1006</v>
      </c>
      <c r="D23" t="s">
        <v>1007</v>
      </c>
      <c r="E23" t="s">
        <v>992</v>
      </c>
      <c r="F23" t="s">
        <v>1029</v>
      </c>
      <c r="G23" t="s">
        <v>1036</v>
      </c>
      <c r="H23" t="s">
        <v>1010</v>
      </c>
      <c r="I23" t="s">
        <v>1011</v>
      </c>
      <c r="J23" t="s">
        <v>1012</v>
      </c>
      <c r="K23" t="s">
        <v>1013</v>
      </c>
      <c r="L23" t="s">
        <v>1014</v>
      </c>
      <c r="M23" t="s">
        <v>1015</v>
      </c>
      <c r="N23" t="s">
        <v>1016</v>
      </c>
      <c r="O23" t="s">
        <v>1017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7"/>
  <sheetViews>
    <sheetView topLeftCell="D1" workbookViewId="0">
      <selection activeCell="Y17" sqref="Y17"/>
    </sheetView>
  </sheetViews>
  <sheetFormatPr defaultRowHeight="15" x14ac:dyDescent="0.25"/>
  <cols>
    <col min="11" max="11" width="13.28515625" style="4" bestFit="1" customWidth="1"/>
    <col min="12" max="12" width="13.28515625" bestFit="1" customWidth="1"/>
    <col min="13" max="13" width="10.7109375" bestFit="1" customWidth="1"/>
    <col min="14" max="14" width="16.42578125" bestFit="1" customWidth="1"/>
    <col min="15" max="24" width="10.5703125" style="4" bestFit="1" customWidth="1"/>
    <col min="25" max="25" width="9.140625" style="4"/>
  </cols>
  <sheetData>
    <row r="1" spans="1:26" s="4" customFormat="1" x14ac:dyDescent="0.25">
      <c r="A1" s="13" t="s">
        <v>936</v>
      </c>
      <c r="K1" s="12" t="s">
        <v>939</v>
      </c>
      <c r="L1" s="12" t="s">
        <v>940</v>
      </c>
      <c r="M1" s="12" t="s">
        <v>933</v>
      </c>
      <c r="N1" s="12" t="s">
        <v>935</v>
      </c>
      <c r="O1" s="12" t="s">
        <v>937</v>
      </c>
    </row>
    <row r="2" spans="1:26" x14ac:dyDescent="0.25">
      <c r="A2" t="s">
        <v>874</v>
      </c>
      <c r="B2">
        <v>10</v>
      </c>
      <c r="K2" s="11">
        <v>1</v>
      </c>
      <c r="L2" s="11">
        <v>1</v>
      </c>
      <c r="M2" s="11">
        <v>18</v>
      </c>
      <c r="N2" s="11">
        <v>53</v>
      </c>
      <c r="O2" s="14">
        <v>5.3</v>
      </c>
      <c r="P2" s="14">
        <v>10.6</v>
      </c>
      <c r="Q2" s="14">
        <v>16.600000000000001</v>
      </c>
      <c r="R2" s="14">
        <v>25.7</v>
      </c>
      <c r="S2" s="14">
        <v>25.7</v>
      </c>
      <c r="T2" s="14">
        <v>25.8</v>
      </c>
      <c r="U2" s="14">
        <v>25.8</v>
      </c>
      <c r="V2" s="14">
        <v>25.8</v>
      </c>
      <c r="W2" s="14">
        <v>25.8</v>
      </c>
      <c r="X2" s="14">
        <v>25.8</v>
      </c>
      <c r="Z2" s="4"/>
    </row>
    <row r="3" spans="1:26" x14ac:dyDescent="0.25">
      <c r="A3">
        <v>1</v>
      </c>
      <c r="B3">
        <v>1.5</v>
      </c>
      <c r="C3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 s="11">
        <v>2</v>
      </c>
      <c r="L3" s="11">
        <v>2</v>
      </c>
      <c r="M3" s="11">
        <v>13</v>
      </c>
      <c r="N3" s="11">
        <v>38</v>
      </c>
      <c r="O3" s="14">
        <v>380</v>
      </c>
      <c r="P3" s="14">
        <v>17000</v>
      </c>
      <c r="Q3" s="14">
        <v>28500</v>
      </c>
      <c r="R3" s="14">
        <v>43000</v>
      </c>
      <c r="S3" s="14">
        <v>44000</v>
      </c>
      <c r="T3" s="14">
        <v>44000</v>
      </c>
      <c r="U3" s="14">
        <v>44000</v>
      </c>
      <c r="V3" s="14">
        <v>44000</v>
      </c>
      <c r="W3" s="14">
        <v>44000</v>
      </c>
      <c r="X3" s="14">
        <v>44000</v>
      </c>
    </row>
    <row r="4" spans="1:26" x14ac:dyDescent="0.25">
      <c r="K4" s="11">
        <v>3</v>
      </c>
      <c r="L4" s="11">
        <v>3</v>
      </c>
      <c r="M4" s="11">
        <v>15</v>
      </c>
      <c r="N4" s="11">
        <v>44</v>
      </c>
      <c r="O4" s="14">
        <v>380</v>
      </c>
      <c r="P4" s="14">
        <v>17000</v>
      </c>
      <c r="Q4" s="14">
        <v>28500</v>
      </c>
      <c r="R4" s="14">
        <v>43000</v>
      </c>
      <c r="S4" s="14">
        <v>44000</v>
      </c>
      <c r="T4" s="14">
        <v>44000</v>
      </c>
      <c r="U4" s="14">
        <v>44000</v>
      </c>
      <c r="V4" s="14">
        <v>44000</v>
      </c>
      <c r="W4" s="14">
        <v>44000</v>
      </c>
      <c r="X4" s="14">
        <v>44000</v>
      </c>
      <c r="Z4" s="4"/>
    </row>
    <row r="5" spans="1:26" x14ac:dyDescent="0.25">
      <c r="A5" t="s">
        <v>875</v>
      </c>
      <c r="B5">
        <v>10</v>
      </c>
      <c r="K5" s="11">
        <v>4</v>
      </c>
      <c r="L5" s="11">
        <v>4</v>
      </c>
      <c r="M5" s="11">
        <v>4</v>
      </c>
      <c r="N5" s="11">
        <v>11</v>
      </c>
      <c r="O5" s="14">
        <v>30</v>
      </c>
      <c r="P5" s="14">
        <v>60</v>
      </c>
      <c r="Q5" s="14">
        <v>105</v>
      </c>
      <c r="R5" s="14">
        <v>180</v>
      </c>
      <c r="S5" s="14">
        <v>250</v>
      </c>
      <c r="T5" s="14">
        <v>250</v>
      </c>
      <c r="U5" s="14">
        <v>815</v>
      </c>
      <c r="V5" s="14">
        <v>815</v>
      </c>
      <c r="W5" s="14">
        <v>815</v>
      </c>
      <c r="X5" s="14">
        <v>815</v>
      </c>
    </row>
    <row r="6" spans="1:26" x14ac:dyDescent="0.25">
      <c r="A6">
        <v>1.5</v>
      </c>
      <c r="B6">
        <v>4</v>
      </c>
      <c r="C6">
        <v>12</v>
      </c>
      <c r="D6">
        <v>15</v>
      </c>
      <c r="E6">
        <v>15</v>
      </c>
      <c r="F6">
        <v>17</v>
      </c>
      <c r="G6">
        <v>17</v>
      </c>
      <c r="H6">
        <v>17</v>
      </c>
      <c r="I6">
        <v>17</v>
      </c>
      <c r="J6">
        <v>17</v>
      </c>
      <c r="K6" s="11">
        <v>5</v>
      </c>
      <c r="L6" s="11">
        <v>5</v>
      </c>
      <c r="M6" s="11">
        <v>46</v>
      </c>
      <c r="N6" s="11">
        <v>137</v>
      </c>
      <c r="O6" s="14">
        <v>30</v>
      </c>
      <c r="P6" s="14">
        <v>150</v>
      </c>
      <c r="Q6" s="14">
        <v>350</v>
      </c>
      <c r="R6" s="14">
        <v>850</v>
      </c>
      <c r="S6" s="14">
        <v>1450</v>
      </c>
      <c r="T6" s="14">
        <v>1450</v>
      </c>
      <c r="U6" s="14">
        <v>1850</v>
      </c>
      <c r="V6" s="14">
        <v>1850</v>
      </c>
      <c r="W6" s="14">
        <v>1850</v>
      </c>
      <c r="X6" s="14">
        <v>1850</v>
      </c>
      <c r="Z6" s="4"/>
    </row>
    <row r="7" spans="1:26" x14ac:dyDescent="0.25">
      <c r="K7" s="11">
        <v>6</v>
      </c>
      <c r="L7" s="11">
        <v>6</v>
      </c>
      <c r="M7" s="11">
        <v>19</v>
      </c>
      <c r="N7" s="11">
        <v>56</v>
      </c>
      <c r="O7" s="14">
        <v>5.3</v>
      </c>
      <c r="P7" s="14">
        <v>10.6</v>
      </c>
      <c r="Q7" s="14">
        <v>16.600000000000001</v>
      </c>
      <c r="R7" s="14">
        <v>25.7</v>
      </c>
      <c r="S7" s="14">
        <v>25.7</v>
      </c>
      <c r="T7" s="14">
        <v>25.8</v>
      </c>
      <c r="U7" s="14">
        <v>25.8</v>
      </c>
      <c r="V7" s="14">
        <v>25.8</v>
      </c>
      <c r="W7" s="14">
        <v>25.8</v>
      </c>
      <c r="X7" s="14">
        <v>25.8</v>
      </c>
    </row>
    <row r="8" spans="1:26" x14ac:dyDescent="0.25">
      <c r="A8" t="s">
        <v>876</v>
      </c>
      <c r="B8">
        <v>10</v>
      </c>
      <c r="K8" s="11">
        <v>7</v>
      </c>
      <c r="L8" s="11">
        <v>7</v>
      </c>
      <c r="M8" s="11">
        <v>28</v>
      </c>
      <c r="N8" s="11">
        <v>83</v>
      </c>
      <c r="O8" s="14">
        <v>1</v>
      </c>
      <c r="P8" s="14">
        <v>5</v>
      </c>
      <c r="Q8" s="14">
        <v>15</v>
      </c>
      <c r="R8" s="14">
        <v>25</v>
      </c>
      <c r="S8" s="14">
        <v>45</v>
      </c>
      <c r="T8" s="14">
        <v>45</v>
      </c>
      <c r="U8" s="14">
        <v>45</v>
      </c>
      <c r="V8" s="14">
        <v>45</v>
      </c>
      <c r="W8" s="14">
        <v>50</v>
      </c>
      <c r="X8" s="14">
        <v>50</v>
      </c>
      <c r="Z8" s="4"/>
    </row>
    <row r="9" spans="1:26" x14ac:dyDescent="0.25">
      <c r="A9">
        <v>1</v>
      </c>
      <c r="B9">
        <v>5</v>
      </c>
      <c r="C9">
        <v>15</v>
      </c>
      <c r="D9">
        <v>25</v>
      </c>
      <c r="E9">
        <v>45</v>
      </c>
      <c r="F9">
        <v>45</v>
      </c>
      <c r="G9">
        <v>45</v>
      </c>
      <c r="H9">
        <v>45</v>
      </c>
      <c r="I9">
        <v>50</v>
      </c>
      <c r="J9">
        <v>50</v>
      </c>
      <c r="K9" s="11">
        <v>8</v>
      </c>
      <c r="L9" s="11">
        <v>8</v>
      </c>
      <c r="M9" s="11">
        <v>17</v>
      </c>
      <c r="N9" s="11">
        <v>50</v>
      </c>
      <c r="O9" s="14">
        <v>5.3</v>
      </c>
      <c r="P9" s="14">
        <v>10.6</v>
      </c>
      <c r="Q9" s="14">
        <v>16.600000000000001</v>
      </c>
      <c r="R9" s="14">
        <v>25.7</v>
      </c>
      <c r="S9" s="14">
        <v>25.7</v>
      </c>
      <c r="T9" s="14">
        <v>25.8</v>
      </c>
      <c r="U9" s="14">
        <v>25.8</v>
      </c>
      <c r="V9" s="14">
        <v>25.8</v>
      </c>
      <c r="W9" s="14">
        <v>25.8</v>
      </c>
      <c r="X9" s="14">
        <v>25.8</v>
      </c>
    </row>
    <row r="10" spans="1:26" x14ac:dyDescent="0.25">
      <c r="K10" s="11">
        <v>9</v>
      </c>
      <c r="L10" s="11">
        <v>9</v>
      </c>
      <c r="M10" s="11">
        <v>56</v>
      </c>
      <c r="N10" s="11">
        <v>167</v>
      </c>
      <c r="O10" s="14">
        <v>15000000</v>
      </c>
      <c r="P10" s="14">
        <v>15000000</v>
      </c>
      <c r="Q10" s="14">
        <v>15000000</v>
      </c>
      <c r="R10" s="14">
        <v>15000000</v>
      </c>
      <c r="S10" s="14">
        <v>15000000</v>
      </c>
      <c r="T10" s="14">
        <v>15000000</v>
      </c>
      <c r="U10" s="14">
        <v>15000000</v>
      </c>
      <c r="V10" s="14">
        <v>15000000</v>
      </c>
      <c r="W10" s="14">
        <v>15000000</v>
      </c>
      <c r="X10" s="14">
        <v>15000000</v>
      </c>
      <c r="Z10" s="4"/>
    </row>
    <row r="11" spans="1:26" x14ac:dyDescent="0.25">
      <c r="A11" t="s">
        <v>877</v>
      </c>
      <c r="B11">
        <v>10</v>
      </c>
      <c r="K11" s="11">
        <v>10</v>
      </c>
      <c r="L11" s="11">
        <v>10</v>
      </c>
      <c r="M11" s="11">
        <v>23</v>
      </c>
      <c r="N11" s="11">
        <v>68</v>
      </c>
      <c r="O11" s="14">
        <v>50</v>
      </c>
      <c r="P11" s="14">
        <v>250</v>
      </c>
      <c r="Q11" s="14">
        <v>850</v>
      </c>
      <c r="R11" s="14">
        <v>1500</v>
      </c>
      <c r="S11" s="14">
        <v>1800</v>
      </c>
      <c r="T11" s="14">
        <v>2100</v>
      </c>
      <c r="U11" s="14">
        <v>2100</v>
      </c>
      <c r="V11" s="14">
        <v>2500</v>
      </c>
      <c r="W11" s="14">
        <v>2600</v>
      </c>
      <c r="X11" s="14">
        <v>2600</v>
      </c>
    </row>
    <row r="12" spans="1:26" x14ac:dyDescent="0.25">
      <c r="A12">
        <v>30</v>
      </c>
      <c r="B12">
        <v>60</v>
      </c>
      <c r="C12">
        <v>105</v>
      </c>
      <c r="D12">
        <v>180</v>
      </c>
      <c r="E12">
        <v>250</v>
      </c>
      <c r="F12">
        <v>250</v>
      </c>
      <c r="G12">
        <v>815</v>
      </c>
      <c r="H12">
        <v>815</v>
      </c>
      <c r="I12">
        <v>815</v>
      </c>
      <c r="J12">
        <v>815</v>
      </c>
      <c r="K12" s="11">
        <v>11</v>
      </c>
      <c r="L12" s="11">
        <v>11</v>
      </c>
      <c r="M12" s="11">
        <v>42</v>
      </c>
      <c r="N12" s="11">
        <v>125</v>
      </c>
      <c r="O12" s="14">
        <v>5</v>
      </c>
      <c r="P12" s="14">
        <v>7.5</v>
      </c>
      <c r="Q12" s="14">
        <v>20</v>
      </c>
      <c r="R12" s="14">
        <v>45</v>
      </c>
      <c r="S12" s="14">
        <v>50</v>
      </c>
      <c r="T12" s="14">
        <v>80</v>
      </c>
      <c r="U12" s="14">
        <v>130</v>
      </c>
      <c r="V12" s="14">
        <v>180</v>
      </c>
      <c r="W12" s="14">
        <v>210</v>
      </c>
      <c r="X12" s="14">
        <v>210</v>
      </c>
      <c r="Z12" s="4"/>
    </row>
    <row r="13" spans="1:26" x14ac:dyDescent="0.25">
      <c r="K13" s="11">
        <v>12</v>
      </c>
      <c r="L13" s="11">
        <v>12</v>
      </c>
      <c r="M13" s="11">
        <v>34</v>
      </c>
      <c r="N13" s="11">
        <v>101</v>
      </c>
      <c r="O13" s="14">
        <v>1</v>
      </c>
      <c r="P13" s="14">
        <v>5</v>
      </c>
      <c r="Q13" s="14">
        <v>15</v>
      </c>
      <c r="R13" s="14">
        <v>25</v>
      </c>
      <c r="S13" s="14">
        <v>45</v>
      </c>
      <c r="T13" s="14">
        <v>45</v>
      </c>
      <c r="U13" s="14">
        <v>45</v>
      </c>
      <c r="V13" s="14">
        <v>45</v>
      </c>
      <c r="W13" s="14">
        <v>50</v>
      </c>
      <c r="X13" s="14">
        <v>50</v>
      </c>
    </row>
    <row r="14" spans="1:26" x14ac:dyDescent="0.25">
      <c r="A14" t="s">
        <v>878</v>
      </c>
      <c r="B14">
        <v>10</v>
      </c>
      <c r="K14" s="11">
        <v>13</v>
      </c>
      <c r="L14" s="11">
        <v>13</v>
      </c>
      <c r="M14" s="11">
        <v>45</v>
      </c>
      <c r="N14" s="11">
        <v>134</v>
      </c>
      <c r="O14" s="14">
        <v>5</v>
      </c>
      <c r="P14" s="14">
        <v>20</v>
      </c>
      <c r="Q14" s="14">
        <v>40</v>
      </c>
      <c r="R14" s="14">
        <v>50</v>
      </c>
      <c r="S14" s="14">
        <v>50</v>
      </c>
      <c r="T14" s="14">
        <v>70</v>
      </c>
      <c r="U14" s="14">
        <v>70</v>
      </c>
      <c r="V14" s="14">
        <v>70</v>
      </c>
      <c r="W14" s="14">
        <v>100</v>
      </c>
      <c r="X14" s="14">
        <v>100</v>
      </c>
      <c r="Z14" s="4"/>
    </row>
    <row r="15" spans="1:26" x14ac:dyDescent="0.25">
      <c r="A15">
        <v>1</v>
      </c>
      <c r="B15">
        <v>1.8</v>
      </c>
      <c r="C15">
        <v>5</v>
      </c>
      <c r="D15">
        <v>10.5</v>
      </c>
      <c r="E15">
        <v>25.5</v>
      </c>
      <c r="F15">
        <v>25.5</v>
      </c>
      <c r="G15">
        <v>25.5</v>
      </c>
      <c r="H15">
        <v>25.5</v>
      </c>
      <c r="I15">
        <v>25.5</v>
      </c>
      <c r="J15">
        <v>28</v>
      </c>
      <c r="K15" s="11">
        <v>14</v>
      </c>
      <c r="L15" s="11">
        <v>14</v>
      </c>
      <c r="M15" s="11">
        <v>22</v>
      </c>
      <c r="N15" s="11">
        <v>65</v>
      </c>
      <c r="O15" s="14">
        <v>2.5</v>
      </c>
      <c r="P15" s="14">
        <v>7.5</v>
      </c>
      <c r="Q15" s="14">
        <v>12</v>
      </c>
      <c r="R15" s="14">
        <v>20.8</v>
      </c>
      <c r="S15" s="14">
        <v>28.8</v>
      </c>
      <c r="T15" s="14">
        <v>28.8</v>
      </c>
      <c r="U15" s="14">
        <v>30.8</v>
      </c>
      <c r="V15" s="14">
        <v>30.8</v>
      </c>
      <c r="W15" s="14">
        <v>35</v>
      </c>
      <c r="X15" s="14">
        <v>35</v>
      </c>
    </row>
    <row r="16" spans="1:26" x14ac:dyDescent="0.25">
      <c r="K16" s="11">
        <v>15</v>
      </c>
      <c r="L16" s="11">
        <v>15</v>
      </c>
      <c r="M16" s="11">
        <v>39</v>
      </c>
      <c r="N16" s="11">
        <v>116</v>
      </c>
      <c r="O16" s="14">
        <v>1</v>
      </c>
      <c r="P16" s="14">
        <v>5</v>
      </c>
      <c r="Q16" s="14">
        <v>15</v>
      </c>
      <c r="R16" s="14">
        <v>25</v>
      </c>
      <c r="S16" s="14">
        <v>45</v>
      </c>
      <c r="T16" s="14">
        <v>45</v>
      </c>
      <c r="U16" s="14">
        <v>45</v>
      </c>
      <c r="V16" s="14">
        <v>45</v>
      </c>
      <c r="W16" s="14">
        <v>50</v>
      </c>
      <c r="X16" s="14">
        <v>50</v>
      </c>
      <c r="Z16" s="4"/>
    </row>
    <row r="17" spans="1:26" x14ac:dyDescent="0.25">
      <c r="A17" t="s">
        <v>879</v>
      </c>
      <c r="B17">
        <v>10</v>
      </c>
      <c r="K17" s="11">
        <v>16</v>
      </c>
      <c r="L17" s="11">
        <v>16</v>
      </c>
      <c r="M17" s="11">
        <v>12</v>
      </c>
      <c r="N17" s="11">
        <v>35</v>
      </c>
      <c r="O17" s="14">
        <v>1</v>
      </c>
      <c r="P17" s="14">
        <v>1.8</v>
      </c>
      <c r="Q17" s="14">
        <v>5</v>
      </c>
      <c r="R17" s="14">
        <v>10.5</v>
      </c>
      <c r="S17" s="14">
        <v>25.5</v>
      </c>
      <c r="T17" s="14">
        <v>25.5</v>
      </c>
      <c r="U17" s="14">
        <v>25.5</v>
      </c>
      <c r="V17" s="14">
        <v>25.5</v>
      </c>
      <c r="W17" s="14">
        <v>25.5</v>
      </c>
      <c r="X17" s="14">
        <v>28</v>
      </c>
    </row>
    <row r="18" spans="1:26" x14ac:dyDescent="0.25">
      <c r="A18">
        <v>1</v>
      </c>
      <c r="B18">
        <v>1.8</v>
      </c>
      <c r="C18">
        <v>5</v>
      </c>
      <c r="D18">
        <v>10.5</v>
      </c>
      <c r="E18">
        <v>25.5</v>
      </c>
      <c r="F18">
        <v>25.5</v>
      </c>
      <c r="G18">
        <v>25.5</v>
      </c>
      <c r="H18">
        <v>25.5</v>
      </c>
      <c r="I18">
        <v>25.5</v>
      </c>
      <c r="J18">
        <v>28</v>
      </c>
      <c r="K18" s="11">
        <v>17</v>
      </c>
      <c r="L18" s="11">
        <v>17</v>
      </c>
      <c r="M18" s="11">
        <v>11</v>
      </c>
      <c r="N18" s="11">
        <v>32</v>
      </c>
      <c r="O18" s="14">
        <v>1</v>
      </c>
      <c r="P18" s="14">
        <v>1.8</v>
      </c>
      <c r="Q18" s="14">
        <v>5</v>
      </c>
      <c r="R18" s="14">
        <v>10.5</v>
      </c>
      <c r="S18" s="14">
        <v>25.5</v>
      </c>
      <c r="T18" s="14">
        <v>25.5</v>
      </c>
      <c r="U18" s="14">
        <v>25.5</v>
      </c>
      <c r="V18" s="14">
        <v>25.5</v>
      </c>
      <c r="W18" s="14">
        <v>25.5</v>
      </c>
      <c r="X18" s="14">
        <v>28</v>
      </c>
      <c r="Z18" s="4"/>
    </row>
    <row r="19" spans="1:26" x14ac:dyDescent="0.25">
      <c r="K19" s="11">
        <v>18</v>
      </c>
      <c r="L19" s="11">
        <v>18</v>
      </c>
      <c r="M19" s="11">
        <v>20</v>
      </c>
      <c r="N19" s="11">
        <v>59</v>
      </c>
      <c r="O19" s="14">
        <v>600</v>
      </c>
      <c r="P19" s="14">
        <v>800</v>
      </c>
      <c r="Q19" s="14">
        <v>900</v>
      </c>
      <c r="R19" s="14">
        <v>1600</v>
      </c>
      <c r="S19" s="14">
        <v>1800</v>
      </c>
      <c r="T19" s="14">
        <v>1900</v>
      </c>
      <c r="U19" s="14">
        <v>2100</v>
      </c>
      <c r="V19" s="14">
        <v>2200</v>
      </c>
      <c r="W19" s="14">
        <v>2200</v>
      </c>
      <c r="X19" s="14">
        <v>2200</v>
      </c>
    </row>
    <row r="20" spans="1:26" x14ac:dyDescent="0.25">
      <c r="A20" t="s">
        <v>880</v>
      </c>
      <c r="B20">
        <v>10</v>
      </c>
      <c r="K20" s="11">
        <v>19</v>
      </c>
      <c r="L20" s="11">
        <v>19</v>
      </c>
      <c r="M20" s="11">
        <v>40</v>
      </c>
      <c r="N20" s="11">
        <v>119</v>
      </c>
      <c r="O20" s="14">
        <v>1</v>
      </c>
      <c r="P20" s="14">
        <v>5</v>
      </c>
      <c r="Q20" s="14">
        <v>15</v>
      </c>
      <c r="R20" s="14">
        <v>25</v>
      </c>
      <c r="S20" s="14">
        <v>45</v>
      </c>
      <c r="T20" s="14">
        <v>45</v>
      </c>
      <c r="U20" s="14">
        <v>45</v>
      </c>
      <c r="V20" s="14">
        <v>45</v>
      </c>
      <c r="W20" s="14">
        <v>50</v>
      </c>
      <c r="X20" s="14">
        <v>50</v>
      </c>
      <c r="Z20" s="4"/>
    </row>
    <row r="21" spans="1:26" x14ac:dyDescent="0.25">
      <c r="A21">
        <v>1</v>
      </c>
      <c r="B21">
        <v>1.8</v>
      </c>
      <c r="C21">
        <v>5</v>
      </c>
      <c r="D21">
        <v>10.5</v>
      </c>
      <c r="E21">
        <v>25.5</v>
      </c>
      <c r="F21">
        <v>25.5</v>
      </c>
      <c r="G21">
        <v>25.5</v>
      </c>
      <c r="H21">
        <v>25.5</v>
      </c>
      <c r="I21">
        <v>25.5</v>
      </c>
      <c r="J21">
        <v>28</v>
      </c>
      <c r="K21" s="11">
        <v>20</v>
      </c>
      <c r="L21" s="11">
        <v>20</v>
      </c>
      <c r="M21" s="11">
        <v>9</v>
      </c>
      <c r="N21" s="11">
        <v>26</v>
      </c>
      <c r="O21" s="14">
        <v>1</v>
      </c>
      <c r="P21" s="14">
        <v>1.8</v>
      </c>
      <c r="Q21" s="14">
        <v>5</v>
      </c>
      <c r="R21" s="14">
        <v>10.5</v>
      </c>
      <c r="S21" s="14">
        <v>25.5</v>
      </c>
      <c r="T21" s="14">
        <v>25.5</v>
      </c>
      <c r="U21" s="14">
        <v>25.5</v>
      </c>
      <c r="V21" s="14">
        <v>25.5</v>
      </c>
      <c r="W21" s="14">
        <v>25.5</v>
      </c>
      <c r="X21" s="14">
        <v>28</v>
      </c>
    </row>
    <row r="22" spans="1:26" x14ac:dyDescent="0.25">
      <c r="K22" s="11">
        <v>21</v>
      </c>
      <c r="L22" s="11">
        <v>21</v>
      </c>
      <c r="M22" s="11">
        <v>2</v>
      </c>
      <c r="N22" s="11">
        <v>5</v>
      </c>
      <c r="O22" s="14">
        <v>1.5</v>
      </c>
      <c r="P22" s="14">
        <v>4</v>
      </c>
      <c r="Q22" s="14">
        <v>12</v>
      </c>
      <c r="R22" s="14">
        <v>15</v>
      </c>
      <c r="S22" s="14">
        <v>15</v>
      </c>
      <c r="T22" s="14">
        <v>17</v>
      </c>
      <c r="U22" s="14">
        <v>17</v>
      </c>
      <c r="V22" s="14">
        <v>17</v>
      </c>
      <c r="W22" s="14">
        <v>17</v>
      </c>
      <c r="X22" s="14">
        <v>17</v>
      </c>
      <c r="Z22" s="4"/>
    </row>
    <row r="23" spans="1:26" x14ac:dyDescent="0.25">
      <c r="A23" t="s">
        <v>881</v>
      </c>
      <c r="B23">
        <v>10</v>
      </c>
      <c r="K23" s="11">
        <v>22</v>
      </c>
      <c r="L23" s="11">
        <v>22</v>
      </c>
      <c r="M23" s="11">
        <v>59</v>
      </c>
      <c r="N23" s="11">
        <v>176</v>
      </c>
      <c r="O23" s="14">
        <v>1</v>
      </c>
      <c r="P23" s="14">
        <v>5</v>
      </c>
      <c r="Q23" s="14">
        <v>15</v>
      </c>
      <c r="R23" s="14">
        <v>25</v>
      </c>
      <c r="S23" s="14">
        <v>45</v>
      </c>
      <c r="T23" s="14">
        <v>45</v>
      </c>
      <c r="U23" s="14">
        <v>45</v>
      </c>
      <c r="V23" s="14">
        <v>45</v>
      </c>
      <c r="W23" s="14">
        <v>50</v>
      </c>
      <c r="X23" s="14">
        <v>50</v>
      </c>
      <c r="Z23" s="4"/>
    </row>
    <row r="24" spans="1:26" x14ac:dyDescent="0.25">
      <c r="A24">
        <v>1</v>
      </c>
      <c r="B24">
        <v>1.8</v>
      </c>
      <c r="C24">
        <v>5</v>
      </c>
      <c r="D24">
        <v>10.5</v>
      </c>
      <c r="E24">
        <v>25.5</v>
      </c>
      <c r="F24">
        <v>25.5</v>
      </c>
      <c r="G24">
        <v>25.5</v>
      </c>
      <c r="H24">
        <v>25.5</v>
      </c>
      <c r="I24">
        <v>25.5</v>
      </c>
      <c r="J24">
        <v>28</v>
      </c>
      <c r="K24" s="11">
        <v>23</v>
      </c>
      <c r="L24" s="11">
        <v>23</v>
      </c>
      <c r="M24" s="11">
        <v>50</v>
      </c>
      <c r="N24" s="11">
        <v>149</v>
      </c>
      <c r="O24" s="14">
        <v>900</v>
      </c>
      <c r="P24" s="14">
        <v>1080</v>
      </c>
      <c r="Q24" s="14">
        <v>1020</v>
      </c>
      <c r="R24" s="14">
        <v>1040</v>
      </c>
      <c r="S24" s="14">
        <v>1060</v>
      </c>
      <c r="T24" s="14">
        <v>1070</v>
      </c>
      <c r="U24" s="14">
        <v>1075</v>
      </c>
      <c r="V24" s="14">
        <v>1080</v>
      </c>
      <c r="W24" s="14">
        <v>2110</v>
      </c>
      <c r="X24" s="14">
        <v>4210</v>
      </c>
      <c r="Z24" s="4"/>
    </row>
    <row r="25" spans="1:26" x14ac:dyDescent="0.25">
      <c r="K25" s="11">
        <v>24</v>
      </c>
      <c r="L25" s="11">
        <v>24</v>
      </c>
      <c r="M25" s="11">
        <v>1</v>
      </c>
      <c r="N25" s="11">
        <v>2</v>
      </c>
      <c r="O25" s="14">
        <v>1</v>
      </c>
      <c r="P25" s="14">
        <v>1.5</v>
      </c>
      <c r="Q25" s="14">
        <v>2</v>
      </c>
      <c r="R25" s="14">
        <v>3</v>
      </c>
      <c r="S25" s="14">
        <v>3</v>
      </c>
      <c r="T25" s="14">
        <v>3</v>
      </c>
      <c r="U25" s="14">
        <v>3</v>
      </c>
      <c r="V25" s="14">
        <v>3</v>
      </c>
      <c r="W25" s="14">
        <v>3</v>
      </c>
      <c r="X25" s="14">
        <v>3</v>
      </c>
      <c r="Z25" s="4"/>
    </row>
    <row r="26" spans="1:26" x14ac:dyDescent="0.25">
      <c r="A26" t="s">
        <v>882</v>
      </c>
      <c r="B26">
        <v>10</v>
      </c>
      <c r="K26" s="11">
        <v>25</v>
      </c>
      <c r="L26" s="11">
        <v>25</v>
      </c>
      <c r="M26" s="11">
        <v>21</v>
      </c>
      <c r="N26" s="11">
        <v>62</v>
      </c>
      <c r="O26" s="14">
        <v>2.5</v>
      </c>
      <c r="P26" s="14">
        <v>7.5</v>
      </c>
      <c r="Q26" s="14">
        <v>12</v>
      </c>
      <c r="R26" s="14">
        <v>20.8</v>
      </c>
      <c r="S26" s="14">
        <v>28.8</v>
      </c>
      <c r="T26" s="14">
        <v>28.8</v>
      </c>
      <c r="U26" s="14">
        <v>30.8</v>
      </c>
      <c r="V26" s="14">
        <v>30.8</v>
      </c>
      <c r="W26" s="14">
        <v>35</v>
      </c>
      <c r="X26" s="14">
        <v>35</v>
      </c>
      <c r="Z26" s="4"/>
    </row>
    <row r="27" spans="1:26" x14ac:dyDescent="0.25">
      <c r="A27">
        <v>1</v>
      </c>
      <c r="B27">
        <v>1.8</v>
      </c>
      <c r="C27">
        <v>5</v>
      </c>
      <c r="D27">
        <v>10.5</v>
      </c>
      <c r="E27">
        <v>25.5</v>
      </c>
      <c r="F27">
        <v>25.5</v>
      </c>
      <c r="G27">
        <v>25.5</v>
      </c>
      <c r="H27">
        <v>25.5</v>
      </c>
      <c r="I27">
        <v>25.5</v>
      </c>
      <c r="J27">
        <v>28</v>
      </c>
      <c r="K27" s="11">
        <v>26</v>
      </c>
      <c r="L27" s="11">
        <v>26</v>
      </c>
      <c r="M27" s="11">
        <v>16</v>
      </c>
      <c r="N27" s="11">
        <v>47</v>
      </c>
      <c r="O27" s="14">
        <v>0.1</v>
      </c>
      <c r="P27" s="14">
        <v>0.1</v>
      </c>
      <c r="Q27" s="14">
        <v>0.1</v>
      </c>
      <c r="R27" s="14">
        <v>0.1</v>
      </c>
      <c r="S27" s="14">
        <v>0.1</v>
      </c>
      <c r="T27" s="14">
        <v>0.1</v>
      </c>
      <c r="U27" s="14">
        <v>0.1</v>
      </c>
      <c r="V27" s="14">
        <v>0.1</v>
      </c>
      <c r="W27" s="14">
        <v>0.1</v>
      </c>
      <c r="X27" s="14">
        <v>0.1</v>
      </c>
      <c r="Z27" s="4"/>
    </row>
    <row r="28" spans="1:26" x14ac:dyDescent="0.25">
      <c r="K28" s="11">
        <v>27</v>
      </c>
      <c r="L28" s="11">
        <v>27</v>
      </c>
      <c r="M28" s="11">
        <v>25</v>
      </c>
      <c r="N28" s="11">
        <v>74</v>
      </c>
      <c r="O28" s="14">
        <v>1</v>
      </c>
      <c r="P28" s="14">
        <v>5</v>
      </c>
      <c r="Q28" s="14">
        <v>15</v>
      </c>
      <c r="R28" s="14">
        <v>25</v>
      </c>
      <c r="S28" s="14">
        <v>45</v>
      </c>
      <c r="T28" s="14">
        <v>45</v>
      </c>
      <c r="U28" s="14">
        <v>45</v>
      </c>
      <c r="V28" s="14">
        <v>45</v>
      </c>
      <c r="W28" s="14">
        <v>50</v>
      </c>
      <c r="X28" s="14">
        <v>50</v>
      </c>
      <c r="Z28" s="4"/>
    </row>
    <row r="29" spans="1:26" x14ac:dyDescent="0.25">
      <c r="A29" t="s">
        <v>883</v>
      </c>
      <c r="B29">
        <v>10</v>
      </c>
      <c r="K29" s="11">
        <v>28</v>
      </c>
      <c r="L29" s="11">
        <v>28</v>
      </c>
      <c r="M29" s="11">
        <v>32</v>
      </c>
      <c r="N29" s="11">
        <v>95</v>
      </c>
      <c r="O29" s="14">
        <v>1</v>
      </c>
      <c r="P29" s="14">
        <v>5</v>
      </c>
      <c r="Q29" s="14">
        <v>15</v>
      </c>
      <c r="R29" s="14">
        <v>25</v>
      </c>
      <c r="S29" s="14">
        <v>45</v>
      </c>
      <c r="T29" s="14">
        <v>45</v>
      </c>
      <c r="U29" s="14">
        <v>45</v>
      </c>
      <c r="V29" s="14">
        <v>45</v>
      </c>
      <c r="W29" s="14">
        <v>50</v>
      </c>
      <c r="X29" s="14">
        <v>50</v>
      </c>
      <c r="Z29" s="4"/>
    </row>
    <row r="30" spans="1:26" x14ac:dyDescent="0.25">
      <c r="A30">
        <v>1</v>
      </c>
      <c r="B30">
        <v>1.8</v>
      </c>
      <c r="C30">
        <v>5</v>
      </c>
      <c r="D30">
        <v>10.5</v>
      </c>
      <c r="E30">
        <v>25.5</v>
      </c>
      <c r="F30">
        <v>25.5</v>
      </c>
      <c r="G30">
        <v>25.5</v>
      </c>
      <c r="H30">
        <v>25.5</v>
      </c>
      <c r="I30">
        <v>25.5</v>
      </c>
      <c r="J30">
        <v>28</v>
      </c>
      <c r="K30" s="11">
        <v>29</v>
      </c>
      <c r="L30" s="11">
        <v>29</v>
      </c>
      <c r="M30" s="11">
        <v>53</v>
      </c>
      <c r="N30" s="11">
        <v>158</v>
      </c>
      <c r="O30" s="14">
        <v>250</v>
      </c>
      <c r="P30" s="14">
        <v>1400</v>
      </c>
      <c r="Q30" s="14">
        <v>1400</v>
      </c>
      <c r="R30" s="14">
        <v>1400</v>
      </c>
      <c r="S30" s="14">
        <v>1200</v>
      </c>
      <c r="T30" s="14">
        <v>1200</v>
      </c>
      <c r="U30" s="14">
        <v>1000</v>
      </c>
      <c r="V30" s="14">
        <v>1000</v>
      </c>
      <c r="W30" s="14">
        <v>1000</v>
      </c>
      <c r="X30" s="14">
        <v>1000</v>
      </c>
      <c r="Z30" s="4"/>
    </row>
    <row r="31" spans="1:26" x14ac:dyDescent="0.25">
      <c r="K31" s="11">
        <v>30</v>
      </c>
      <c r="L31" s="11">
        <v>30</v>
      </c>
      <c r="M31" s="11">
        <v>10</v>
      </c>
      <c r="N31" s="11">
        <v>29</v>
      </c>
      <c r="O31" s="14">
        <v>1</v>
      </c>
      <c r="P31" s="14">
        <v>1.8</v>
      </c>
      <c r="Q31" s="14">
        <v>5</v>
      </c>
      <c r="R31" s="14">
        <v>10.5</v>
      </c>
      <c r="S31" s="14">
        <v>25.5</v>
      </c>
      <c r="T31" s="14">
        <v>25.5</v>
      </c>
      <c r="U31" s="14">
        <v>25.5</v>
      </c>
      <c r="V31" s="14">
        <v>25.5</v>
      </c>
      <c r="W31" s="14">
        <v>25.5</v>
      </c>
      <c r="X31" s="14">
        <v>28</v>
      </c>
      <c r="Z31" s="4"/>
    </row>
    <row r="32" spans="1:26" x14ac:dyDescent="0.25">
      <c r="A32" t="s">
        <v>884</v>
      </c>
      <c r="B32">
        <v>10</v>
      </c>
      <c r="K32" s="11">
        <v>31</v>
      </c>
      <c r="L32" s="11">
        <v>31</v>
      </c>
      <c r="M32" s="11">
        <v>26</v>
      </c>
      <c r="N32" s="11">
        <v>77</v>
      </c>
      <c r="O32" s="14">
        <v>1</v>
      </c>
      <c r="P32" s="14">
        <v>5</v>
      </c>
      <c r="Q32" s="14">
        <v>15</v>
      </c>
      <c r="R32" s="14">
        <v>25</v>
      </c>
      <c r="S32" s="14">
        <v>45</v>
      </c>
      <c r="T32" s="14">
        <v>45</v>
      </c>
      <c r="U32" s="14">
        <v>45</v>
      </c>
      <c r="V32" s="14">
        <v>45</v>
      </c>
      <c r="W32" s="14">
        <v>50</v>
      </c>
      <c r="X32" s="14">
        <v>50</v>
      </c>
      <c r="Z32" s="4"/>
    </row>
    <row r="33" spans="1:26" x14ac:dyDescent="0.25">
      <c r="A33">
        <v>1</v>
      </c>
      <c r="B33">
        <v>1.8</v>
      </c>
      <c r="C33">
        <v>5</v>
      </c>
      <c r="D33">
        <v>10.5</v>
      </c>
      <c r="E33">
        <v>25.5</v>
      </c>
      <c r="F33">
        <v>25.5</v>
      </c>
      <c r="G33">
        <v>25.5</v>
      </c>
      <c r="H33">
        <v>25.5</v>
      </c>
      <c r="I33">
        <v>25.5</v>
      </c>
      <c r="J33">
        <v>28</v>
      </c>
      <c r="K33" s="11">
        <v>32</v>
      </c>
      <c r="L33" s="11">
        <v>32</v>
      </c>
      <c r="M33" s="11">
        <v>47</v>
      </c>
      <c r="N33" s="11">
        <v>140</v>
      </c>
      <c r="O33" s="14">
        <v>30</v>
      </c>
      <c r="P33" s="14">
        <v>150</v>
      </c>
      <c r="Q33" s="14">
        <v>350</v>
      </c>
      <c r="R33" s="14">
        <v>850</v>
      </c>
      <c r="S33" s="14">
        <v>1450</v>
      </c>
      <c r="T33" s="14">
        <v>1450</v>
      </c>
      <c r="U33" s="14">
        <v>1850</v>
      </c>
      <c r="V33" s="14">
        <v>1850</v>
      </c>
      <c r="W33" s="14">
        <v>1850</v>
      </c>
      <c r="X33" s="14">
        <v>1850</v>
      </c>
      <c r="Z33" s="4"/>
    </row>
    <row r="34" spans="1:26" x14ac:dyDescent="0.25">
      <c r="K34" s="11">
        <v>33</v>
      </c>
      <c r="L34" s="11">
        <v>33</v>
      </c>
      <c r="M34" s="11">
        <v>48</v>
      </c>
      <c r="N34" s="11">
        <v>143</v>
      </c>
      <c r="O34" s="14">
        <v>30</v>
      </c>
      <c r="P34" s="14">
        <v>150</v>
      </c>
      <c r="Q34" s="14">
        <v>350</v>
      </c>
      <c r="R34" s="14">
        <v>850</v>
      </c>
      <c r="S34" s="14">
        <v>1450</v>
      </c>
      <c r="T34" s="14">
        <v>1450</v>
      </c>
      <c r="U34" s="14">
        <v>1850</v>
      </c>
      <c r="V34" s="14">
        <v>1850</v>
      </c>
      <c r="W34" s="14">
        <v>1850</v>
      </c>
      <c r="X34" s="14">
        <v>1850</v>
      </c>
      <c r="Z34" s="4"/>
    </row>
    <row r="35" spans="1:26" x14ac:dyDescent="0.25">
      <c r="A35" t="s">
        <v>885</v>
      </c>
      <c r="B35">
        <v>10</v>
      </c>
      <c r="K35" s="11">
        <v>34</v>
      </c>
      <c r="L35" s="11">
        <v>34</v>
      </c>
      <c r="M35" s="11">
        <v>31</v>
      </c>
      <c r="N35" s="11">
        <v>92</v>
      </c>
      <c r="O35" s="14">
        <v>1</v>
      </c>
      <c r="P35" s="14">
        <v>5</v>
      </c>
      <c r="Q35" s="14">
        <v>15</v>
      </c>
      <c r="R35" s="14">
        <v>25</v>
      </c>
      <c r="S35" s="14">
        <v>45</v>
      </c>
      <c r="T35" s="14">
        <v>45</v>
      </c>
      <c r="U35" s="14">
        <v>45</v>
      </c>
      <c r="V35" s="14">
        <v>45</v>
      </c>
      <c r="W35" s="14">
        <v>50</v>
      </c>
      <c r="X35" s="14">
        <v>50</v>
      </c>
      <c r="Z35" s="4"/>
    </row>
    <row r="36" spans="1:26" x14ac:dyDescent="0.25">
      <c r="A36">
        <v>1</v>
      </c>
      <c r="B36">
        <v>1.8</v>
      </c>
      <c r="C36">
        <v>5</v>
      </c>
      <c r="D36">
        <v>10.5</v>
      </c>
      <c r="E36">
        <v>25.5</v>
      </c>
      <c r="F36">
        <v>25.5</v>
      </c>
      <c r="G36">
        <v>25.5</v>
      </c>
      <c r="H36">
        <v>25.5</v>
      </c>
      <c r="I36">
        <v>25.5</v>
      </c>
      <c r="J36">
        <v>28</v>
      </c>
      <c r="K36" s="11">
        <v>35</v>
      </c>
      <c r="L36" s="11">
        <v>35</v>
      </c>
      <c r="M36" s="11">
        <v>54</v>
      </c>
      <c r="N36" s="11">
        <v>161</v>
      </c>
      <c r="O36" s="14">
        <v>10</v>
      </c>
      <c r="P36" s="14">
        <v>12</v>
      </c>
      <c r="Q36" s="14">
        <v>25</v>
      </c>
      <c r="R36" s="14">
        <v>25</v>
      </c>
      <c r="S36" s="14">
        <v>25</v>
      </c>
      <c r="T36" s="14">
        <v>45</v>
      </c>
      <c r="U36" s="14">
        <v>48</v>
      </c>
      <c r="V36" s="14">
        <v>48</v>
      </c>
      <c r="W36" s="14">
        <v>48</v>
      </c>
      <c r="X36" s="14">
        <v>48</v>
      </c>
      <c r="Z36" s="4"/>
    </row>
    <row r="37" spans="1:26" x14ac:dyDescent="0.25">
      <c r="K37" s="11">
        <v>36</v>
      </c>
      <c r="L37" s="11">
        <v>36</v>
      </c>
      <c r="M37" s="11">
        <v>27</v>
      </c>
      <c r="N37" s="11">
        <v>80</v>
      </c>
      <c r="O37" s="14">
        <v>1</v>
      </c>
      <c r="P37" s="14">
        <v>5</v>
      </c>
      <c r="Q37" s="14">
        <v>15</v>
      </c>
      <c r="R37" s="14">
        <v>25</v>
      </c>
      <c r="S37" s="14">
        <v>45</v>
      </c>
      <c r="T37" s="14">
        <v>45</v>
      </c>
      <c r="U37" s="14">
        <v>45</v>
      </c>
      <c r="V37" s="14">
        <v>45</v>
      </c>
      <c r="W37" s="14">
        <v>50</v>
      </c>
      <c r="X37" s="14">
        <v>50</v>
      </c>
      <c r="Z37" s="4"/>
    </row>
    <row r="38" spans="1:26" x14ac:dyDescent="0.25">
      <c r="A38" t="s">
        <v>886</v>
      </c>
      <c r="B38">
        <v>10</v>
      </c>
      <c r="K38" s="11">
        <v>37</v>
      </c>
      <c r="L38" s="11">
        <v>37</v>
      </c>
      <c r="M38" s="11">
        <v>55</v>
      </c>
      <c r="N38" s="11">
        <v>164</v>
      </c>
      <c r="O38" s="14">
        <v>15000000</v>
      </c>
      <c r="P38" s="14">
        <v>15000000</v>
      </c>
      <c r="Q38" s="14">
        <v>15000000</v>
      </c>
      <c r="R38" s="14">
        <v>15000000</v>
      </c>
      <c r="S38" s="14">
        <v>15000000</v>
      </c>
      <c r="T38" s="14">
        <v>15000000</v>
      </c>
      <c r="U38" s="14">
        <v>15000000</v>
      </c>
      <c r="V38" s="14">
        <v>15000000</v>
      </c>
      <c r="W38" s="14">
        <v>15000000</v>
      </c>
      <c r="X38" s="14">
        <v>15000000</v>
      </c>
      <c r="Z38" s="4"/>
    </row>
    <row r="39" spans="1:26" x14ac:dyDescent="0.25">
      <c r="A39">
        <v>380</v>
      </c>
      <c r="B39">
        <v>17000</v>
      </c>
      <c r="C39">
        <v>28500</v>
      </c>
      <c r="D39">
        <v>43000</v>
      </c>
      <c r="E39">
        <v>44000</v>
      </c>
      <c r="F39">
        <v>44000</v>
      </c>
      <c r="G39">
        <v>44000</v>
      </c>
      <c r="H39">
        <v>44000</v>
      </c>
      <c r="I39">
        <v>44000</v>
      </c>
      <c r="J39">
        <v>44000</v>
      </c>
      <c r="K39" s="11">
        <v>38</v>
      </c>
      <c r="L39" s="11">
        <v>38</v>
      </c>
      <c r="M39" s="11">
        <v>33</v>
      </c>
      <c r="N39" s="11">
        <v>98</v>
      </c>
      <c r="O39" s="14">
        <v>1</v>
      </c>
      <c r="P39" s="14">
        <v>5</v>
      </c>
      <c r="Q39" s="14">
        <v>15</v>
      </c>
      <c r="R39" s="14">
        <v>25</v>
      </c>
      <c r="S39" s="14">
        <v>45</v>
      </c>
      <c r="T39" s="14">
        <v>45</v>
      </c>
      <c r="U39" s="14">
        <v>45</v>
      </c>
      <c r="V39" s="14">
        <v>45</v>
      </c>
      <c r="W39" s="14">
        <v>50</v>
      </c>
      <c r="X39" s="14">
        <v>50</v>
      </c>
      <c r="Z39" s="4"/>
    </row>
    <row r="40" spans="1:26" x14ac:dyDescent="0.25">
      <c r="K40" s="11">
        <v>39</v>
      </c>
      <c r="L40" s="11">
        <v>39</v>
      </c>
      <c r="M40" s="11">
        <v>52</v>
      </c>
      <c r="N40" s="11">
        <v>155</v>
      </c>
      <c r="O40" s="14">
        <v>3000</v>
      </c>
      <c r="P40" s="14">
        <v>3000</v>
      </c>
      <c r="Q40" s="14">
        <v>5000</v>
      </c>
      <c r="R40" s="14">
        <v>5000</v>
      </c>
      <c r="S40" s="14">
        <v>5000</v>
      </c>
      <c r="T40" s="14">
        <v>5000</v>
      </c>
      <c r="U40" s="14">
        <v>4500</v>
      </c>
      <c r="V40" s="14">
        <v>4000</v>
      </c>
      <c r="W40" s="14">
        <v>3500</v>
      </c>
      <c r="X40" s="14">
        <v>3000</v>
      </c>
      <c r="Z40" s="4"/>
    </row>
    <row r="41" spans="1:26" x14ac:dyDescent="0.25">
      <c r="A41" t="s">
        <v>887</v>
      </c>
      <c r="B41">
        <v>10</v>
      </c>
      <c r="K41" s="11">
        <v>40</v>
      </c>
      <c r="L41" s="11">
        <v>40</v>
      </c>
      <c r="M41" s="11">
        <v>29</v>
      </c>
      <c r="N41" s="11">
        <v>86</v>
      </c>
      <c r="O41" s="14">
        <v>1</v>
      </c>
      <c r="P41" s="14">
        <v>5</v>
      </c>
      <c r="Q41" s="14">
        <v>15</v>
      </c>
      <c r="R41" s="14">
        <v>25</v>
      </c>
      <c r="S41" s="14">
        <v>45</v>
      </c>
      <c r="T41" s="14">
        <v>45</v>
      </c>
      <c r="U41" s="14">
        <v>45</v>
      </c>
      <c r="V41" s="14">
        <v>45</v>
      </c>
      <c r="W41" s="14">
        <v>50</v>
      </c>
      <c r="X41" s="14">
        <v>50</v>
      </c>
      <c r="Z41" s="4"/>
    </row>
    <row r="42" spans="1:26" x14ac:dyDescent="0.25">
      <c r="A42">
        <v>380</v>
      </c>
      <c r="B42">
        <v>17000</v>
      </c>
      <c r="C42">
        <v>28500</v>
      </c>
      <c r="D42">
        <v>43000</v>
      </c>
      <c r="E42">
        <v>44000</v>
      </c>
      <c r="F42">
        <v>44000</v>
      </c>
      <c r="G42">
        <v>44000</v>
      </c>
      <c r="H42">
        <v>44000</v>
      </c>
      <c r="I42">
        <v>44000</v>
      </c>
      <c r="J42">
        <v>44000</v>
      </c>
      <c r="K42" s="11">
        <v>41</v>
      </c>
      <c r="L42" s="11">
        <v>41</v>
      </c>
      <c r="M42" s="11">
        <v>38</v>
      </c>
      <c r="N42" s="11">
        <v>113</v>
      </c>
      <c r="O42" s="14">
        <v>1</v>
      </c>
      <c r="P42" s="14">
        <v>5</v>
      </c>
      <c r="Q42" s="14">
        <v>15</v>
      </c>
      <c r="R42" s="14">
        <v>25</v>
      </c>
      <c r="S42" s="14">
        <v>45</v>
      </c>
      <c r="T42" s="14">
        <v>45</v>
      </c>
      <c r="U42" s="14">
        <v>45</v>
      </c>
      <c r="V42" s="14">
        <v>45</v>
      </c>
      <c r="W42" s="14">
        <v>50</v>
      </c>
      <c r="X42" s="14">
        <v>50</v>
      </c>
      <c r="Z42" s="4"/>
    </row>
    <row r="43" spans="1:26" x14ac:dyDescent="0.25">
      <c r="K43" s="11">
        <v>42</v>
      </c>
      <c r="L43" s="11">
        <v>42</v>
      </c>
      <c r="M43" s="11">
        <v>24</v>
      </c>
      <c r="N43" s="11">
        <v>71</v>
      </c>
      <c r="O43" s="14">
        <v>5</v>
      </c>
      <c r="P43" s="14">
        <v>130</v>
      </c>
      <c r="Q43" s="14">
        <v>160</v>
      </c>
      <c r="R43" s="14">
        <v>150</v>
      </c>
      <c r="S43" s="14">
        <v>150</v>
      </c>
      <c r="T43" s="14">
        <v>180</v>
      </c>
      <c r="U43" s="14">
        <v>125</v>
      </c>
      <c r="V43" s="14">
        <v>128</v>
      </c>
      <c r="W43" s="14">
        <v>130</v>
      </c>
      <c r="X43" s="14">
        <v>130</v>
      </c>
      <c r="Z43" s="4"/>
    </row>
    <row r="44" spans="1:26" x14ac:dyDescent="0.25">
      <c r="A44" t="s">
        <v>888</v>
      </c>
      <c r="B44">
        <v>10</v>
      </c>
      <c r="K44" s="11">
        <v>43</v>
      </c>
      <c r="L44" s="11">
        <v>43</v>
      </c>
      <c r="M44" s="11">
        <v>51</v>
      </c>
      <c r="N44" s="11">
        <v>152</v>
      </c>
      <c r="O44" s="14">
        <v>900</v>
      </c>
      <c r="P44" s="14">
        <v>1080</v>
      </c>
      <c r="Q44" s="14">
        <v>1020</v>
      </c>
      <c r="R44" s="14">
        <v>1040</v>
      </c>
      <c r="S44" s="14">
        <v>1060</v>
      </c>
      <c r="T44" s="14">
        <v>1070</v>
      </c>
      <c r="U44" s="14">
        <v>1075</v>
      </c>
      <c r="V44" s="14">
        <v>1080</v>
      </c>
      <c r="W44" s="14">
        <v>2110</v>
      </c>
      <c r="X44" s="14">
        <v>4210</v>
      </c>
      <c r="Z44" s="4"/>
    </row>
    <row r="45" spans="1:26" x14ac:dyDescent="0.25">
      <c r="A45">
        <v>380</v>
      </c>
      <c r="B45">
        <v>17000</v>
      </c>
      <c r="C45">
        <v>28500</v>
      </c>
      <c r="D45">
        <v>43000</v>
      </c>
      <c r="E45">
        <v>44000</v>
      </c>
      <c r="F45">
        <v>44000</v>
      </c>
      <c r="G45">
        <v>44000</v>
      </c>
      <c r="H45">
        <v>44000</v>
      </c>
      <c r="I45">
        <v>44000</v>
      </c>
      <c r="J45">
        <v>44000</v>
      </c>
      <c r="K45" s="11">
        <v>44</v>
      </c>
      <c r="L45" s="11">
        <v>44</v>
      </c>
      <c r="M45" s="11">
        <v>43</v>
      </c>
      <c r="N45" s="11">
        <v>128</v>
      </c>
      <c r="O45" s="14">
        <v>5</v>
      </c>
      <c r="P45" s="14">
        <v>7.5</v>
      </c>
      <c r="Q45" s="14">
        <v>20</v>
      </c>
      <c r="R45" s="14">
        <v>45</v>
      </c>
      <c r="S45" s="14">
        <v>50</v>
      </c>
      <c r="T45" s="14">
        <v>80</v>
      </c>
      <c r="U45" s="14">
        <v>130</v>
      </c>
      <c r="V45" s="14">
        <v>180</v>
      </c>
      <c r="W45" s="14">
        <v>210</v>
      </c>
      <c r="X45" s="14">
        <v>210</v>
      </c>
      <c r="Z45" s="4"/>
    </row>
    <row r="46" spans="1:26" x14ac:dyDescent="0.25">
      <c r="K46" s="11">
        <v>45</v>
      </c>
      <c r="L46" s="11">
        <v>45</v>
      </c>
      <c r="M46" s="11">
        <v>44</v>
      </c>
      <c r="N46" s="11">
        <v>131</v>
      </c>
      <c r="O46" s="14">
        <v>5</v>
      </c>
      <c r="P46" s="14">
        <v>20</v>
      </c>
      <c r="Q46" s="14">
        <v>40</v>
      </c>
      <c r="R46" s="14">
        <v>50</v>
      </c>
      <c r="S46" s="14">
        <v>50</v>
      </c>
      <c r="T46" s="14">
        <v>70</v>
      </c>
      <c r="U46" s="14">
        <v>70</v>
      </c>
      <c r="V46" s="14">
        <v>70</v>
      </c>
      <c r="W46" s="14">
        <v>100</v>
      </c>
      <c r="X46" s="14">
        <v>100</v>
      </c>
      <c r="Z46" s="4"/>
    </row>
    <row r="47" spans="1:26" x14ac:dyDescent="0.25">
      <c r="A47" t="s">
        <v>889</v>
      </c>
      <c r="B47">
        <v>10</v>
      </c>
      <c r="K47" s="11">
        <v>46</v>
      </c>
      <c r="L47" s="11">
        <v>46</v>
      </c>
      <c r="M47" s="11">
        <v>35</v>
      </c>
      <c r="N47" s="11">
        <v>104</v>
      </c>
      <c r="O47" s="14">
        <v>1</v>
      </c>
      <c r="P47" s="14">
        <v>5</v>
      </c>
      <c r="Q47" s="14">
        <v>15</v>
      </c>
      <c r="R47" s="14">
        <v>25</v>
      </c>
      <c r="S47" s="14">
        <v>45</v>
      </c>
      <c r="T47" s="14">
        <v>45</v>
      </c>
      <c r="U47" s="14">
        <v>45</v>
      </c>
      <c r="V47" s="14">
        <v>45</v>
      </c>
      <c r="W47" s="14">
        <v>50</v>
      </c>
      <c r="X47" s="14">
        <v>50</v>
      </c>
      <c r="Z47" s="4"/>
    </row>
    <row r="48" spans="1:26" x14ac:dyDescent="0.25">
      <c r="A48">
        <v>0.1</v>
      </c>
      <c r="B48">
        <v>0.1</v>
      </c>
      <c r="C48">
        <v>0.1</v>
      </c>
      <c r="D48">
        <v>0.1</v>
      </c>
      <c r="E48">
        <v>0.1</v>
      </c>
      <c r="F48">
        <v>0.1</v>
      </c>
      <c r="G48">
        <v>0.1</v>
      </c>
      <c r="H48">
        <v>0.1</v>
      </c>
      <c r="I48">
        <v>0.1</v>
      </c>
      <c r="J48">
        <v>0.1</v>
      </c>
      <c r="K48" s="11">
        <v>47</v>
      </c>
      <c r="L48" s="11">
        <v>47</v>
      </c>
      <c r="M48" s="11">
        <v>6</v>
      </c>
      <c r="N48" s="11">
        <v>17</v>
      </c>
      <c r="O48" s="14">
        <v>1</v>
      </c>
      <c r="P48" s="14">
        <v>1.8</v>
      </c>
      <c r="Q48" s="14">
        <v>5</v>
      </c>
      <c r="R48" s="14">
        <v>10.5</v>
      </c>
      <c r="S48" s="14">
        <v>25.5</v>
      </c>
      <c r="T48" s="14">
        <v>25.5</v>
      </c>
      <c r="U48" s="14">
        <v>25.5</v>
      </c>
      <c r="V48" s="14">
        <v>25.5</v>
      </c>
      <c r="W48" s="14">
        <v>25.5</v>
      </c>
      <c r="X48" s="14">
        <v>28</v>
      </c>
      <c r="Z48" s="4"/>
    </row>
    <row r="49" spans="1:26" x14ac:dyDescent="0.25">
      <c r="K49" s="11">
        <v>48</v>
      </c>
      <c r="L49" s="11">
        <v>48</v>
      </c>
      <c r="M49" s="11">
        <v>57</v>
      </c>
      <c r="N49" s="11">
        <v>170</v>
      </c>
      <c r="O49" s="14">
        <v>4000</v>
      </c>
      <c r="P49" s="14">
        <v>5000</v>
      </c>
      <c r="Q49" s="14">
        <v>5000</v>
      </c>
      <c r="R49" s="14">
        <v>5000</v>
      </c>
      <c r="S49" s="14">
        <v>8000</v>
      </c>
      <c r="T49" s="14">
        <v>8000</v>
      </c>
      <c r="U49" s="14">
        <v>8000</v>
      </c>
      <c r="V49" s="14">
        <v>8000</v>
      </c>
      <c r="W49" s="14">
        <v>8000</v>
      </c>
      <c r="X49" s="14">
        <v>8000</v>
      </c>
      <c r="Z49" s="4"/>
    </row>
    <row r="50" spans="1:26" x14ac:dyDescent="0.25">
      <c r="A50" t="s">
        <v>890</v>
      </c>
      <c r="B50">
        <v>10</v>
      </c>
      <c r="K50" s="11">
        <v>49</v>
      </c>
      <c r="L50" s="11">
        <v>49</v>
      </c>
      <c r="M50" s="11">
        <v>36</v>
      </c>
      <c r="N50" s="11">
        <v>107</v>
      </c>
      <c r="O50" s="14">
        <v>1</v>
      </c>
      <c r="P50" s="14">
        <v>5</v>
      </c>
      <c r="Q50" s="14">
        <v>15</v>
      </c>
      <c r="R50" s="14">
        <v>25</v>
      </c>
      <c r="S50" s="14">
        <v>45</v>
      </c>
      <c r="T50" s="14">
        <v>45</v>
      </c>
      <c r="U50" s="14">
        <v>45</v>
      </c>
      <c r="V50" s="14">
        <v>45</v>
      </c>
      <c r="W50" s="14">
        <v>50</v>
      </c>
      <c r="X50" s="14">
        <v>50</v>
      </c>
      <c r="Z50" s="4"/>
    </row>
    <row r="51" spans="1:26" x14ac:dyDescent="0.25">
      <c r="A51">
        <v>5.3</v>
      </c>
      <c r="B51">
        <v>10.6</v>
      </c>
      <c r="C51">
        <v>16.600000000000001</v>
      </c>
      <c r="D51">
        <v>25.7</v>
      </c>
      <c r="E51">
        <v>25.7</v>
      </c>
      <c r="F51">
        <v>25.8</v>
      </c>
      <c r="G51">
        <v>25.8</v>
      </c>
      <c r="H51">
        <v>25.8</v>
      </c>
      <c r="I51">
        <v>25.8</v>
      </c>
      <c r="J51">
        <v>25.8</v>
      </c>
      <c r="K51" s="11">
        <v>50</v>
      </c>
      <c r="L51" s="11">
        <v>50</v>
      </c>
      <c r="M51" s="11">
        <v>14</v>
      </c>
      <c r="N51" s="11">
        <v>41</v>
      </c>
      <c r="O51" s="14">
        <v>380</v>
      </c>
      <c r="P51" s="14">
        <v>17000</v>
      </c>
      <c r="Q51" s="14">
        <v>28500</v>
      </c>
      <c r="R51" s="14">
        <v>43000</v>
      </c>
      <c r="S51" s="14">
        <v>44000</v>
      </c>
      <c r="T51" s="14">
        <v>44000</v>
      </c>
      <c r="U51" s="14">
        <v>44000</v>
      </c>
      <c r="V51" s="14">
        <v>44000</v>
      </c>
      <c r="W51" s="14">
        <v>44000</v>
      </c>
      <c r="X51" s="14">
        <v>44000</v>
      </c>
      <c r="Z51" s="4"/>
    </row>
    <row r="52" spans="1:26" x14ac:dyDescent="0.25">
      <c r="K52" s="11">
        <v>51</v>
      </c>
      <c r="L52" s="11">
        <v>51</v>
      </c>
      <c r="M52" s="11">
        <v>58</v>
      </c>
      <c r="N52" s="11">
        <v>173</v>
      </c>
      <c r="O52" s="14">
        <v>4000</v>
      </c>
      <c r="P52" s="14">
        <v>5000</v>
      </c>
      <c r="Q52" s="14">
        <v>5000</v>
      </c>
      <c r="R52" s="14">
        <v>5000</v>
      </c>
      <c r="S52" s="14">
        <v>8000</v>
      </c>
      <c r="T52" s="14">
        <v>8000</v>
      </c>
      <c r="U52" s="14">
        <v>8000</v>
      </c>
      <c r="V52" s="14">
        <v>8000</v>
      </c>
      <c r="W52" s="14">
        <v>8000</v>
      </c>
      <c r="X52" s="14">
        <v>8000</v>
      </c>
      <c r="Z52" s="4"/>
    </row>
    <row r="53" spans="1:26" x14ac:dyDescent="0.25">
      <c r="A53" t="s">
        <v>891</v>
      </c>
      <c r="B53">
        <v>10</v>
      </c>
      <c r="K53" s="11">
        <v>52</v>
      </c>
      <c r="L53" s="11">
        <v>52</v>
      </c>
      <c r="M53" s="11">
        <v>30</v>
      </c>
      <c r="N53" s="11">
        <v>89</v>
      </c>
      <c r="O53" s="14">
        <v>1</v>
      </c>
      <c r="P53" s="14">
        <v>5</v>
      </c>
      <c r="Q53" s="14">
        <v>15</v>
      </c>
      <c r="R53" s="14">
        <v>25</v>
      </c>
      <c r="S53" s="14">
        <v>45</v>
      </c>
      <c r="T53" s="14">
        <v>45</v>
      </c>
      <c r="U53" s="14">
        <v>45</v>
      </c>
      <c r="V53" s="14">
        <v>45</v>
      </c>
      <c r="W53" s="14">
        <v>50</v>
      </c>
      <c r="X53" s="14">
        <v>50</v>
      </c>
      <c r="Z53" s="4"/>
    </row>
    <row r="54" spans="1:26" x14ac:dyDescent="0.25">
      <c r="A54">
        <v>5.3</v>
      </c>
      <c r="B54">
        <v>10.6</v>
      </c>
      <c r="C54">
        <v>16.600000000000001</v>
      </c>
      <c r="D54">
        <v>25.7</v>
      </c>
      <c r="E54">
        <v>25.7</v>
      </c>
      <c r="F54">
        <v>25.8</v>
      </c>
      <c r="G54">
        <v>25.8</v>
      </c>
      <c r="H54">
        <v>25.8</v>
      </c>
      <c r="I54">
        <v>25.8</v>
      </c>
      <c r="J54">
        <v>25.8</v>
      </c>
      <c r="K54" s="11">
        <v>53</v>
      </c>
      <c r="L54" s="11">
        <v>53</v>
      </c>
      <c r="M54" s="11">
        <v>3</v>
      </c>
      <c r="N54" s="11">
        <v>8</v>
      </c>
      <c r="O54" s="14">
        <v>1</v>
      </c>
      <c r="P54" s="14">
        <v>5</v>
      </c>
      <c r="Q54" s="14">
        <v>15</v>
      </c>
      <c r="R54" s="14">
        <v>25</v>
      </c>
      <c r="S54" s="14">
        <v>45</v>
      </c>
      <c r="T54" s="14">
        <v>45</v>
      </c>
      <c r="U54" s="14">
        <v>45</v>
      </c>
      <c r="V54" s="14">
        <v>45</v>
      </c>
      <c r="W54" s="14">
        <v>50</v>
      </c>
      <c r="X54" s="14">
        <v>50</v>
      </c>
      <c r="Z54" s="4"/>
    </row>
    <row r="55" spans="1:26" x14ac:dyDescent="0.25">
      <c r="K55" s="11">
        <v>54</v>
      </c>
      <c r="L55" s="11">
        <v>54</v>
      </c>
      <c r="M55" s="11">
        <v>7</v>
      </c>
      <c r="N55" s="11">
        <v>20</v>
      </c>
      <c r="O55" s="14">
        <v>1</v>
      </c>
      <c r="P55" s="14">
        <v>1.8</v>
      </c>
      <c r="Q55" s="14">
        <v>5</v>
      </c>
      <c r="R55" s="14">
        <v>10.5</v>
      </c>
      <c r="S55" s="14">
        <v>25.5</v>
      </c>
      <c r="T55" s="14">
        <v>25.5</v>
      </c>
      <c r="U55" s="14">
        <v>25.5</v>
      </c>
      <c r="V55" s="14">
        <v>25.5</v>
      </c>
      <c r="W55" s="14">
        <v>25.5</v>
      </c>
      <c r="X55" s="14">
        <v>28</v>
      </c>
      <c r="Z55" s="4"/>
    </row>
    <row r="56" spans="1:26" x14ac:dyDescent="0.25">
      <c r="A56" t="s">
        <v>892</v>
      </c>
      <c r="B56">
        <v>10</v>
      </c>
      <c r="K56" s="11">
        <v>55</v>
      </c>
      <c r="L56" s="11">
        <v>55</v>
      </c>
      <c r="M56" s="11">
        <v>37</v>
      </c>
      <c r="N56" s="11">
        <v>110</v>
      </c>
      <c r="O56" s="14">
        <v>1</v>
      </c>
      <c r="P56" s="14">
        <v>5</v>
      </c>
      <c r="Q56" s="14">
        <v>15</v>
      </c>
      <c r="R56" s="14">
        <v>25</v>
      </c>
      <c r="S56" s="14">
        <v>45</v>
      </c>
      <c r="T56" s="14">
        <v>45</v>
      </c>
      <c r="U56" s="14">
        <v>45</v>
      </c>
      <c r="V56" s="14">
        <v>45</v>
      </c>
      <c r="W56" s="14">
        <v>50</v>
      </c>
      <c r="X56" s="14">
        <v>50</v>
      </c>
      <c r="Z56" s="4"/>
    </row>
    <row r="57" spans="1:26" x14ac:dyDescent="0.25">
      <c r="A57">
        <v>5.3</v>
      </c>
      <c r="B57">
        <v>10.6</v>
      </c>
      <c r="C57">
        <v>16.600000000000001</v>
      </c>
      <c r="D57">
        <v>25.7</v>
      </c>
      <c r="E57">
        <v>25.7</v>
      </c>
      <c r="F57">
        <v>25.8</v>
      </c>
      <c r="G57">
        <v>25.8</v>
      </c>
      <c r="H57">
        <v>25.8</v>
      </c>
      <c r="I57">
        <v>25.8</v>
      </c>
      <c r="J57">
        <v>25.8</v>
      </c>
      <c r="K57" s="11">
        <v>56</v>
      </c>
      <c r="L57" s="11">
        <v>56</v>
      </c>
      <c r="M57" s="11">
        <v>5</v>
      </c>
      <c r="N57" s="11">
        <v>14</v>
      </c>
      <c r="O57" s="14">
        <v>1</v>
      </c>
      <c r="P57" s="14">
        <v>1.8</v>
      </c>
      <c r="Q57" s="14">
        <v>5</v>
      </c>
      <c r="R57" s="14">
        <v>10.5</v>
      </c>
      <c r="S57" s="14">
        <v>25.5</v>
      </c>
      <c r="T57" s="14">
        <v>25.5</v>
      </c>
      <c r="U57" s="14">
        <v>25.5</v>
      </c>
      <c r="V57" s="14">
        <v>25.5</v>
      </c>
      <c r="W57" s="14">
        <v>25.5</v>
      </c>
      <c r="X57" s="14">
        <v>28</v>
      </c>
      <c r="Z57" s="4"/>
    </row>
    <row r="58" spans="1:26" x14ac:dyDescent="0.25">
      <c r="K58" s="11">
        <v>57</v>
      </c>
      <c r="L58" s="11">
        <v>57</v>
      </c>
      <c r="M58" s="11">
        <v>49</v>
      </c>
      <c r="N58" s="11">
        <v>146</v>
      </c>
      <c r="O58" s="14">
        <v>900</v>
      </c>
      <c r="P58" s="14">
        <v>1080</v>
      </c>
      <c r="Q58" s="14">
        <v>1020</v>
      </c>
      <c r="R58" s="14">
        <v>1040</v>
      </c>
      <c r="S58" s="14">
        <v>1060</v>
      </c>
      <c r="T58" s="14">
        <v>1070</v>
      </c>
      <c r="U58" s="14">
        <v>1075</v>
      </c>
      <c r="V58" s="14">
        <v>1080</v>
      </c>
      <c r="W58" s="14">
        <v>2110</v>
      </c>
      <c r="X58" s="14">
        <v>4210</v>
      </c>
      <c r="Z58" s="4"/>
    </row>
    <row r="59" spans="1:26" x14ac:dyDescent="0.25">
      <c r="A59" t="s">
        <v>893</v>
      </c>
      <c r="B59">
        <v>10</v>
      </c>
      <c r="K59" s="11">
        <v>58</v>
      </c>
      <c r="L59" s="11">
        <v>58</v>
      </c>
      <c r="M59" s="11">
        <v>8</v>
      </c>
      <c r="N59" s="11">
        <v>23</v>
      </c>
      <c r="O59" s="14">
        <v>1</v>
      </c>
      <c r="P59" s="14">
        <v>1.8</v>
      </c>
      <c r="Q59" s="14">
        <v>5</v>
      </c>
      <c r="R59" s="14">
        <v>10.5</v>
      </c>
      <c r="S59" s="14">
        <v>25.5</v>
      </c>
      <c r="T59" s="14">
        <v>25.5</v>
      </c>
      <c r="U59" s="14">
        <v>25.5</v>
      </c>
      <c r="V59" s="14">
        <v>25.5</v>
      </c>
      <c r="W59" s="14">
        <v>25.5</v>
      </c>
      <c r="X59" s="14">
        <v>28</v>
      </c>
      <c r="Z59" s="4"/>
    </row>
    <row r="60" spans="1:26" x14ac:dyDescent="0.25">
      <c r="A60">
        <v>600</v>
      </c>
      <c r="B60">
        <v>800</v>
      </c>
      <c r="C60">
        <v>900</v>
      </c>
      <c r="D60">
        <v>1600</v>
      </c>
      <c r="E60">
        <v>1800</v>
      </c>
      <c r="F60">
        <v>1900</v>
      </c>
      <c r="G60">
        <v>2100</v>
      </c>
      <c r="H60">
        <v>2200</v>
      </c>
      <c r="I60">
        <v>2200</v>
      </c>
      <c r="J60">
        <v>2200</v>
      </c>
      <c r="K60" s="11">
        <v>59</v>
      </c>
      <c r="L60" s="11">
        <v>59</v>
      </c>
      <c r="M60" s="11">
        <v>41</v>
      </c>
      <c r="N60" s="11">
        <v>122</v>
      </c>
      <c r="O60" s="14">
        <v>2.5</v>
      </c>
      <c r="P60" s="14">
        <v>7.5</v>
      </c>
      <c r="Q60" s="14">
        <v>15</v>
      </c>
      <c r="R60" s="14">
        <v>17.8</v>
      </c>
      <c r="S60" s="14">
        <v>18.8</v>
      </c>
      <c r="T60" s="14">
        <v>19.8</v>
      </c>
      <c r="U60" s="14">
        <v>20.8</v>
      </c>
      <c r="V60" s="14">
        <v>21.8</v>
      </c>
      <c r="W60" s="14">
        <v>22</v>
      </c>
      <c r="X60" s="14">
        <v>22</v>
      </c>
      <c r="Z60" s="4"/>
    </row>
    <row r="61" spans="1:26" x14ac:dyDescent="0.25">
      <c r="K61" s="11"/>
      <c r="L61" s="11">
        <v>24</v>
      </c>
      <c r="M61" s="11">
        <v>1</v>
      </c>
      <c r="N61" s="11">
        <v>1</v>
      </c>
      <c r="O61" s="4" t="s">
        <v>874</v>
      </c>
      <c r="P61" s="4">
        <v>10</v>
      </c>
      <c r="Z61" s="4"/>
    </row>
    <row r="62" spans="1:26" x14ac:dyDescent="0.25">
      <c r="A62" t="s">
        <v>894</v>
      </c>
      <c r="B62">
        <v>10</v>
      </c>
      <c r="K62" s="11"/>
      <c r="L62" s="11"/>
      <c r="M62" s="11"/>
      <c r="N62" s="11">
        <v>3</v>
      </c>
      <c r="Z62" s="4"/>
    </row>
    <row r="63" spans="1:26" x14ac:dyDescent="0.25">
      <c r="A63">
        <v>2.5</v>
      </c>
      <c r="B63">
        <v>7.5</v>
      </c>
      <c r="C63">
        <v>12</v>
      </c>
      <c r="D63">
        <v>20.8</v>
      </c>
      <c r="E63">
        <v>28.8</v>
      </c>
      <c r="F63">
        <v>28.8</v>
      </c>
      <c r="G63">
        <v>30.8</v>
      </c>
      <c r="H63">
        <v>30.8</v>
      </c>
      <c r="I63">
        <v>35</v>
      </c>
      <c r="J63">
        <v>35</v>
      </c>
      <c r="K63" s="11"/>
      <c r="L63" s="11">
        <v>21</v>
      </c>
      <c r="M63" s="11">
        <v>2</v>
      </c>
      <c r="N63" s="11">
        <v>4</v>
      </c>
      <c r="O63" s="4" t="s">
        <v>875</v>
      </c>
      <c r="P63" s="4">
        <v>10</v>
      </c>
      <c r="Z63" s="4"/>
    </row>
    <row r="64" spans="1:26" x14ac:dyDescent="0.25">
      <c r="K64" s="11"/>
      <c r="L64" s="11"/>
      <c r="M64" s="11"/>
      <c r="N64" s="11">
        <v>6</v>
      </c>
      <c r="Z64" s="4"/>
    </row>
    <row r="65" spans="1:26" x14ac:dyDescent="0.25">
      <c r="A65" t="s">
        <v>895</v>
      </c>
      <c r="B65">
        <v>10</v>
      </c>
      <c r="K65" s="11"/>
      <c r="L65" s="11">
        <v>53</v>
      </c>
      <c r="M65" s="11">
        <v>3</v>
      </c>
      <c r="N65" s="11">
        <v>7</v>
      </c>
      <c r="O65" s="4" t="s">
        <v>876</v>
      </c>
      <c r="P65" s="4">
        <v>10</v>
      </c>
      <c r="Z65" s="4"/>
    </row>
    <row r="66" spans="1:26" x14ac:dyDescent="0.25">
      <c r="A66">
        <v>2.5</v>
      </c>
      <c r="B66">
        <v>7.5</v>
      </c>
      <c r="C66">
        <v>12</v>
      </c>
      <c r="D66">
        <v>20.8</v>
      </c>
      <c r="E66">
        <v>28.8</v>
      </c>
      <c r="F66">
        <v>28.8</v>
      </c>
      <c r="G66">
        <v>30.8</v>
      </c>
      <c r="H66">
        <v>30.8</v>
      </c>
      <c r="I66">
        <v>35</v>
      </c>
      <c r="J66">
        <v>35</v>
      </c>
      <c r="K66" s="11"/>
      <c r="L66" s="11"/>
      <c r="M66" s="11"/>
      <c r="N66" s="11">
        <v>9</v>
      </c>
      <c r="Z66" s="4"/>
    </row>
    <row r="67" spans="1:26" x14ac:dyDescent="0.25">
      <c r="K67" s="11"/>
      <c r="L67" s="11">
        <v>4</v>
      </c>
      <c r="M67" s="11">
        <v>4</v>
      </c>
      <c r="N67" s="11">
        <v>10</v>
      </c>
      <c r="O67" s="4" t="s">
        <v>877</v>
      </c>
      <c r="P67" s="4">
        <v>10</v>
      </c>
      <c r="Z67" s="4"/>
    </row>
    <row r="68" spans="1:26" x14ac:dyDescent="0.25">
      <c r="A68" t="s">
        <v>896</v>
      </c>
      <c r="B68">
        <v>10</v>
      </c>
      <c r="K68" s="11"/>
      <c r="L68" s="11"/>
      <c r="M68" s="11"/>
      <c r="N68" s="11">
        <v>12</v>
      </c>
      <c r="Z68" s="4"/>
    </row>
    <row r="69" spans="1:26" x14ac:dyDescent="0.25">
      <c r="A69">
        <v>50</v>
      </c>
      <c r="B69">
        <v>250</v>
      </c>
      <c r="C69">
        <v>850</v>
      </c>
      <c r="D69">
        <v>1500</v>
      </c>
      <c r="E69">
        <v>1800</v>
      </c>
      <c r="F69">
        <v>2100</v>
      </c>
      <c r="G69">
        <v>2100</v>
      </c>
      <c r="H69">
        <v>2500</v>
      </c>
      <c r="I69">
        <v>2600</v>
      </c>
      <c r="J69">
        <v>2600</v>
      </c>
      <c r="K69" s="11"/>
      <c r="L69" s="11">
        <v>56</v>
      </c>
      <c r="M69" s="11">
        <v>5</v>
      </c>
      <c r="N69" s="11">
        <v>13</v>
      </c>
      <c r="O69" s="4" t="s">
        <v>878</v>
      </c>
      <c r="P69" s="4">
        <v>10</v>
      </c>
      <c r="Z69" s="4"/>
    </row>
    <row r="70" spans="1:26" x14ac:dyDescent="0.25">
      <c r="K70" s="11"/>
      <c r="L70" s="11"/>
      <c r="M70" s="11"/>
      <c r="N70" s="11">
        <v>15</v>
      </c>
      <c r="Z70" s="4"/>
    </row>
    <row r="71" spans="1:26" x14ac:dyDescent="0.25">
      <c r="A71" t="s">
        <v>897</v>
      </c>
      <c r="B71">
        <v>10</v>
      </c>
      <c r="K71" s="11"/>
      <c r="L71" s="11">
        <v>47</v>
      </c>
      <c r="M71" s="11">
        <v>6</v>
      </c>
      <c r="N71" s="11">
        <v>16</v>
      </c>
      <c r="O71" s="4" t="s">
        <v>879</v>
      </c>
      <c r="P71" s="4">
        <v>10</v>
      </c>
    </row>
    <row r="72" spans="1:26" x14ac:dyDescent="0.25">
      <c r="A72">
        <v>5</v>
      </c>
      <c r="B72">
        <v>130</v>
      </c>
      <c r="C72">
        <v>160</v>
      </c>
      <c r="D72">
        <v>150</v>
      </c>
      <c r="E72">
        <v>150</v>
      </c>
      <c r="F72">
        <v>180</v>
      </c>
      <c r="G72">
        <v>125</v>
      </c>
      <c r="H72">
        <v>128</v>
      </c>
      <c r="I72">
        <v>130</v>
      </c>
      <c r="J72">
        <v>130</v>
      </c>
      <c r="K72" s="11"/>
      <c r="L72" s="11"/>
      <c r="M72" s="11"/>
      <c r="N72" s="11">
        <v>18</v>
      </c>
    </row>
    <row r="73" spans="1:26" x14ac:dyDescent="0.25">
      <c r="K73" s="11"/>
      <c r="L73" s="11">
        <v>54</v>
      </c>
      <c r="M73" s="11">
        <v>7</v>
      </c>
      <c r="N73" s="11">
        <v>19</v>
      </c>
      <c r="O73" s="4" t="s">
        <v>880</v>
      </c>
      <c r="P73" s="4">
        <v>10</v>
      </c>
    </row>
    <row r="74" spans="1:26" x14ac:dyDescent="0.25">
      <c r="A74" t="s">
        <v>898</v>
      </c>
      <c r="B74">
        <v>10</v>
      </c>
      <c r="K74" s="11"/>
      <c r="L74" s="11"/>
      <c r="M74" s="11"/>
      <c r="N74" s="11">
        <v>21</v>
      </c>
    </row>
    <row r="75" spans="1:26" x14ac:dyDescent="0.25">
      <c r="A75">
        <v>1</v>
      </c>
      <c r="B75">
        <v>5</v>
      </c>
      <c r="C75">
        <v>15</v>
      </c>
      <c r="D75">
        <v>25</v>
      </c>
      <c r="E75">
        <v>45</v>
      </c>
      <c r="F75">
        <v>45</v>
      </c>
      <c r="G75">
        <v>45</v>
      </c>
      <c r="H75">
        <v>45</v>
      </c>
      <c r="I75">
        <v>50</v>
      </c>
      <c r="J75">
        <v>50</v>
      </c>
      <c r="K75" s="11"/>
      <c r="L75" s="11">
        <v>58</v>
      </c>
      <c r="M75" s="11">
        <v>8</v>
      </c>
      <c r="N75" s="11">
        <v>22</v>
      </c>
      <c r="O75" s="4" t="s">
        <v>881</v>
      </c>
      <c r="P75" s="4">
        <v>10</v>
      </c>
    </row>
    <row r="76" spans="1:26" x14ac:dyDescent="0.25">
      <c r="K76" s="11"/>
      <c r="L76" s="11"/>
      <c r="M76" s="11"/>
      <c r="N76" s="11">
        <v>24</v>
      </c>
    </row>
    <row r="77" spans="1:26" x14ac:dyDescent="0.25">
      <c r="A77" t="s">
        <v>899</v>
      </c>
      <c r="B77">
        <v>10</v>
      </c>
      <c r="K77" s="11"/>
      <c r="L77" s="11">
        <v>20</v>
      </c>
      <c r="M77" s="11">
        <v>9</v>
      </c>
      <c r="N77" s="11">
        <v>25</v>
      </c>
      <c r="O77" s="4" t="s">
        <v>882</v>
      </c>
      <c r="P77" s="4">
        <v>10</v>
      </c>
    </row>
    <row r="78" spans="1:26" x14ac:dyDescent="0.25">
      <c r="A78">
        <v>1</v>
      </c>
      <c r="B78">
        <v>5</v>
      </c>
      <c r="C78">
        <v>15</v>
      </c>
      <c r="D78">
        <v>25</v>
      </c>
      <c r="E78">
        <v>45</v>
      </c>
      <c r="F78">
        <v>45</v>
      </c>
      <c r="G78">
        <v>45</v>
      </c>
      <c r="H78">
        <v>45</v>
      </c>
      <c r="I78">
        <v>50</v>
      </c>
      <c r="J78">
        <v>50</v>
      </c>
      <c r="K78" s="11"/>
      <c r="L78" s="11"/>
      <c r="M78" s="11"/>
      <c r="N78" s="11">
        <v>27</v>
      </c>
    </row>
    <row r="79" spans="1:26" x14ac:dyDescent="0.25">
      <c r="K79" s="11"/>
      <c r="L79" s="11">
        <v>30</v>
      </c>
      <c r="M79" s="11">
        <v>10</v>
      </c>
      <c r="N79" s="11">
        <v>28</v>
      </c>
      <c r="O79" s="4" t="s">
        <v>883</v>
      </c>
      <c r="P79" s="4">
        <v>10</v>
      </c>
    </row>
    <row r="80" spans="1:26" x14ac:dyDescent="0.25">
      <c r="A80" t="s">
        <v>900</v>
      </c>
      <c r="B80">
        <v>10</v>
      </c>
      <c r="K80" s="11"/>
      <c r="L80" s="11"/>
      <c r="M80" s="11"/>
      <c r="N80" s="11">
        <v>30</v>
      </c>
    </row>
    <row r="81" spans="1:16" x14ac:dyDescent="0.25">
      <c r="A81">
        <v>1</v>
      </c>
      <c r="B81">
        <v>5</v>
      </c>
      <c r="C81">
        <v>15</v>
      </c>
      <c r="D81">
        <v>25</v>
      </c>
      <c r="E81">
        <v>45</v>
      </c>
      <c r="F81">
        <v>45</v>
      </c>
      <c r="G81">
        <v>45</v>
      </c>
      <c r="H81">
        <v>45</v>
      </c>
      <c r="I81">
        <v>50</v>
      </c>
      <c r="J81">
        <v>50</v>
      </c>
      <c r="K81" s="11"/>
      <c r="L81" s="11">
        <v>17</v>
      </c>
      <c r="M81" s="11">
        <v>11</v>
      </c>
      <c r="N81" s="11">
        <v>31</v>
      </c>
      <c r="O81" s="4" t="s">
        <v>884</v>
      </c>
      <c r="P81" s="4">
        <v>10</v>
      </c>
    </row>
    <row r="82" spans="1:16" x14ac:dyDescent="0.25">
      <c r="K82" s="11"/>
      <c r="L82" s="11"/>
      <c r="M82" s="11"/>
      <c r="N82" s="11">
        <v>33</v>
      </c>
    </row>
    <row r="83" spans="1:16" x14ac:dyDescent="0.25">
      <c r="A83" t="s">
        <v>901</v>
      </c>
      <c r="B83">
        <v>10</v>
      </c>
      <c r="K83" s="11"/>
      <c r="L83" s="11">
        <v>16</v>
      </c>
      <c r="M83" s="11">
        <v>12</v>
      </c>
      <c r="N83" s="11">
        <v>34</v>
      </c>
      <c r="O83" s="4" t="s">
        <v>885</v>
      </c>
      <c r="P83" s="4">
        <v>10</v>
      </c>
    </row>
    <row r="84" spans="1:16" x14ac:dyDescent="0.25">
      <c r="A84">
        <v>1</v>
      </c>
      <c r="B84">
        <v>5</v>
      </c>
      <c r="C84">
        <v>15</v>
      </c>
      <c r="D84">
        <v>25</v>
      </c>
      <c r="E84">
        <v>45</v>
      </c>
      <c r="F84">
        <v>45</v>
      </c>
      <c r="G84">
        <v>45</v>
      </c>
      <c r="H84">
        <v>45</v>
      </c>
      <c r="I84">
        <v>50</v>
      </c>
      <c r="J84">
        <v>50</v>
      </c>
      <c r="K84" s="11"/>
      <c r="L84" s="11"/>
      <c r="M84" s="11"/>
      <c r="N84" s="11">
        <v>36</v>
      </c>
    </row>
    <row r="85" spans="1:16" x14ac:dyDescent="0.25">
      <c r="K85" s="11"/>
      <c r="L85" s="11">
        <v>2</v>
      </c>
      <c r="M85" s="11">
        <v>13</v>
      </c>
      <c r="N85" s="11">
        <v>37</v>
      </c>
      <c r="O85" s="4" t="s">
        <v>886</v>
      </c>
      <c r="P85" s="4">
        <v>10</v>
      </c>
    </row>
    <row r="86" spans="1:16" x14ac:dyDescent="0.25">
      <c r="A86" t="s">
        <v>902</v>
      </c>
      <c r="B86">
        <v>10</v>
      </c>
      <c r="K86" s="11"/>
      <c r="L86" s="11"/>
      <c r="M86" s="11"/>
      <c r="N86" s="11">
        <v>39</v>
      </c>
    </row>
    <row r="87" spans="1:16" x14ac:dyDescent="0.25">
      <c r="A87">
        <v>1</v>
      </c>
      <c r="B87">
        <v>5</v>
      </c>
      <c r="C87">
        <v>15</v>
      </c>
      <c r="D87">
        <v>25</v>
      </c>
      <c r="E87">
        <v>45</v>
      </c>
      <c r="F87">
        <v>45</v>
      </c>
      <c r="G87">
        <v>45</v>
      </c>
      <c r="H87">
        <v>45</v>
      </c>
      <c r="I87">
        <v>50</v>
      </c>
      <c r="J87">
        <v>50</v>
      </c>
      <c r="K87" s="11"/>
      <c r="L87" s="11">
        <v>50</v>
      </c>
      <c r="M87" s="11">
        <v>14</v>
      </c>
      <c r="N87" s="11">
        <v>40</v>
      </c>
      <c r="O87" s="4" t="s">
        <v>887</v>
      </c>
      <c r="P87" s="4">
        <v>10</v>
      </c>
    </row>
    <row r="88" spans="1:16" x14ac:dyDescent="0.25">
      <c r="K88" s="11"/>
      <c r="L88" s="11"/>
      <c r="M88" s="11"/>
      <c r="N88" s="11">
        <v>42</v>
      </c>
    </row>
    <row r="89" spans="1:16" x14ac:dyDescent="0.25">
      <c r="A89" t="s">
        <v>903</v>
      </c>
      <c r="B89">
        <v>10</v>
      </c>
      <c r="K89" s="11"/>
      <c r="L89" s="11">
        <v>3</v>
      </c>
      <c r="M89" s="11">
        <v>15</v>
      </c>
      <c r="N89" s="11">
        <v>43</v>
      </c>
      <c r="O89" s="4" t="s">
        <v>888</v>
      </c>
      <c r="P89" s="4">
        <v>10</v>
      </c>
    </row>
    <row r="90" spans="1:16" x14ac:dyDescent="0.25">
      <c r="A90">
        <v>1</v>
      </c>
      <c r="B90">
        <v>5</v>
      </c>
      <c r="C90">
        <v>15</v>
      </c>
      <c r="D90">
        <v>25</v>
      </c>
      <c r="E90">
        <v>45</v>
      </c>
      <c r="F90">
        <v>45</v>
      </c>
      <c r="G90">
        <v>45</v>
      </c>
      <c r="H90">
        <v>45</v>
      </c>
      <c r="I90">
        <v>50</v>
      </c>
      <c r="J90">
        <v>50</v>
      </c>
      <c r="K90" s="11"/>
      <c r="L90" s="11"/>
      <c r="M90" s="11"/>
      <c r="N90" s="11">
        <v>45</v>
      </c>
    </row>
    <row r="91" spans="1:16" x14ac:dyDescent="0.25">
      <c r="K91" s="11"/>
      <c r="L91" s="11">
        <v>26</v>
      </c>
      <c r="M91" s="11">
        <v>16</v>
      </c>
      <c r="N91" s="11">
        <v>46</v>
      </c>
      <c r="O91" s="4" t="s">
        <v>889</v>
      </c>
      <c r="P91" s="4">
        <v>10</v>
      </c>
    </row>
    <row r="92" spans="1:16" x14ac:dyDescent="0.25">
      <c r="A92" t="s">
        <v>904</v>
      </c>
      <c r="B92">
        <v>10</v>
      </c>
      <c r="K92" s="11"/>
      <c r="L92" s="11"/>
      <c r="M92" s="11"/>
      <c r="N92" s="11">
        <v>48</v>
      </c>
    </row>
    <row r="93" spans="1:16" x14ac:dyDescent="0.25">
      <c r="A93">
        <v>1</v>
      </c>
      <c r="B93">
        <v>5</v>
      </c>
      <c r="C93">
        <v>15</v>
      </c>
      <c r="D93">
        <v>25</v>
      </c>
      <c r="E93">
        <v>45</v>
      </c>
      <c r="F93">
        <v>45</v>
      </c>
      <c r="G93">
        <v>45</v>
      </c>
      <c r="H93">
        <v>45</v>
      </c>
      <c r="I93">
        <v>50</v>
      </c>
      <c r="J93">
        <v>50</v>
      </c>
      <c r="K93" s="11"/>
      <c r="L93" s="11">
        <v>8</v>
      </c>
      <c r="M93" s="11">
        <v>17</v>
      </c>
      <c r="N93" s="11">
        <v>49</v>
      </c>
      <c r="O93" s="4" t="s">
        <v>890</v>
      </c>
      <c r="P93" s="4">
        <v>10</v>
      </c>
    </row>
    <row r="94" spans="1:16" x14ac:dyDescent="0.25">
      <c r="K94" s="11"/>
      <c r="L94" s="11"/>
      <c r="M94" s="11"/>
      <c r="N94" s="11">
        <v>51</v>
      </c>
    </row>
    <row r="95" spans="1:16" x14ac:dyDescent="0.25">
      <c r="A95" t="s">
        <v>905</v>
      </c>
      <c r="B95">
        <v>10</v>
      </c>
      <c r="K95" s="11"/>
      <c r="L95" s="11">
        <v>1</v>
      </c>
      <c r="M95" s="11">
        <v>18</v>
      </c>
      <c r="N95" s="11">
        <v>52</v>
      </c>
      <c r="O95" s="4" t="s">
        <v>891</v>
      </c>
      <c r="P95" s="4">
        <v>10</v>
      </c>
    </row>
    <row r="96" spans="1:16" x14ac:dyDescent="0.25">
      <c r="A96">
        <v>1</v>
      </c>
      <c r="B96">
        <v>5</v>
      </c>
      <c r="C96">
        <v>15</v>
      </c>
      <c r="D96">
        <v>25</v>
      </c>
      <c r="E96">
        <v>45</v>
      </c>
      <c r="F96">
        <v>45</v>
      </c>
      <c r="G96">
        <v>45</v>
      </c>
      <c r="H96">
        <v>45</v>
      </c>
      <c r="I96">
        <v>50</v>
      </c>
      <c r="J96">
        <v>50</v>
      </c>
      <c r="K96" s="11"/>
      <c r="L96" s="11"/>
      <c r="M96" s="11"/>
      <c r="N96" s="11">
        <v>54</v>
      </c>
    </row>
    <row r="97" spans="1:16" x14ac:dyDescent="0.25">
      <c r="K97" s="11"/>
      <c r="L97" s="11">
        <v>6</v>
      </c>
      <c r="M97" s="11">
        <v>19</v>
      </c>
      <c r="N97" s="11">
        <v>55</v>
      </c>
      <c r="O97" s="4" t="s">
        <v>892</v>
      </c>
      <c r="P97" s="4">
        <v>10</v>
      </c>
    </row>
    <row r="98" spans="1:16" x14ac:dyDescent="0.25">
      <c r="A98" t="s">
        <v>906</v>
      </c>
      <c r="B98">
        <v>10</v>
      </c>
      <c r="K98" s="11"/>
      <c r="L98" s="11"/>
      <c r="M98" s="11"/>
      <c r="N98" s="11">
        <v>57</v>
      </c>
    </row>
    <row r="99" spans="1:16" x14ac:dyDescent="0.25">
      <c r="A99">
        <v>1</v>
      </c>
      <c r="B99">
        <v>5</v>
      </c>
      <c r="C99">
        <v>15</v>
      </c>
      <c r="D99">
        <v>25</v>
      </c>
      <c r="E99">
        <v>45</v>
      </c>
      <c r="F99">
        <v>45</v>
      </c>
      <c r="G99">
        <v>45</v>
      </c>
      <c r="H99">
        <v>45</v>
      </c>
      <c r="I99">
        <v>50</v>
      </c>
      <c r="J99">
        <v>50</v>
      </c>
      <c r="K99" s="11"/>
      <c r="L99" s="11">
        <v>18</v>
      </c>
      <c r="M99" s="11">
        <v>20</v>
      </c>
      <c r="N99" s="11">
        <v>58</v>
      </c>
      <c r="O99" s="4" t="s">
        <v>893</v>
      </c>
      <c r="P99" s="4">
        <v>10</v>
      </c>
    </row>
    <row r="100" spans="1:16" x14ac:dyDescent="0.25">
      <c r="K100" s="11"/>
      <c r="L100" s="11"/>
      <c r="M100" s="11"/>
      <c r="N100" s="11">
        <v>60</v>
      </c>
    </row>
    <row r="101" spans="1:16" x14ac:dyDescent="0.25">
      <c r="A101" t="s">
        <v>907</v>
      </c>
      <c r="B101">
        <v>10</v>
      </c>
      <c r="K101" s="11"/>
      <c r="L101" s="11">
        <v>25</v>
      </c>
      <c r="M101" s="11">
        <v>21</v>
      </c>
      <c r="N101" s="11">
        <v>61</v>
      </c>
      <c r="O101" s="4" t="s">
        <v>894</v>
      </c>
      <c r="P101" s="4">
        <v>10</v>
      </c>
    </row>
    <row r="102" spans="1:16" x14ac:dyDescent="0.25">
      <c r="A102">
        <v>1</v>
      </c>
      <c r="B102">
        <v>5</v>
      </c>
      <c r="C102">
        <v>15</v>
      </c>
      <c r="D102">
        <v>25</v>
      </c>
      <c r="E102">
        <v>45</v>
      </c>
      <c r="F102">
        <v>45</v>
      </c>
      <c r="G102">
        <v>45</v>
      </c>
      <c r="H102">
        <v>45</v>
      </c>
      <c r="I102">
        <v>50</v>
      </c>
      <c r="J102">
        <v>50</v>
      </c>
      <c r="K102" s="11"/>
      <c r="L102" s="11"/>
      <c r="M102" s="11"/>
      <c r="N102" s="11">
        <v>63</v>
      </c>
    </row>
    <row r="103" spans="1:16" x14ac:dyDescent="0.25">
      <c r="K103" s="11"/>
      <c r="L103" s="11">
        <v>14</v>
      </c>
      <c r="M103" s="11">
        <v>22</v>
      </c>
      <c r="N103" s="11">
        <v>64</v>
      </c>
      <c r="O103" s="4" t="s">
        <v>895</v>
      </c>
      <c r="P103" s="4">
        <v>10</v>
      </c>
    </row>
    <row r="104" spans="1:16" x14ac:dyDescent="0.25">
      <c r="A104" t="s">
        <v>908</v>
      </c>
      <c r="B104">
        <v>10</v>
      </c>
      <c r="K104" s="11"/>
      <c r="L104" s="11"/>
      <c r="M104" s="11"/>
      <c r="N104" s="11">
        <v>66</v>
      </c>
    </row>
    <row r="105" spans="1:16" x14ac:dyDescent="0.25">
      <c r="A105">
        <v>1</v>
      </c>
      <c r="B105">
        <v>5</v>
      </c>
      <c r="C105">
        <v>15</v>
      </c>
      <c r="D105">
        <v>25</v>
      </c>
      <c r="E105">
        <v>45</v>
      </c>
      <c r="F105">
        <v>45</v>
      </c>
      <c r="G105">
        <v>45</v>
      </c>
      <c r="H105">
        <v>45</v>
      </c>
      <c r="I105">
        <v>50</v>
      </c>
      <c r="J105">
        <v>50</v>
      </c>
      <c r="K105" s="11"/>
      <c r="L105" s="11">
        <v>10</v>
      </c>
      <c r="M105" s="11">
        <v>23</v>
      </c>
      <c r="N105" s="11">
        <v>67</v>
      </c>
      <c r="O105" s="4" t="s">
        <v>896</v>
      </c>
      <c r="P105" s="4">
        <v>10</v>
      </c>
    </row>
    <row r="106" spans="1:16" x14ac:dyDescent="0.25">
      <c r="K106" s="11"/>
      <c r="L106" s="11"/>
      <c r="M106" s="11"/>
      <c r="N106" s="11">
        <v>69</v>
      </c>
    </row>
    <row r="107" spans="1:16" x14ac:dyDescent="0.25">
      <c r="A107" t="s">
        <v>909</v>
      </c>
      <c r="B107">
        <v>10</v>
      </c>
      <c r="K107" s="11"/>
      <c r="L107" s="11">
        <v>42</v>
      </c>
      <c r="M107" s="11">
        <v>24</v>
      </c>
      <c r="N107" s="11">
        <v>70</v>
      </c>
      <c r="O107" s="4" t="s">
        <v>897</v>
      </c>
      <c r="P107" s="4">
        <v>10</v>
      </c>
    </row>
    <row r="108" spans="1:16" x14ac:dyDescent="0.25">
      <c r="A108">
        <v>1</v>
      </c>
      <c r="B108">
        <v>5</v>
      </c>
      <c r="C108">
        <v>15</v>
      </c>
      <c r="D108">
        <v>25</v>
      </c>
      <c r="E108">
        <v>45</v>
      </c>
      <c r="F108">
        <v>45</v>
      </c>
      <c r="G108">
        <v>45</v>
      </c>
      <c r="H108">
        <v>45</v>
      </c>
      <c r="I108">
        <v>50</v>
      </c>
      <c r="J108">
        <v>50</v>
      </c>
      <c r="K108" s="11"/>
      <c r="L108" s="11"/>
      <c r="M108" s="11"/>
      <c r="N108" s="11">
        <v>72</v>
      </c>
    </row>
    <row r="109" spans="1:16" x14ac:dyDescent="0.25">
      <c r="K109" s="11"/>
      <c r="L109" s="11">
        <v>27</v>
      </c>
      <c r="M109" s="11">
        <v>25</v>
      </c>
      <c r="N109" s="11">
        <v>73</v>
      </c>
      <c r="O109" s="4" t="s">
        <v>898</v>
      </c>
      <c r="P109" s="4">
        <v>10</v>
      </c>
    </row>
    <row r="110" spans="1:16" x14ac:dyDescent="0.25">
      <c r="A110" t="s">
        <v>910</v>
      </c>
      <c r="B110">
        <v>10</v>
      </c>
      <c r="K110" s="11"/>
      <c r="L110" s="11"/>
      <c r="M110" s="11"/>
      <c r="N110" s="11">
        <v>75</v>
      </c>
    </row>
    <row r="111" spans="1:16" x14ac:dyDescent="0.25">
      <c r="A111">
        <v>1</v>
      </c>
      <c r="B111">
        <v>5</v>
      </c>
      <c r="C111">
        <v>15</v>
      </c>
      <c r="D111">
        <v>25</v>
      </c>
      <c r="E111">
        <v>45</v>
      </c>
      <c r="F111">
        <v>45</v>
      </c>
      <c r="G111">
        <v>45</v>
      </c>
      <c r="H111">
        <v>45</v>
      </c>
      <c r="I111">
        <v>50</v>
      </c>
      <c r="J111">
        <v>50</v>
      </c>
      <c r="K111" s="11"/>
      <c r="L111" s="11">
        <v>31</v>
      </c>
      <c r="M111" s="11">
        <v>26</v>
      </c>
      <c r="N111" s="11">
        <v>76</v>
      </c>
      <c r="O111" s="4" t="s">
        <v>899</v>
      </c>
      <c r="P111" s="4">
        <v>10</v>
      </c>
    </row>
    <row r="112" spans="1:16" x14ac:dyDescent="0.25">
      <c r="K112" s="11"/>
      <c r="L112" s="11"/>
      <c r="M112" s="11"/>
      <c r="N112" s="11">
        <v>78</v>
      </c>
    </row>
    <row r="113" spans="1:16" x14ac:dyDescent="0.25">
      <c r="A113" t="s">
        <v>911</v>
      </c>
      <c r="B113">
        <v>10</v>
      </c>
      <c r="K113" s="11"/>
      <c r="L113" s="11">
        <v>36</v>
      </c>
      <c r="M113" s="11">
        <v>27</v>
      </c>
      <c r="N113" s="11">
        <v>79</v>
      </c>
      <c r="O113" s="4" t="s">
        <v>900</v>
      </c>
      <c r="P113" s="4">
        <v>10</v>
      </c>
    </row>
    <row r="114" spans="1:16" x14ac:dyDescent="0.25">
      <c r="A114">
        <v>1</v>
      </c>
      <c r="B114">
        <v>5</v>
      </c>
      <c r="C114">
        <v>15</v>
      </c>
      <c r="D114">
        <v>25</v>
      </c>
      <c r="E114">
        <v>45</v>
      </c>
      <c r="F114">
        <v>45</v>
      </c>
      <c r="G114">
        <v>45</v>
      </c>
      <c r="H114">
        <v>45</v>
      </c>
      <c r="I114">
        <v>50</v>
      </c>
      <c r="J114">
        <v>50</v>
      </c>
      <c r="K114" s="11"/>
      <c r="L114" s="11"/>
      <c r="M114" s="11"/>
      <c r="N114" s="11">
        <v>81</v>
      </c>
    </row>
    <row r="115" spans="1:16" x14ac:dyDescent="0.25">
      <c r="K115" s="11"/>
      <c r="L115" s="11">
        <v>7</v>
      </c>
      <c r="M115" s="11">
        <v>28</v>
      </c>
      <c r="N115" s="11">
        <v>82</v>
      </c>
      <c r="O115" s="4" t="s">
        <v>901</v>
      </c>
      <c r="P115" s="4">
        <v>10</v>
      </c>
    </row>
    <row r="116" spans="1:16" x14ac:dyDescent="0.25">
      <c r="A116" t="s">
        <v>912</v>
      </c>
      <c r="B116">
        <v>10</v>
      </c>
      <c r="K116" s="11"/>
      <c r="L116" s="11"/>
      <c r="M116" s="11"/>
      <c r="N116" s="11">
        <v>84</v>
      </c>
    </row>
    <row r="117" spans="1:16" x14ac:dyDescent="0.25">
      <c r="A117">
        <v>1</v>
      </c>
      <c r="B117">
        <v>5</v>
      </c>
      <c r="C117">
        <v>15</v>
      </c>
      <c r="D117">
        <v>25</v>
      </c>
      <c r="E117">
        <v>45</v>
      </c>
      <c r="F117">
        <v>45</v>
      </c>
      <c r="G117">
        <v>45</v>
      </c>
      <c r="H117">
        <v>45</v>
      </c>
      <c r="I117">
        <v>50</v>
      </c>
      <c r="J117">
        <v>50</v>
      </c>
      <c r="K117" s="11"/>
      <c r="L117" s="11">
        <v>40</v>
      </c>
      <c r="M117" s="11">
        <v>29</v>
      </c>
      <c r="N117" s="11">
        <v>85</v>
      </c>
      <c r="O117" s="4" t="s">
        <v>902</v>
      </c>
      <c r="P117" s="4">
        <v>10</v>
      </c>
    </row>
    <row r="118" spans="1:16" x14ac:dyDescent="0.25">
      <c r="K118" s="11"/>
      <c r="L118" s="11"/>
      <c r="M118" s="11"/>
      <c r="N118" s="11">
        <v>87</v>
      </c>
    </row>
    <row r="119" spans="1:16" x14ac:dyDescent="0.25">
      <c r="A119" t="s">
        <v>913</v>
      </c>
      <c r="B119">
        <v>10</v>
      </c>
      <c r="K119" s="11"/>
      <c r="L119" s="11">
        <v>52</v>
      </c>
      <c r="M119" s="11">
        <v>30</v>
      </c>
      <c r="N119" s="11">
        <v>88</v>
      </c>
      <c r="O119" s="4" t="s">
        <v>903</v>
      </c>
      <c r="P119" s="4">
        <v>10</v>
      </c>
    </row>
    <row r="120" spans="1:16" x14ac:dyDescent="0.25">
      <c r="A120">
        <v>1</v>
      </c>
      <c r="B120">
        <v>5</v>
      </c>
      <c r="C120">
        <v>15</v>
      </c>
      <c r="D120">
        <v>25</v>
      </c>
      <c r="E120">
        <v>45</v>
      </c>
      <c r="F120">
        <v>45</v>
      </c>
      <c r="G120">
        <v>45</v>
      </c>
      <c r="H120">
        <v>45</v>
      </c>
      <c r="I120">
        <v>50</v>
      </c>
      <c r="J120">
        <v>50</v>
      </c>
      <c r="K120" s="11"/>
      <c r="L120" s="11"/>
      <c r="M120" s="11"/>
      <c r="N120" s="11">
        <v>90</v>
      </c>
    </row>
    <row r="121" spans="1:16" x14ac:dyDescent="0.25">
      <c r="K121" s="11"/>
      <c r="L121" s="11">
        <v>34</v>
      </c>
      <c r="M121" s="11">
        <v>31</v>
      </c>
      <c r="N121" s="11">
        <v>91</v>
      </c>
      <c r="O121" s="4" t="s">
        <v>904</v>
      </c>
      <c r="P121" s="4">
        <v>10</v>
      </c>
    </row>
    <row r="122" spans="1:16" x14ac:dyDescent="0.25">
      <c r="A122" t="s">
        <v>914</v>
      </c>
      <c r="B122">
        <v>10</v>
      </c>
      <c r="K122" s="11"/>
      <c r="L122" s="11"/>
      <c r="M122" s="11"/>
      <c r="N122" s="11">
        <v>93</v>
      </c>
    </row>
    <row r="123" spans="1:16" x14ac:dyDescent="0.25">
      <c r="A123">
        <v>2.5</v>
      </c>
      <c r="B123">
        <v>7.5</v>
      </c>
      <c r="C123">
        <v>15</v>
      </c>
      <c r="D123">
        <v>17.8</v>
      </c>
      <c r="E123">
        <v>18.8</v>
      </c>
      <c r="F123">
        <v>19.8</v>
      </c>
      <c r="G123">
        <v>20.8</v>
      </c>
      <c r="H123">
        <v>21.8</v>
      </c>
      <c r="I123">
        <v>22</v>
      </c>
      <c r="J123">
        <v>22</v>
      </c>
      <c r="K123" s="11"/>
      <c r="L123" s="11">
        <v>28</v>
      </c>
      <c r="M123" s="11">
        <v>32</v>
      </c>
      <c r="N123" s="11">
        <v>94</v>
      </c>
      <c r="O123" s="4" t="s">
        <v>905</v>
      </c>
      <c r="P123" s="4">
        <v>10</v>
      </c>
    </row>
    <row r="124" spans="1:16" x14ac:dyDescent="0.25">
      <c r="K124" s="11"/>
      <c r="L124" s="11"/>
      <c r="M124" s="11"/>
      <c r="N124" s="11">
        <v>96</v>
      </c>
    </row>
    <row r="125" spans="1:16" x14ac:dyDescent="0.25">
      <c r="A125" t="s">
        <v>915</v>
      </c>
      <c r="B125">
        <v>10</v>
      </c>
      <c r="K125" s="11"/>
      <c r="L125" s="11">
        <v>38</v>
      </c>
      <c r="M125" s="11">
        <v>33</v>
      </c>
      <c r="N125" s="11">
        <v>97</v>
      </c>
      <c r="O125" s="4" t="s">
        <v>906</v>
      </c>
      <c r="P125" s="4">
        <v>10</v>
      </c>
    </row>
    <row r="126" spans="1:16" x14ac:dyDescent="0.25">
      <c r="A126">
        <v>5</v>
      </c>
      <c r="B126">
        <v>7.5</v>
      </c>
      <c r="C126">
        <v>20</v>
      </c>
      <c r="D126">
        <v>45</v>
      </c>
      <c r="E126">
        <v>50</v>
      </c>
      <c r="F126">
        <v>80</v>
      </c>
      <c r="G126">
        <v>130</v>
      </c>
      <c r="H126">
        <v>180</v>
      </c>
      <c r="I126">
        <v>210</v>
      </c>
      <c r="J126">
        <v>210</v>
      </c>
      <c r="K126" s="11"/>
      <c r="L126" s="11"/>
      <c r="M126" s="11"/>
      <c r="N126" s="11">
        <v>99</v>
      </c>
    </row>
    <row r="127" spans="1:16" x14ac:dyDescent="0.25">
      <c r="K127" s="11"/>
      <c r="L127" s="11">
        <v>12</v>
      </c>
      <c r="M127" s="11">
        <v>34</v>
      </c>
      <c r="N127" s="11">
        <v>100</v>
      </c>
      <c r="O127" s="4" t="s">
        <v>907</v>
      </c>
      <c r="P127" s="4">
        <v>10</v>
      </c>
    </row>
    <row r="128" spans="1:16" x14ac:dyDescent="0.25">
      <c r="A128" t="s">
        <v>916</v>
      </c>
      <c r="B128">
        <v>10</v>
      </c>
      <c r="K128" s="11"/>
      <c r="L128" s="11"/>
      <c r="M128" s="11"/>
      <c r="N128" s="11">
        <v>102</v>
      </c>
    </row>
    <row r="129" spans="1:16" x14ac:dyDescent="0.25">
      <c r="A129">
        <v>5</v>
      </c>
      <c r="B129">
        <v>7.5</v>
      </c>
      <c r="C129">
        <v>20</v>
      </c>
      <c r="D129">
        <v>45</v>
      </c>
      <c r="E129">
        <v>50</v>
      </c>
      <c r="F129">
        <v>80</v>
      </c>
      <c r="G129">
        <v>130</v>
      </c>
      <c r="H129">
        <v>180</v>
      </c>
      <c r="I129">
        <v>210</v>
      </c>
      <c r="J129">
        <v>210</v>
      </c>
      <c r="K129" s="11"/>
      <c r="L129" s="11">
        <v>46</v>
      </c>
      <c r="M129" s="11">
        <v>35</v>
      </c>
      <c r="N129" s="11">
        <v>103</v>
      </c>
      <c r="O129" s="4" t="s">
        <v>908</v>
      </c>
      <c r="P129" s="4">
        <v>10</v>
      </c>
    </row>
    <row r="130" spans="1:16" x14ac:dyDescent="0.25">
      <c r="K130" s="11"/>
      <c r="L130" s="11"/>
      <c r="M130" s="11"/>
      <c r="N130" s="11">
        <v>105</v>
      </c>
    </row>
    <row r="131" spans="1:16" x14ac:dyDescent="0.25">
      <c r="A131" t="s">
        <v>917</v>
      </c>
      <c r="B131">
        <v>10</v>
      </c>
      <c r="K131" s="11"/>
      <c r="L131" s="11">
        <v>49</v>
      </c>
      <c r="M131" s="11">
        <v>36</v>
      </c>
      <c r="N131" s="11">
        <v>106</v>
      </c>
      <c r="O131" s="4" t="s">
        <v>909</v>
      </c>
      <c r="P131" s="4">
        <v>10</v>
      </c>
    </row>
    <row r="132" spans="1:16" x14ac:dyDescent="0.25">
      <c r="A132">
        <v>5</v>
      </c>
      <c r="B132">
        <v>20</v>
      </c>
      <c r="C132">
        <v>40</v>
      </c>
      <c r="D132">
        <v>50</v>
      </c>
      <c r="E132">
        <v>50</v>
      </c>
      <c r="F132">
        <v>70</v>
      </c>
      <c r="G132">
        <v>70</v>
      </c>
      <c r="H132">
        <v>70</v>
      </c>
      <c r="I132">
        <v>100</v>
      </c>
      <c r="J132">
        <v>100</v>
      </c>
      <c r="K132" s="11"/>
      <c r="L132" s="11"/>
      <c r="M132" s="11"/>
      <c r="N132" s="11">
        <v>108</v>
      </c>
    </row>
    <row r="133" spans="1:16" x14ac:dyDescent="0.25">
      <c r="K133" s="11"/>
      <c r="L133" s="11">
        <v>55</v>
      </c>
      <c r="M133" s="11">
        <v>37</v>
      </c>
      <c r="N133" s="11">
        <v>109</v>
      </c>
      <c r="O133" s="4" t="s">
        <v>910</v>
      </c>
      <c r="P133" s="4">
        <v>10</v>
      </c>
    </row>
    <row r="134" spans="1:16" x14ac:dyDescent="0.25">
      <c r="A134" t="s">
        <v>918</v>
      </c>
      <c r="B134">
        <v>10</v>
      </c>
      <c r="K134" s="11"/>
      <c r="L134" s="11"/>
      <c r="M134" s="11"/>
      <c r="N134" s="11">
        <v>111</v>
      </c>
    </row>
    <row r="135" spans="1:16" x14ac:dyDescent="0.25">
      <c r="A135">
        <v>5</v>
      </c>
      <c r="B135">
        <v>20</v>
      </c>
      <c r="C135">
        <v>40</v>
      </c>
      <c r="D135">
        <v>50</v>
      </c>
      <c r="E135">
        <v>50</v>
      </c>
      <c r="F135">
        <v>70</v>
      </c>
      <c r="G135">
        <v>70</v>
      </c>
      <c r="H135">
        <v>70</v>
      </c>
      <c r="I135">
        <v>100</v>
      </c>
      <c r="J135">
        <v>100</v>
      </c>
      <c r="K135" s="11"/>
      <c r="L135" s="11">
        <v>41</v>
      </c>
      <c r="M135" s="11">
        <v>38</v>
      </c>
      <c r="N135" s="11">
        <v>112</v>
      </c>
      <c r="O135" s="4" t="s">
        <v>911</v>
      </c>
      <c r="P135" s="4">
        <v>10</v>
      </c>
    </row>
    <row r="136" spans="1:16" x14ac:dyDescent="0.25">
      <c r="K136" s="11"/>
      <c r="L136" s="11"/>
      <c r="M136" s="11"/>
      <c r="N136" s="11">
        <v>114</v>
      </c>
    </row>
    <row r="137" spans="1:16" x14ac:dyDescent="0.25">
      <c r="A137" t="s">
        <v>919</v>
      </c>
      <c r="B137">
        <v>10</v>
      </c>
      <c r="K137" s="11"/>
      <c r="L137" s="11">
        <v>15</v>
      </c>
      <c r="M137" s="11">
        <v>39</v>
      </c>
      <c r="N137" s="11">
        <v>115</v>
      </c>
      <c r="O137" s="4" t="s">
        <v>912</v>
      </c>
      <c r="P137" s="4">
        <v>10</v>
      </c>
    </row>
    <row r="138" spans="1:16" x14ac:dyDescent="0.25">
      <c r="A138">
        <v>30</v>
      </c>
      <c r="B138">
        <v>150</v>
      </c>
      <c r="C138">
        <v>350</v>
      </c>
      <c r="D138">
        <v>850</v>
      </c>
      <c r="E138">
        <v>1450</v>
      </c>
      <c r="F138">
        <v>1450</v>
      </c>
      <c r="G138">
        <v>1850</v>
      </c>
      <c r="H138">
        <v>1850</v>
      </c>
      <c r="I138">
        <v>1850</v>
      </c>
      <c r="J138">
        <v>1850</v>
      </c>
      <c r="K138" s="11"/>
      <c r="L138" s="11"/>
      <c r="M138" s="11"/>
      <c r="N138" s="11">
        <v>117</v>
      </c>
    </row>
    <row r="139" spans="1:16" x14ac:dyDescent="0.25">
      <c r="K139" s="11"/>
      <c r="L139" s="11">
        <v>19</v>
      </c>
      <c r="M139" s="11">
        <v>40</v>
      </c>
      <c r="N139" s="11">
        <v>118</v>
      </c>
      <c r="O139" s="4" t="s">
        <v>913</v>
      </c>
      <c r="P139" s="4">
        <v>10</v>
      </c>
    </row>
    <row r="140" spans="1:16" x14ac:dyDescent="0.25">
      <c r="A140" t="s">
        <v>920</v>
      </c>
      <c r="B140">
        <v>10</v>
      </c>
      <c r="K140" s="11"/>
      <c r="L140" s="11"/>
      <c r="M140" s="11"/>
      <c r="N140" s="11">
        <v>120</v>
      </c>
    </row>
    <row r="141" spans="1:16" x14ac:dyDescent="0.25">
      <c r="A141">
        <v>30</v>
      </c>
      <c r="B141">
        <v>150</v>
      </c>
      <c r="C141">
        <v>350</v>
      </c>
      <c r="D141">
        <v>850</v>
      </c>
      <c r="E141">
        <v>1450</v>
      </c>
      <c r="F141">
        <v>1450</v>
      </c>
      <c r="G141">
        <v>1850</v>
      </c>
      <c r="H141">
        <v>1850</v>
      </c>
      <c r="I141">
        <v>1850</v>
      </c>
      <c r="J141">
        <v>1850</v>
      </c>
      <c r="K141" s="11"/>
      <c r="L141" s="11">
        <v>59</v>
      </c>
      <c r="M141" s="11">
        <v>41</v>
      </c>
      <c r="N141" s="11">
        <v>121</v>
      </c>
      <c r="O141" s="4" t="s">
        <v>914</v>
      </c>
      <c r="P141" s="4">
        <v>10</v>
      </c>
    </row>
    <row r="142" spans="1:16" x14ac:dyDescent="0.25">
      <c r="K142" s="11"/>
      <c r="L142" s="11"/>
      <c r="M142" s="11"/>
      <c r="N142" s="11">
        <v>123</v>
      </c>
    </row>
    <row r="143" spans="1:16" x14ac:dyDescent="0.25">
      <c r="A143" t="s">
        <v>921</v>
      </c>
      <c r="B143">
        <v>10</v>
      </c>
      <c r="K143" s="11"/>
      <c r="L143" s="11">
        <v>11</v>
      </c>
      <c r="M143" s="11">
        <v>42</v>
      </c>
      <c r="N143" s="11">
        <v>124</v>
      </c>
      <c r="O143" s="4" t="s">
        <v>915</v>
      </c>
      <c r="P143" s="4">
        <v>10</v>
      </c>
    </row>
    <row r="144" spans="1:16" x14ac:dyDescent="0.25">
      <c r="A144">
        <v>30</v>
      </c>
      <c r="B144">
        <v>150</v>
      </c>
      <c r="C144">
        <v>350</v>
      </c>
      <c r="D144">
        <v>850</v>
      </c>
      <c r="E144">
        <v>1450</v>
      </c>
      <c r="F144">
        <v>1450</v>
      </c>
      <c r="G144">
        <v>1850</v>
      </c>
      <c r="H144">
        <v>1850</v>
      </c>
      <c r="I144">
        <v>1850</v>
      </c>
      <c r="J144">
        <v>1850</v>
      </c>
      <c r="K144" s="11"/>
      <c r="L144" s="11"/>
      <c r="M144" s="11"/>
      <c r="N144" s="11">
        <v>126</v>
      </c>
    </row>
    <row r="145" spans="1:16" x14ac:dyDescent="0.25">
      <c r="K145" s="11"/>
      <c r="L145" s="11">
        <v>44</v>
      </c>
      <c r="M145" s="11">
        <v>43</v>
      </c>
      <c r="N145" s="11">
        <v>127</v>
      </c>
      <c r="O145" s="4" t="s">
        <v>916</v>
      </c>
      <c r="P145" s="4">
        <v>10</v>
      </c>
    </row>
    <row r="146" spans="1:16" x14ac:dyDescent="0.25">
      <c r="A146" t="s">
        <v>922</v>
      </c>
      <c r="B146">
        <v>10</v>
      </c>
      <c r="K146" s="11"/>
      <c r="L146" s="11"/>
      <c r="M146" s="11"/>
      <c r="N146" s="11">
        <v>129</v>
      </c>
    </row>
    <row r="147" spans="1:16" x14ac:dyDescent="0.25">
      <c r="A147">
        <v>900</v>
      </c>
      <c r="B147">
        <v>1080</v>
      </c>
      <c r="C147">
        <v>1020</v>
      </c>
      <c r="D147">
        <v>1040</v>
      </c>
      <c r="E147">
        <v>1060</v>
      </c>
      <c r="F147">
        <v>1070</v>
      </c>
      <c r="G147">
        <v>1075</v>
      </c>
      <c r="H147">
        <v>1080</v>
      </c>
      <c r="I147">
        <v>2110</v>
      </c>
      <c r="J147">
        <v>4210</v>
      </c>
      <c r="K147" s="11"/>
      <c r="L147" s="11">
        <v>45</v>
      </c>
      <c r="M147" s="11">
        <v>44</v>
      </c>
      <c r="N147" s="11">
        <v>130</v>
      </c>
      <c r="O147" s="4" t="s">
        <v>917</v>
      </c>
      <c r="P147" s="4">
        <v>10</v>
      </c>
    </row>
    <row r="148" spans="1:16" x14ac:dyDescent="0.25">
      <c r="K148" s="11"/>
      <c r="L148" s="11"/>
      <c r="M148" s="11"/>
      <c r="N148" s="11">
        <v>132</v>
      </c>
    </row>
    <row r="149" spans="1:16" x14ac:dyDescent="0.25">
      <c r="A149" t="s">
        <v>923</v>
      </c>
      <c r="B149">
        <v>10</v>
      </c>
      <c r="K149" s="11"/>
      <c r="L149" s="11">
        <v>13</v>
      </c>
      <c r="M149" s="11">
        <v>45</v>
      </c>
      <c r="N149" s="11">
        <v>133</v>
      </c>
      <c r="O149" s="4" t="s">
        <v>918</v>
      </c>
      <c r="P149" s="4">
        <v>10</v>
      </c>
    </row>
    <row r="150" spans="1:16" x14ac:dyDescent="0.25">
      <c r="A150">
        <v>900</v>
      </c>
      <c r="B150">
        <v>1080</v>
      </c>
      <c r="C150">
        <v>1020</v>
      </c>
      <c r="D150">
        <v>1040</v>
      </c>
      <c r="E150">
        <v>1060</v>
      </c>
      <c r="F150">
        <v>1070</v>
      </c>
      <c r="G150">
        <v>1075</v>
      </c>
      <c r="H150">
        <v>1080</v>
      </c>
      <c r="I150">
        <v>2110</v>
      </c>
      <c r="J150">
        <v>4210</v>
      </c>
      <c r="K150" s="11"/>
      <c r="L150" s="11"/>
      <c r="M150" s="11"/>
      <c r="N150" s="11">
        <v>135</v>
      </c>
    </row>
    <row r="151" spans="1:16" x14ac:dyDescent="0.25">
      <c r="K151" s="11"/>
      <c r="L151" s="11">
        <v>5</v>
      </c>
      <c r="M151" s="11">
        <v>46</v>
      </c>
      <c r="N151" s="11">
        <v>136</v>
      </c>
      <c r="O151" s="4" t="s">
        <v>919</v>
      </c>
      <c r="P151" s="4">
        <v>10</v>
      </c>
    </row>
    <row r="152" spans="1:16" x14ac:dyDescent="0.25">
      <c r="A152" t="s">
        <v>924</v>
      </c>
      <c r="B152">
        <v>10</v>
      </c>
      <c r="K152" s="11"/>
      <c r="L152" s="11"/>
      <c r="M152" s="11"/>
      <c r="N152" s="11">
        <v>138</v>
      </c>
    </row>
    <row r="153" spans="1:16" x14ac:dyDescent="0.25">
      <c r="A153">
        <v>900</v>
      </c>
      <c r="B153">
        <v>1080</v>
      </c>
      <c r="C153">
        <v>1020</v>
      </c>
      <c r="D153">
        <v>1040</v>
      </c>
      <c r="E153">
        <v>1060</v>
      </c>
      <c r="F153">
        <v>1070</v>
      </c>
      <c r="G153">
        <v>1075</v>
      </c>
      <c r="H153">
        <v>1080</v>
      </c>
      <c r="I153">
        <v>2110</v>
      </c>
      <c r="J153">
        <v>4210</v>
      </c>
      <c r="K153" s="11"/>
      <c r="L153" s="11">
        <v>32</v>
      </c>
      <c r="M153" s="11">
        <v>47</v>
      </c>
      <c r="N153" s="11">
        <v>139</v>
      </c>
      <c r="O153" s="4" t="s">
        <v>920</v>
      </c>
      <c r="P153" s="4">
        <v>10</v>
      </c>
    </row>
    <row r="154" spans="1:16" x14ac:dyDescent="0.25">
      <c r="K154" s="11"/>
      <c r="L154" s="11"/>
      <c r="M154" s="11"/>
      <c r="N154" s="11">
        <v>141</v>
      </c>
    </row>
    <row r="155" spans="1:16" x14ac:dyDescent="0.25">
      <c r="A155" t="s">
        <v>925</v>
      </c>
      <c r="B155">
        <v>10</v>
      </c>
      <c r="K155" s="11"/>
      <c r="L155" s="11">
        <v>33</v>
      </c>
      <c r="M155" s="11">
        <v>48</v>
      </c>
      <c r="N155" s="11">
        <v>142</v>
      </c>
      <c r="O155" s="4" t="s">
        <v>921</v>
      </c>
      <c r="P155" s="4">
        <v>10</v>
      </c>
    </row>
    <row r="156" spans="1:16" x14ac:dyDescent="0.25">
      <c r="A156">
        <v>3000</v>
      </c>
      <c r="B156">
        <v>3000</v>
      </c>
      <c r="C156">
        <v>5000</v>
      </c>
      <c r="D156">
        <v>5000</v>
      </c>
      <c r="E156">
        <v>5000</v>
      </c>
      <c r="F156">
        <v>5000</v>
      </c>
      <c r="G156">
        <v>4500</v>
      </c>
      <c r="H156">
        <v>4000</v>
      </c>
      <c r="I156">
        <v>3500</v>
      </c>
      <c r="J156">
        <v>3000</v>
      </c>
      <c r="K156" s="11"/>
      <c r="L156" s="11"/>
      <c r="M156" s="11"/>
      <c r="N156" s="11">
        <v>144</v>
      </c>
    </row>
    <row r="157" spans="1:16" x14ac:dyDescent="0.25">
      <c r="K157" s="11"/>
      <c r="L157" s="11">
        <v>57</v>
      </c>
      <c r="M157" s="11">
        <v>49</v>
      </c>
      <c r="N157" s="11">
        <v>145</v>
      </c>
      <c r="O157" s="4" t="s">
        <v>922</v>
      </c>
      <c r="P157" s="4">
        <v>10</v>
      </c>
    </row>
    <row r="158" spans="1:16" x14ac:dyDescent="0.25">
      <c r="A158" t="s">
        <v>926</v>
      </c>
      <c r="B158">
        <v>10</v>
      </c>
      <c r="K158" s="11"/>
      <c r="L158" s="11"/>
      <c r="M158" s="11"/>
      <c r="N158" s="11">
        <v>147</v>
      </c>
    </row>
    <row r="159" spans="1:16" x14ac:dyDescent="0.25">
      <c r="A159">
        <v>250</v>
      </c>
      <c r="B159">
        <v>1400</v>
      </c>
      <c r="C159">
        <v>1400</v>
      </c>
      <c r="D159">
        <v>1400</v>
      </c>
      <c r="E159">
        <v>1200</v>
      </c>
      <c r="F159">
        <v>1200</v>
      </c>
      <c r="G159">
        <v>1000</v>
      </c>
      <c r="H159">
        <v>1000</v>
      </c>
      <c r="I159">
        <v>1000</v>
      </c>
      <c r="J159">
        <v>1000</v>
      </c>
      <c r="K159" s="11"/>
      <c r="L159" s="11">
        <v>23</v>
      </c>
      <c r="M159" s="11">
        <v>50</v>
      </c>
      <c r="N159" s="11">
        <v>148</v>
      </c>
      <c r="O159" s="4" t="s">
        <v>923</v>
      </c>
      <c r="P159" s="4">
        <v>10</v>
      </c>
    </row>
    <row r="160" spans="1:16" x14ac:dyDescent="0.25">
      <c r="K160" s="11"/>
      <c r="L160" s="11"/>
      <c r="M160" s="11"/>
      <c r="N160" s="11">
        <v>150</v>
      </c>
    </row>
    <row r="161" spans="1:16" x14ac:dyDescent="0.25">
      <c r="A161" t="s">
        <v>927</v>
      </c>
      <c r="B161">
        <v>10</v>
      </c>
      <c r="K161" s="11"/>
      <c r="L161" s="11">
        <v>43</v>
      </c>
      <c r="M161" s="11">
        <v>51</v>
      </c>
      <c r="N161" s="11">
        <v>151</v>
      </c>
      <c r="O161" s="4" t="s">
        <v>924</v>
      </c>
      <c r="P161" s="4">
        <v>10</v>
      </c>
    </row>
    <row r="162" spans="1:16" x14ac:dyDescent="0.25">
      <c r="A162">
        <v>10</v>
      </c>
      <c r="B162">
        <v>12</v>
      </c>
      <c r="C162">
        <v>25</v>
      </c>
      <c r="D162">
        <v>25</v>
      </c>
      <c r="E162">
        <v>25</v>
      </c>
      <c r="F162">
        <v>45</v>
      </c>
      <c r="G162">
        <v>48</v>
      </c>
      <c r="H162">
        <v>48</v>
      </c>
      <c r="I162">
        <v>48</v>
      </c>
      <c r="J162">
        <v>48</v>
      </c>
      <c r="K162" s="11"/>
      <c r="L162" s="11"/>
      <c r="M162" s="11"/>
      <c r="N162" s="11">
        <v>153</v>
      </c>
    </row>
    <row r="163" spans="1:16" x14ac:dyDescent="0.25">
      <c r="K163" s="11"/>
      <c r="L163" s="11">
        <v>39</v>
      </c>
      <c r="M163" s="11">
        <v>52</v>
      </c>
      <c r="N163" s="11">
        <v>154</v>
      </c>
      <c r="O163" s="4" t="s">
        <v>925</v>
      </c>
      <c r="P163" s="4">
        <v>10</v>
      </c>
    </row>
    <row r="164" spans="1:16" x14ac:dyDescent="0.25">
      <c r="A164" t="s">
        <v>928</v>
      </c>
      <c r="B164">
        <v>10</v>
      </c>
      <c r="K164" s="11"/>
      <c r="L164" s="11"/>
      <c r="M164" s="11"/>
      <c r="N164" s="11">
        <v>156</v>
      </c>
    </row>
    <row r="165" spans="1:16" x14ac:dyDescent="0.25">
      <c r="A165" s="6">
        <v>15000000</v>
      </c>
      <c r="B165" s="6">
        <v>15000000</v>
      </c>
      <c r="C165" s="6">
        <v>15000000</v>
      </c>
      <c r="D165" s="6">
        <v>15000000</v>
      </c>
      <c r="E165" s="6">
        <v>15000000</v>
      </c>
      <c r="F165" s="6">
        <v>15000000</v>
      </c>
      <c r="G165" s="6">
        <v>15000000</v>
      </c>
      <c r="H165" s="6">
        <v>15000000</v>
      </c>
      <c r="I165" s="6">
        <v>15000000</v>
      </c>
      <c r="J165" s="6">
        <v>15000000</v>
      </c>
      <c r="K165" s="11"/>
      <c r="L165" s="11">
        <v>29</v>
      </c>
      <c r="M165" s="11">
        <v>53</v>
      </c>
      <c r="N165" s="11">
        <v>157</v>
      </c>
      <c r="O165" s="4" t="s">
        <v>926</v>
      </c>
      <c r="P165" s="4">
        <v>10</v>
      </c>
    </row>
    <row r="166" spans="1:16" x14ac:dyDescent="0.25">
      <c r="K166" s="11"/>
      <c r="L166" s="11"/>
      <c r="M166" s="11"/>
      <c r="N166" s="11">
        <v>159</v>
      </c>
    </row>
    <row r="167" spans="1:16" x14ac:dyDescent="0.25">
      <c r="A167" t="s">
        <v>929</v>
      </c>
      <c r="B167">
        <v>10</v>
      </c>
      <c r="K167" s="11"/>
      <c r="L167" s="11">
        <v>35</v>
      </c>
      <c r="M167" s="11">
        <v>54</v>
      </c>
      <c r="N167" s="11">
        <v>160</v>
      </c>
      <c r="O167" s="4" t="s">
        <v>927</v>
      </c>
      <c r="P167" s="4">
        <v>10</v>
      </c>
    </row>
    <row r="168" spans="1:16" x14ac:dyDescent="0.25">
      <c r="A168" s="6">
        <v>15000000</v>
      </c>
      <c r="B168" s="6">
        <v>15000000</v>
      </c>
      <c r="C168" s="6">
        <v>15000000</v>
      </c>
      <c r="D168" s="6">
        <v>15000000</v>
      </c>
      <c r="E168" s="6">
        <v>15000000</v>
      </c>
      <c r="F168" s="6">
        <v>15000000</v>
      </c>
      <c r="G168" s="6">
        <v>15000000</v>
      </c>
      <c r="H168" s="6">
        <v>15000000</v>
      </c>
      <c r="I168" s="6">
        <v>15000000</v>
      </c>
      <c r="J168" s="6">
        <v>15000000</v>
      </c>
      <c r="K168" s="11"/>
      <c r="L168" s="11"/>
      <c r="M168" s="11"/>
      <c r="N168" s="11">
        <v>162</v>
      </c>
    </row>
    <row r="169" spans="1:16" x14ac:dyDescent="0.25">
      <c r="K169" s="11"/>
      <c r="L169" s="11">
        <v>37</v>
      </c>
      <c r="M169" s="11">
        <v>55</v>
      </c>
      <c r="N169" s="11">
        <v>163</v>
      </c>
      <c r="O169" s="4" t="s">
        <v>928</v>
      </c>
      <c r="P169" s="4">
        <v>10</v>
      </c>
    </row>
    <row r="170" spans="1:16" x14ac:dyDescent="0.25">
      <c r="A170" t="s">
        <v>930</v>
      </c>
      <c r="B170">
        <v>10</v>
      </c>
      <c r="K170" s="11"/>
      <c r="L170" s="11"/>
      <c r="M170" s="11"/>
      <c r="N170" s="11">
        <v>165</v>
      </c>
    </row>
    <row r="171" spans="1:16" x14ac:dyDescent="0.25">
      <c r="A171">
        <v>4000</v>
      </c>
      <c r="B171">
        <v>5000</v>
      </c>
      <c r="C171">
        <v>5000</v>
      </c>
      <c r="D171">
        <v>5000</v>
      </c>
      <c r="E171">
        <v>8000</v>
      </c>
      <c r="F171">
        <v>8000</v>
      </c>
      <c r="G171">
        <v>8000</v>
      </c>
      <c r="H171">
        <v>8000</v>
      </c>
      <c r="I171">
        <v>8000</v>
      </c>
      <c r="J171">
        <v>8000</v>
      </c>
      <c r="K171" s="11"/>
      <c r="L171" s="11">
        <v>9</v>
      </c>
      <c r="M171" s="11">
        <v>56</v>
      </c>
      <c r="N171" s="11">
        <v>166</v>
      </c>
      <c r="O171" s="4" t="s">
        <v>929</v>
      </c>
      <c r="P171" s="4">
        <v>10</v>
      </c>
    </row>
    <row r="172" spans="1:16" x14ac:dyDescent="0.25">
      <c r="K172" s="11"/>
      <c r="L172" s="11"/>
      <c r="M172" s="11"/>
      <c r="N172" s="11">
        <v>168</v>
      </c>
    </row>
    <row r="173" spans="1:16" x14ac:dyDescent="0.25">
      <c r="A173" t="s">
        <v>931</v>
      </c>
      <c r="B173">
        <v>10</v>
      </c>
      <c r="K173" s="11"/>
      <c r="L173" s="11">
        <v>48</v>
      </c>
      <c r="M173" s="11">
        <v>57</v>
      </c>
      <c r="N173" s="11">
        <v>169</v>
      </c>
      <c r="O173" s="4" t="s">
        <v>930</v>
      </c>
      <c r="P173" s="4">
        <v>10</v>
      </c>
    </row>
    <row r="174" spans="1:16" x14ac:dyDescent="0.25">
      <c r="A174">
        <v>4000</v>
      </c>
      <c r="B174">
        <v>5000</v>
      </c>
      <c r="C174">
        <v>5000</v>
      </c>
      <c r="D174">
        <v>5000</v>
      </c>
      <c r="E174">
        <v>8000</v>
      </c>
      <c r="F174">
        <v>8000</v>
      </c>
      <c r="G174">
        <v>8000</v>
      </c>
      <c r="H174">
        <v>8000</v>
      </c>
      <c r="I174">
        <v>8000</v>
      </c>
      <c r="J174">
        <v>8000</v>
      </c>
      <c r="K174" s="11"/>
      <c r="L174" s="11"/>
      <c r="M174" s="11"/>
      <c r="N174" s="11">
        <v>171</v>
      </c>
    </row>
    <row r="175" spans="1:16" x14ac:dyDescent="0.25">
      <c r="K175" s="11"/>
      <c r="L175" s="11">
        <v>51</v>
      </c>
      <c r="M175" s="11">
        <v>58</v>
      </c>
      <c r="N175" s="11">
        <v>172</v>
      </c>
      <c r="O175" s="4" t="s">
        <v>931</v>
      </c>
      <c r="P175" s="4">
        <v>10</v>
      </c>
    </row>
    <row r="176" spans="1:16" x14ac:dyDescent="0.25">
      <c r="A176" t="s">
        <v>932</v>
      </c>
      <c r="B176">
        <v>10</v>
      </c>
      <c r="K176" s="11"/>
      <c r="L176" s="11"/>
      <c r="M176" s="11"/>
      <c r="N176" s="11">
        <v>174</v>
      </c>
    </row>
    <row r="177" spans="1:16" x14ac:dyDescent="0.25">
      <c r="A177">
        <v>1</v>
      </c>
      <c r="B177">
        <v>5</v>
      </c>
      <c r="C177">
        <v>15</v>
      </c>
      <c r="D177">
        <v>25</v>
      </c>
      <c r="E177">
        <v>45</v>
      </c>
      <c r="F177">
        <v>45</v>
      </c>
      <c r="G177">
        <v>45</v>
      </c>
      <c r="H177">
        <v>45</v>
      </c>
      <c r="I177">
        <v>50</v>
      </c>
      <c r="J177">
        <v>50</v>
      </c>
      <c r="K177" s="11"/>
      <c r="L177" s="11">
        <v>22</v>
      </c>
      <c r="M177" s="11">
        <v>59</v>
      </c>
      <c r="N177" s="11">
        <v>175</v>
      </c>
      <c r="O177" s="4" t="s">
        <v>932</v>
      </c>
      <c r="P177" s="4">
        <v>10</v>
      </c>
    </row>
  </sheetData>
  <sortState ref="K2:X177">
    <sortCondition ref="K2:K17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sqref="A1:K60"/>
    </sheetView>
  </sheetViews>
  <sheetFormatPr defaultRowHeight="15" x14ac:dyDescent="0.25"/>
  <sheetData>
    <row r="1" spans="1:11" x14ac:dyDescent="0.2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4" t="s">
        <v>21</v>
      </c>
      <c r="B2" s="4">
        <v>15.6702154201362</v>
      </c>
      <c r="C2" s="4">
        <v>34.306772499045003</v>
      </c>
      <c r="D2" s="4">
        <v>57.278776933457301</v>
      </c>
      <c r="E2" s="4">
        <v>82.059066717323901</v>
      </c>
      <c r="F2" s="4">
        <v>106.72077464686799</v>
      </c>
      <c r="G2" s="4">
        <v>129.99853846821401</v>
      </c>
      <c r="H2" s="4">
        <v>151.17687808336001</v>
      </c>
      <c r="I2" s="4">
        <v>169.941099980264</v>
      </c>
      <c r="J2" s="4">
        <v>186.24313451843199</v>
      </c>
      <c r="K2" s="4">
        <v>200.19746571748499</v>
      </c>
    </row>
    <row r="3" spans="1:11" x14ac:dyDescent="0.25">
      <c r="A3" s="4" t="s">
        <v>23</v>
      </c>
      <c r="B3" s="4">
        <v>618768.08204203204</v>
      </c>
      <c r="C3" s="4">
        <v>1692600.01995867</v>
      </c>
      <c r="D3" s="4">
        <v>2827857.3526876299</v>
      </c>
      <c r="E3" s="4">
        <v>3684259.4692347301</v>
      </c>
      <c r="F3" s="4">
        <v>4258707.2232419401</v>
      </c>
      <c r="G3" s="4">
        <v>4621722.7201818796</v>
      </c>
      <c r="H3" s="4">
        <v>4843837.25447967</v>
      </c>
      <c r="I3" s="4">
        <v>4977303.1290235603</v>
      </c>
      <c r="J3" s="4">
        <v>5056676.4099584399</v>
      </c>
      <c r="K3" s="4">
        <v>5103599.4262429299</v>
      </c>
    </row>
    <row r="4" spans="1:11" x14ac:dyDescent="0.25">
      <c r="A4" s="4" t="s">
        <v>25</v>
      </c>
      <c r="B4" s="4">
        <v>708716.061678275</v>
      </c>
      <c r="C4" s="4">
        <v>1898438.4324863299</v>
      </c>
      <c r="D4" s="4">
        <v>2968591.6079993802</v>
      </c>
      <c r="E4" s="4">
        <v>3735389.9351960402</v>
      </c>
      <c r="F4" s="4">
        <v>4231195.3598184204</v>
      </c>
      <c r="G4" s="4">
        <v>4535505.0646953797</v>
      </c>
      <c r="H4" s="4">
        <v>4717125.3762530899</v>
      </c>
      <c r="I4" s="4">
        <v>4823853.7051553698</v>
      </c>
      <c r="J4" s="4">
        <v>4886026.7527821101</v>
      </c>
      <c r="K4" s="4">
        <v>4922065.3496355396</v>
      </c>
    </row>
    <row r="5" spans="1:11" x14ac:dyDescent="0.25">
      <c r="A5" s="4" t="s">
        <v>27</v>
      </c>
      <c r="B5" s="4">
        <v>996.27068584899905</v>
      </c>
      <c r="C5" s="4">
        <v>3465.70349923923</v>
      </c>
      <c r="D5" s="4">
        <v>6716.4201949287499</v>
      </c>
      <c r="E5" s="4">
        <v>10063.4286857429</v>
      </c>
      <c r="F5" s="4">
        <v>13109.069290178901</v>
      </c>
      <c r="G5" s="4">
        <v>15689.0925188695</v>
      </c>
      <c r="H5" s="4">
        <v>17778.756252050302</v>
      </c>
      <c r="I5" s="4">
        <v>19421.9394542273</v>
      </c>
      <c r="J5" s="4">
        <v>20688.297623037</v>
      </c>
      <c r="K5" s="4">
        <v>21650.684785803998</v>
      </c>
    </row>
    <row r="6" spans="1:11" x14ac:dyDescent="0.25">
      <c r="A6" s="4" t="s">
        <v>29</v>
      </c>
      <c r="B6" s="4">
        <v>457137.68565753498</v>
      </c>
      <c r="C6" s="4">
        <v>464126.13013595698</v>
      </c>
      <c r="D6" s="4">
        <v>464171.60204022401</v>
      </c>
      <c r="E6" s="4">
        <v>464171.89642356301</v>
      </c>
      <c r="F6" s="4">
        <v>464171.898329327</v>
      </c>
      <c r="G6" s="4">
        <v>464171.89834166499</v>
      </c>
      <c r="H6" s="4">
        <v>464171.89834174397</v>
      </c>
      <c r="I6" s="4">
        <v>464171.89834174502</v>
      </c>
      <c r="J6" s="4">
        <v>464171.89834174502</v>
      </c>
      <c r="K6" s="4">
        <v>464171.89834174502</v>
      </c>
    </row>
    <row r="7" spans="1:11" x14ac:dyDescent="0.25">
      <c r="A7" s="4" t="s">
        <v>31</v>
      </c>
      <c r="B7" s="4">
        <v>404.25242036801399</v>
      </c>
      <c r="C7" s="4">
        <v>1099.67022514479</v>
      </c>
      <c r="D7" s="4">
        <v>1513.3446371191901</v>
      </c>
      <c r="E7" s="4">
        <v>1702.2014867952</v>
      </c>
      <c r="F7" s="4">
        <v>1781.1181941735899</v>
      </c>
      <c r="G7" s="4">
        <v>1813.0271613771299</v>
      </c>
      <c r="H7" s="4">
        <v>1825.7660997513999</v>
      </c>
      <c r="I7" s="4">
        <v>1830.8265307328099</v>
      </c>
      <c r="J7" s="4">
        <v>1832.8327910205801</v>
      </c>
      <c r="K7" s="4">
        <v>1833.6275751949299</v>
      </c>
    </row>
    <row r="8" spans="1:11" x14ac:dyDescent="0.25">
      <c r="A8" s="4" t="s">
        <v>33</v>
      </c>
      <c r="B8" s="4">
        <v>1888.4859231481601</v>
      </c>
      <c r="C8" s="4">
        <v>7298.5929854445803</v>
      </c>
      <c r="D8" s="4">
        <v>12221.9885466209</v>
      </c>
      <c r="E8" s="4">
        <v>15465.089055927299</v>
      </c>
      <c r="F8" s="4">
        <v>17345.842768462498</v>
      </c>
      <c r="G8" s="4">
        <v>18375.038026033501</v>
      </c>
      <c r="H8" s="4">
        <v>18922.581796870902</v>
      </c>
      <c r="I8" s="4">
        <v>19209.7959044612</v>
      </c>
      <c r="J8" s="4">
        <v>19359.375508199701</v>
      </c>
      <c r="K8" s="4">
        <v>19436.9893877635</v>
      </c>
    </row>
    <row r="9" spans="1:11" x14ac:dyDescent="0.25">
      <c r="A9" s="4" t="s">
        <v>35</v>
      </c>
      <c r="B9" s="4">
        <v>270.39361778800998</v>
      </c>
      <c r="C9" s="4">
        <v>713.81627370801004</v>
      </c>
      <c r="D9" s="4">
        <v>994.77560630638902</v>
      </c>
      <c r="E9" s="4">
        <v>1132.98303431813</v>
      </c>
      <c r="F9" s="4">
        <v>1195.1234795517801</v>
      </c>
      <c r="G9" s="4">
        <v>1222.08864083106</v>
      </c>
      <c r="H9" s="4">
        <v>1233.62032550348</v>
      </c>
      <c r="I9" s="4">
        <v>1238.5218592183601</v>
      </c>
      <c r="J9" s="4">
        <v>1240.5999057812801</v>
      </c>
      <c r="K9" s="4">
        <v>1241.4799557429999</v>
      </c>
    </row>
    <row r="10" spans="1:11" x14ac:dyDescent="0.25">
      <c r="A10" s="4" t="s">
        <v>37</v>
      </c>
      <c r="B10" s="4">
        <v>352548078.100981</v>
      </c>
      <c r="C10" s="4">
        <v>352548078.27992302</v>
      </c>
      <c r="D10" s="4">
        <v>352548078.27992302</v>
      </c>
      <c r="E10" s="4">
        <v>352548078.27992302</v>
      </c>
      <c r="F10" s="4">
        <v>352548078.27992302</v>
      </c>
      <c r="G10" s="4">
        <v>352548078.27992302</v>
      </c>
      <c r="H10" s="4">
        <v>352548078.27992302</v>
      </c>
      <c r="I10" s="4">
        <v>352548078.27992302</v>
      </c>
      <c r="J10" s="4">
        <v>352548078.27992302</v>
      </c>
      <c r="K10" s="4">
        <v>352548078.27992302</v>
      </c>
    </row>
    <row r="11" spans="1:11" x14ac:dyDescent="0.25">
      <c r="A11" s="4" t="s">
        <v>39</v>
      </c>
      <c r="B11" s="4">
        <v>5213.4570884562299</v>
      </c>
      <c r="C11" s="4">
        <v>28285.7797011865</v>
      </c>
      <c r="D11" s="4">
        <v>63557.962371150803</v>
      </c>
      <c r="E11" s="4">
        <v>101805.087052913</v>
      </c>
      <c r="F11" s="4">
        <v>137164.46262210101</v>
      </c>
      <c r="G11" s="4">
        <v>167095.16646630401</v>
      </c>
      <c r="H11" s="4">
        <v>191109.86518335901</v>
      </c>
      <c r="I11" s="4">
        <v>209726.68698129899</v>
      </c>
      <c r="J11" s="4">
        <v>223832.48092340399</v>
      </c>
      <c r="K11" s="4">
        <v>234354.99848492001</v>
      </c>
    </row>
    <row r="12" spans="1:11" x14ac:dyDescent="0.25">
      <c r="A12" s="4" t="s">
        <v>41</v>
      </c>
      <c r="B12" s="4">
        <v>36915.356093012102</v>
      </c>
      <c r="C12" s="4">
        <v>79566.030814986603</v>
      </c>
      <c r="D12" s="4">
        <v>95788.457079465705</v>
      </c>
      <c r="E12" s="4">
        <v>100722.03227706099</v>
      </c>
      <c r="F12" s="4">
        <v>102139.28542723</v>
      </c>
      <c r="G12" s="4">
        <v>102540.11186238</v>
      </c>
      <c r="H12" s="4">
        <v>102652.98078853999</v>
      </c>
      <c r="I12" s="4">
        <v>102684.724813144</v>
      </c>
      <c r="J12" s="4">
        <v>102693.649655512</v>
      </c>
      <c r="K12" s="4">
        <v>102696.158635719</v>
      </c>
    </row>
    <row r="13" spans="1:11" x14ac:dyDescent="0.25">
      <c r="A13" s="4" t="s">
        <v>43</v>
      </c>
      <c r="B13" s="4">
        <v>4003.3981214645701</v>
      </c>
      <c r="C13" s="4">
        <v>8023.5723297108598</v>
      </c>
      <c r="D13" s="4">
        <v>9393.4368164436091</v>
      </c>
      <c r="E13" s="4">
        <v>9774.6692289069106</v>
      </c>
      <c r="F13" s="4">
        <v>9875.7626719815707</v>
      </c>
      <c r="G13" s="4">
        <v>9902.2419885648505</v>
      </c>
      <c r="H13" s="4">
        <v>9909.1555774106691</v>
      </c>
      <c r="I13" s="4">
        <v>9910.9591729031108</v>
      </c>
      <c r="J13" s="4">
        <v>9911.4295872674993</v>
      </c>
      <c r="K13" s="4">
        <v>9911.5522739586995</v>
      </c>
    </row>
    <row r="14" spans="1:11" x14ac:dyDescent="0.25">
      <c r="A14" s="4" t="s">
        <v>45</v>
      </c>
      <c r="B14" s="4">
        <v>1966747.4862092601</v>
      </c>
      <c r="C14" s="4">
        <v>2142161.62345528</v>
      </c>
      <c r="D14" s="4">
        <v>2148428.3100354201</v>
      </c>
      <c r="E14" s="4">
        <v>2148645.7758469102</v>
      </c>
      <c r="F14" s="4">
        <v>2148653.3147572</v>
      </c>
      <c r="G14" s="4">
        <v>2148653.5761003201</v>
      </c>
      <c r="H14" s="4">
        <v>2148653.5851599998</v>
      </c>
      <c r="I14" s="4">
        <v>2148653.5854740702</v>
      </c>
      <c r="J14" s="4">
        <v>2148653.5854849499</v>
      </c>
      <c r="K14" s="4">
        <v>2148653.5854853299</v>
      </c>
    </row>
    <row r="15" spans="1:11" x14ac:dyDescent="0.25">
      <c r="A15" s="4" t="s">
        <v>47</v>
      </c>
      <c r="B15" s="4">
        <v>727.57224084181905</v>
      </c>
      <c r="C15" s="4">
        <v>2998.7418995323301</v>
      </c>
      <c r="D15" s="4">
        <v>5361.2238827752799</v>
      </c>
      <c r="E15" s="4">
        <v>7114.2066179908197</v>
      </c>
      <c r="F15" s="4">
        <v>8243.1605145674803</v>
      </c>
      <c r="G15" s="4">
        <v>8922.1407288434093</v>
      </c>
      <c r="H15" s="4">
        <v>9316.3104308861602</v>
      </c>
      <c r="I15" s="4">
        <v>9540.8530909499696</v>
      </c>
      <c r="J15" s="4">
        <v>9667.4559220342599</v>
      </c>
      <c r="K15" s="4">
        <v>9738.4347816321097</v>
      </c>
    </row>
    <row r="16" spans="1:11" x14ac:dyDescent="0.25">
      <c r="A16" s="4" t="s">
        <v>49</v>
      </c>
      <c r="B16" s="4">
        <v>127.131497649247</v>
      </c>
      <c r="C16" s="4">
        <v>784.30985987618999</v>
      </c>
      <c r="D16" s="4">
        <v>2009.24330902581</v>
      </c>
      <c r="E16" s="4">
        <v>3618.7209161237902</v>
      </c>
      <c r="F16" s="4">
        <v>5403.1069017002601</v>
      </c>
      <c r="G16" s="4">
        <v>7196.2911115895804</v>
      </c>
      <c r="H16" s="4">
        <v>8888.7958946271501</v>
      </c>
      <c r="I16" s="4">
        <v>10419.693663338299</v>
      </c>
      <c r="J16" s="4">
        <v>11763.310847143901</v>
      </c>
      <c r="K16" s="4">
        <v>12916.9391533908</v>
      </c>
    </row>
    <row r="17" spans="1:11" x14ac:dyDescent="0.25">
      <c r="A17" s="4" t="s">
        <v>51</v>
      </c>
      <c r="B17" s="4">
        <v>12.2518744364379</v>
      </c>
      <c r="C17" s="4">
        <v>53.8492669664315</v>
      </c>
      <c r="D17" s="4">
        <v>126.151012902589</v>
      </c>
      <c r="E17" s="4">
        <v>221.41538704695199</v>
      </c>
      <c r="F17" s="4">
        <v>329.85088423953698</v>
      </c>
      <c r="G17" s="4">
        <v>442.76965532996599</v>
      </c>
      <c r="H17" s="4">
        <v>553.63364627897101</v>
      </c>
      <c r="I17" s="4">
        <v>658.09073263685798</v>
      </c>
      <c r="J17" s="4">
        <v>753.61188085778201</v>
      </c>
      <c r="K17" s="4">
        <v>839.03269300012403</v>
      </c>
    </row>
    <row r="18" spans="1:11" x14ac:dyDescent="0.25">
      <c r="A18" s="4" t="s">
        <v>53</v>
      </c>
      <c r="B18" s="4">
        <v>292.03201942570701</v>
      </c>
      <c r="C18" s="4">
        <v>1169.44872326479</v>
      </c>
      <c r="D18" s="4">
        <v>2129.6023130813501</v>
      </c>
      <c r="E18" s="4">
        <v>2900.5562773521801</v>
      </c>
      <c r="F18" s="4">
        <v>3441.7911559353302</v>
      </c>
      <c r="G18" s="4">
        <v>3796.79200882855</v>
      </c>
      <c r="H18" s="4">
        <v>4021.1643142825901</v>
      </c>
      <c r="I18" s="4">
        <v>4160.0184407524202</v>
      </c>
      <c r="J18" s="4">
        <v>4244.9030403056104</v>
      </c>
      <c r="K18" s="4">
        <v>4296.4218102905497</v>
      </c>
    </row>
    <row r="19" spans="1:11" x14ac:dyDescent="0.25">
      <c r="A19" s="4" t="s">
        <v>55</v>
      </c>
      <c r="B19" s="4">
        <v>170.20192964498199</v>
      </c>
      <c r="C19" s="4">
        <v>1367.1380811960501</v>
      </c>
      <c r="D19" s="4">
        <v>4209.8059784523302</v>
      </c>
      <c r="E19" s="4">
        <v>8912.1167482772107</v>
      </c>
      <c r="F19" s="4">
        <v>15436.757542166401</v>
      </c>
      <c r="G19" s="4">
        <v>23600.683672728701</v>
      </c>
      <c r="H19" s="4">
        <v>33146.025503447199</v>
      </c>
      <c r="I19" s="4">
        <v>43786.5626593017</v>
      </c>
      <c r="J19" s="4">
        <v>55237.109666397599</v>
      </c>
      <c r="K19" s="4">
        <v>67231.098821482999</v>
      </c>
    </row>
    <row r="20" spans="1:11" x14ac:dyDescent="0.25">
      <c r="A20" s="4" t="s">
        <v>57</v>
      </c>
      <c r="B20" s="4">
        <v>4989.6331584728696</v>
      </c>
      <c r="C20" s="4">
        <v>11285.718089690599</v>
      </c>
      <c r="D20" s="4">
        <v>13908.019530043701</v>
      </c>
      <c r="E20" s="4">
        <v>14771.9499992247</v>
      </c>
      <c r="F20" s="4">
        <v>15039.111125071</v>
      </c>
      <c r="G20" s="4">
        <v>15120.215249090201</v>
      </c>
      <c r="H20" s="4">
        <v>15144.701275698701</v>
      </c>
      <c r="I20" s="4">
        <v>15152.081585481699</v>
      </c>
      <c r="J20" s="4">
        <v>15154.3049694008</v>
      </c>
      <c r="K20" s="4">
        <v>15154.974683074</v>
      </c>
    </row>
    <row r="21" spans="1:11" x14ac:dyDescent="0.25">
      <c r="A21" s="4" t="s">
        <v>59</v>
      </c>
      <c r="B21" s="4">
        <v>15050.8001166871</v>
      </c>
      <c r="C21" s="4">
        <v>109985.812602434</v>
      </c>
      <c r="D21" s="4">
        <v>301099.37718857999</v>
      </c>
      <c r="E21" s="4">
        <v>564615.64451243205</v>
      </c>
      <c r="F21" s="4">
        <v>867969.93502524798</v>
      </c>
      <c r="G21" s="4">
        <v>1182808.21532756</v>
      </c>
      <c r="H21" s="4">
        <v>1488687.9797677801</v>
      </c>
      <c r="I21" s="4">
        <v>1772816.0738639601</v>
      </c>
      <c r="J21" s="4">
        <v>2028451.6572215599</v>
      </c>
      <c r="K21" s="4">
        <v>2253135.5371971</v>
      </c>
    </row>
    <row r="22" spans="1:11" x14ac:dyDescent="0.25">
      <c r="A22" s="4" t="s">
        <v>61</v>
      </c>
      <c r="B22" s="4">
        <v>7.3494229094695402</v>
      </c>
      <c r="C22" s="4">
        <v>155.883335911252</v>
      </c>
      <c r="D22" s="4">
        <v>488.94971732360301</v>
      </c>
      <c r="E22" s="4">
        <v>910.05941088262796</v>
      </c>
      <c r="F22" s="4">
        <v>1333.53320387701</v>
      </c>
      <c r="G22" s="4">
        <v>1711.9630777195</v>
      </c>
      <c r="H22" s="4">
        <v>2027.55399393109</v>
      </c>
      <c r="I22" s="4">
        <v>2279.5310551883299</v>
      </c>
      <c r="J22" s="4">
        <v>2475.0299592055499</v>
      </c>
      <c r="K22" s="4">
        <v>2623.7868188146999</v>
      </c>
    </row>
    <row r="23" spans="1:11" x14ac:dyDescent="0.25">
      <c r="A23" s="4" t="s">
        <v>63</v>
      </c>
      <c r="B23" s="4">
        <v>3499.5908791102502</v>
      </c>
      <c r="C23" s="4">
        <v>7022.0684405348902</v>
      </c>
      <c r="D23" s="4">
        <v>8147.5349767130801</v>
      </c>
      <c r="E23" s="4">
        <v>8439.7415799958708</v>
      </c>
      <c r="F23" s="4">
        <v>8512.1444301669399</v>
      </c>
      <c r="G23" s="4">
        <v>8529.8847784719692</v>
      </c>
      <c r="H23" s="4">
        <v>8534.2197659802896</v>
      </c>
      <c r="I23" s="4">
        <v>8535.2783506757805</v>
      </c>
      <c r="J23" s="4">
        <v>8535.5368105273592</v>
      </c>
      <c r="K23" s="4">
        <v>8535.5999125692997</v>
      </c>
    </row>
    <row r="24" spans="1:11" x14ac:dyDescent="0.25">
      <c r="A24" s="4" t="s">
        <v>65</v>
      </c>
      <c r="B24" s="4">
        <v>12572.630338773901</v>
      </c>
      <c r="C24" s="4">
        <v>16920.3614086581</v>
      </c>
      <c r="D24" s="4">
        <v>17514.100810062901</v>
      </c>
      <c r="E24" s="4">
        <v>17587.7637617609</v>
      </c>
      <c r="F24" s="4">
        <v>17596.7986620267</v>
      </c>
      <c r="G24" s="4">
        <v>17597.905259675699</v>
      </c>
      <c r="H24" s="4">
        <v>17598.040772911001</v>
      </c>
      <c r="I24" s="4">
        <v>17598.057367426401</v>
      </c>
      <c r="J24" s="4">
        <v>17598.059399532201</v>
      </c>
      <c r="K24" s="4">
        <v>17598.059648376598</v>
      </c>
    </row>
    <row r="25" spans="1:11" x14ac:dyDescent="0.25">
      <c r="A25" s="4" t="s">
        <v>67</v>
      </c>
      <c r="B25" s="4">
        <v>854.00792107007203</v>
      </c>
      <c r="C25" s="4">
        <v>1591.38264736774</v>
      </c>
      <c r="D25" s="4">
        <v>2379.0259261301799</v>
      </c>
      <c r="E25" s="4">
        <v>3131.4735681236002</v>
      </c>
      <c r="F25" s="4">
        <v>3803.0163307293901</v>
      </c>
      <c r="G25" s="4">
        <v>4376.3047291186303</v>
      </c>
      <c r="H25" s="4">
        <v>4851.0846290218196</v>
      </c>
      <c r="I25" s="4">
        <v>5235.9702244898399</v>
      </c>
      <c r="J25" s="4">
        <v>5543.2235780903202</v>
      </c>
      <c r="K25" s="4">
        <v>5785.76575104526</v>
      </c>
    </row>
    <row r="26" spans="1:11" x14ac:dyDescent="0.25">
      <c r="A26" s="4" t="s">
        <v>69</v>
      </c>
      <c r="B26" s="4">
        <v>27.4903633797712</v>
      </c>
      <c r="C26" s="4">
        <v>147.56078495711799</v>
      </c>
      <c r="D26" s="4">
        <v>348.74781016152002</v>
      </c>
      <c r="E26" s="4">
        <v>593.87489339971205</v>
      </c>
      <c r="F26" s="4">
        <v>850.08374401971196</v>
      </c>
      <c r="G26" s="4">
        <v>1095.3033536686401</v>
      </c>
      <c r="H26" s="4">
        <v>1317.26921165509</v>
      </c>
      <c r="I26" s="4">
        <v>1510.77599462171</v>
      </c>
      <c r="J26" s="4">
        <v>1675.08252165009</v>
      </c>
      <c r="K26" s="4">
        <v>1811.96467161593</v>
      </c>
    </row>
    <row r="27" spans="1:11" x14ac:dyDescent="0.25">
      <c r="A27" s="4" t="s">
        <v>71</v>
      </c>
      <c r="B27" s="4">
        <v>4.9535732337123903</v>
      </c>
      <c r="C27" s="4">
        <v>11.5552586147386</v>
      </c>
      <c r="D27" s="4">
        <v>18.925495239361702</v>
      </c>
      <c r="E27" s="4">
        <v>25.894694478992999</v>
      </c>
      <c r="F27" s="4">
        <v>31.907393700766399</v>
      </c>
      <c r="G27" s="4">
        <v>36.813531944386703</v>
      </c>
      <c r="H27" s="4">
        <v>40.675439179111301</v>
      </c>
      <c r="I27" s="4">
        <v>43.643169490041302</v>
      </c>
      <c r="J27" s="4">
        <v>45.8864865006679</v>
      </c>
      <c r="K27" s="4">
        <v>47.562848873434604</v>
      </c>
    </row>
    <row r="28" spans="1:11" x14ac:dyDescent="0.25">
      <c r="A28" s="4" t="s">
        <v>73</v>
      </c>
      <c r="B28" s="4">
        <v>1567.009770058</v>
      </c>
      <c r="C28" s="4">
        <v>2842.07703107207</v>
      </c>
      <c r="D28" s="4">
        <v>3218.1506592082601</v>
      </c>
      <c r="E28" s="4">
        <v>3311.6923924382099</v>
      </c>
      <c r="F28" s="4">
        <v>3334.1080008685499</v>
      </c>
      <c r="G28" s="4">
        <v>3339.4331314056599</v>
      </c>
      <c r="H28" s="4">
        <v>3340.6956032707399</v>
      </c>
      <c r="I28" s="4">
        <v>3340.9947628517002</v>
      </c>
      <c r="J28" s="4">
        <v>3341.0656445841701</v>
      </c>
      <c r="K28" s="4">
        <v>3341.0824385758301</v>
      </c>
    </row>
    <row r="29" spans="1:11" x14ac:dyDescent="0.25">
      <c r="A29" s="4" t="s">
        <v>75</v>
      </c>
      <c r="B29" s="4">
        <v>850.27868807285199</v>
      </c>
      <c r="C29" s="4">
        <v>4612.5150547000903</v>
      </c>
      <c r="D29" s="4">
        <v>10527.4041371034</v>
      </c>
      <c r="E29" s="4">
        <v>17106.753509707502</v>
      </c>
      <c r="F29" s="4">
        <v>23323.017846864099</v>
      </c>
      <c r="G29" s="4">
        <v>28684.5932230865</v>
      </c>
      <c r="H29" s="4">
        <v>33058.087517182503</v>
      </c>
      <c r="I29" s="4">
        <v>36499.154784563798</v>
      </c>
      <c r="J29" s="4">
        <v>39141.892263635898</v>
      </c>
      <c r="K29" s="4">
        <v>41138.102284611399</v>
      </c>
    </row>
    <row r="30" spans="1:11" x14ac:dyDescent="0.25">
      <c r="A30" s="4" t="s">
        <v>77</v>
      </c>
      <c r="B30" s="4">
        <v>1020099.63984069</v>
      </c>
      <c r="C30" s="4">
        <v>1174454.3164683201</v>
      </c>
      <c r="D30" s="4">
        <v>1182514.40468342</v>
      </c>
      <c r="E30" s="4">
        <v>1182916.63705809</v>
      </c>
      <c r="F30" s="4">
        <v>1182936.6653710401</v>
      </c>
      <c r="G30" s="4">
        <v>1182937.6625278301</v>
      </c>
      <c r="H30" s="4">
        <v>1182937.7121733599</v>
      </c>
      <c r="I30" s="4">
        <v>1182937.71464506</v>
      </c>
      <c r="J30" s="4">
        <v>1182937.7147681201</v>
      </c>
      <c r="K30" s="4">
        <v>1182937.7147742501</v>
      </c>
    </row>
    <row r="31" spans="1:11" x14ac:dyDescent="0.25">
      <c r="A31" s="4" t="s">
        <v>79</v>
      </c>
      <c r="B31" s="4">
        <v>733.45354074870795</v>
      </c>
      <c r="C31" s="4">
        <v>3438.3380417488502</v>
      </c>
      <c r="D31" s="4">
        <v>6702.3539188557697</v>
      </c>
      <c r="E31" s="4">
        <v>9454.7021019082003</v>
      </c>
      <c r="F31" s="4">
        <v>11439.021884256799</v>
      </c>
      <c r="G31" s="4">
        <v>12760.346795146301</v>
      </c>
      <c r="H31" s="4">
        <v>13602.8244621575</v>
      </c>
      <c r="I31" s="4">
        <v>14126.8971840175</v>
      </c>
      <c r="J31" s="4">
        <v>14448.2585490274</v>
      </c>
      <c r="K31" s="4">
        <v>14643.658604189</v>
      </c>
    </row>
    <row r="32" spans="1:11" x14ac:dyDescent="0.25">
      <c r="A32" s="4" t="s">
        <v>81</v>
      </c>
      <c r="B32" s="4">
        <v>7254.7388321499302</v>
      </c>
      <c r="C32" s="4">
        <v>29743.030674255198</v>
      </c>
      <c r="D32" s="4">
        <v>54716.045600183701</v>
      </c>
      <c r="E32" s="4">
        <v>74915.515739648297</v>
      </c>
      <c r="F32" s="4">
        <v>89152.672899271798</v>
      </c>
      <c r="G32" s="4">
        <v>98512.024011932997</v>
      </c>
      <c r="H32" s="4">
        <v>104435.195100071</v>
      </c>
      <c r="I32" s="4">
        <v>108103.612538876</v>
      </c>
      <c r="J32" s="4">
        <v>110347.22420785201</v>
      </c>
      <c r="K32" s="4">
        <v>111709.30494800099</v>
      </c>
    </row>
    <row r="33" spans="1:11" x14ac:dyDescent="0.25">
      <c r="A33" s="4" t="s">
        <v>83</v>
      </c>
      <c r="B33" s="4">
        <v>670327.50060639798</v>
      </c>
      <c r="C33" s="4">
        <v>751532.67800614797</v>
      </c>
      <c r="D33" s="4">
        <v>754813.40008499299</v>
      </c>
      <c r="E33" s="4">
        <v>754941.05446406105</v>
      </c>
      <c r="F33" s="4">
        <v>754946.01436121797</v>
      </c>
      <c r="G33" s="4">
        <v>754946.20706275594</v>
      </c>
      <c r="H33" s="4">
        <v>754946.21454956499</v>
      </c>
      <c r="I33" s="4">
        <v>754946.21484044101</v>
      </c>
      <c r="J33" s="4">
        <v>754946.21485174203</v>
      </c>
      <c r="K33" s="4">
        <v>754946.21485218103</v>
      </c>
    </row>
    <row r="34" spans="1:11" x14ac:dyDescent="0.25">
      <c r="A34" s="4" t="s">
        <v>85</v>
      </c>
      <c r="B34" s="4">
        <v>2066718.4516648101</v>
      </c>
      <c r="C34" s="4">
        <v>2211418.6992828702</v>
      </c>
      <c r="D34" s="4">
        <v>2215129.0560348001</v>
      </c>
      <c r="E34" s="4">
        <v>2215222.04388654</v>
      </c>
      <c r="F34" s="4">
        <v>2215224.3729902599</v>
      </c>
      <c r="G34" s="4">
        <v>2215224.43132741</v>
      </c>
      <c r="H34" s="4">
        <v>2215224.4327885802</v>
      </c>
      <c r="I34" s="4">
        <v>2215224.4328251798</v>
      </c>
      <c r="J34" s="4">
        <v>2215224.4328260999</v>
      </c>
      <c r="K34" s="4">
        <v>2215224.4328261199</v>
      </c>
    </row>
    <row r="35" spans="1:11" x14ac:dyDescent="0.25">
      <c r="A35" s="4" t="s">
        <v>87</v>
      </c>
      <c r="B35" s="4">
        <v>212.44368590942801</v>
      </c>
      <c r="C35" s="4">
        <v>616.94652626747495</v>
      </c>
      <c r="D35" s="4">
        <v>989.37486205780999</v>
      </c>
      <c r="E35" s="4">
        <v>1255.65575502144</v>
      </c>
      <c r="F35" s="4">
        <v>1425.82805055417</v>
      </c>
      <c r="G35" s="4">
        <v>1528.65252732723</v>
      </c>
      <c r="H35" s="4">
        <v>1588.9681687065299</v>
      </c>
      <c r="I35" s="4">
        <v>1623.7815334181601</v>
      </c>
      <c r="J35" s="4">
        <v>1643.6962498980499</v>
      </c>
      <c r="K35" s="4">
        <v>1655.0314368808599</v>
      </c>
    </row>
    <row r="36" spans="1:11" x14ac:dyDescent="0.25">
      <c r="A36" s="4" t="s">
        <v>89</v>
      </c>
      <c r="B36" s="4">
        <v>1222582.3886252199</v>
      </c>
      <c r="C36" s="4">
        <v>1226773.8453780501</v>
      </c>
      <c r="D36" s="4">
        <v>1226778.33595382</v>
      </c>
      <c r="E36" s="4">
        <v>1226778.3407592101</v>
      </c>
      <c r="F36" s="4">
        <v>1226778.34076435</v>
      </c>
      <c r="G36" s="4">
        <v>1226778.34076436</v>
      </c>
      <c r="H36" s="4">
        <v>1226778.34076436</v>
      </c>
      <c r="I36" s="4">
        <v>1226778.34076436</v>
      </c>
      <c r="J36" s="4">
        <v>1226778.34076436</v>
      </c>
      <c r="K36" s="4">
        <v>1226778.34076436</v>
      </c>
    </row>
    <row r="37" spans="1:11" x14ac:dyDescent="0.25">
      <c r="A37" s="4" t="s">
        <v>91</v>
      </c>
      <c r="B37" s="4">
        <v>1481.4058125367601</v>
      </c>
      <c r="C37" s="4">
        <v>5684.0047387249997</v>
      </c>
      <c r="D37" s="4">
        <v>9927.6434721071491</v>
      </c>
      <c r="E37" s="4">
        <v>13067.652627551901</v>
      </c>
      <c r="F37" s="4">
        <v>15105.983122870401</v>
      </c>
      <c r="G37" s="4">
        <v>16347.3664648169</v>
      </c>
      <c r="H37" s="4">
        <v>17078.600335664702</v>
      </c>
      <c r="I37" s="4">
        <v>17501.623471109098</v>
      </c>
      <c r="J37" s="4">
        <v>17743.9171505378</v>
      </c>
      <c r="K37" s="4">
        <v>17881.925109736301</v>
      </c>
    </row>
    <row r="38" spans="1:11" x14ac:dyDescent="0.25">
      <c r="A38" s="4" t="s">
        <v>93</v>
      </c>
      <c r="B38" s="4">
        <v>431057346.66246802</v>
      </c>
      <c r="C38" s="4">
        <v>431074167.55490202</v>
      </c>
      <c r="D38" s="4">
        <v>431074167.7737</v>
      </c>
      <c r="E38" s="4">
        <v>431074167.77370203</v>
      </c>
      <c r="F38" s="4">
        <v>431074167.77370203</v>
      </c>
      <c r="G38" s="4">
        <v>431074167.77370203</v>
      </c>
      <c r="H38" s="4">
        <v>431074167.77370203</v>
      </c>
      <c r="I38" s="4">
        <v>431074167.77370203</v>
      </c>
      <c r="J38" s="4">
        <v>431074167.77370203</v>
      </c>
      <c r="K38" s="4">
        <v>431074167.77370203</v>
      </c>
    </row>
    <row r="39" spans="1:11" x14ac:dyDescent="0.25">
      <c r="A39" s="4" t="s">
        <v>95</v>
      </c>
      <c r="B39" s="4">
        <v>14714.2643935369</v>
      </c>
      <c r="C39" s="4">
        <v>54668.148289635501</v>
      </c>
      <c r="D39" s="4">
        <v>93166.087802755806</v>
      </c>
      <c r="E39" s="4">
        <v>120437.222691471</v>
      </c>
      <c r="F39" s="4">
        <v>137444.60351516699</v>
      </c>
      <c r="G39" s="4">
        <v>147424.56515454201</v>
      </c>
      <c r="H39" s="4">
        <v>153101.49284220801</v>
      </c>
      <c r="I39" s="4">
        <v>156278.09807413901</v>
      </c>
      <c r="J39" s="4">
        <v>158039.98343012499</v>
      </c>
      <c r="K39" s="4">
        <v>159012.53047317301</v>
      </c>
    </row>
    <row r="40" spans="1:11" x14ac:dyDescent="0.25">
      <c r="A40" s="4" t="s">
        <v>97</v>
      </c>
      <c r="B40" s="4">
        <v>3895.6984678222898</v>
      </c>
      <c r="C40" s="4">
        <v>5261.9025570521699</v>
      </c>
      <c r="D40" s="4">
        <v>5422.1447857797202</v>
      </c>
      <c r="E40" s="4">
        <v>5439.22125386895</v>
      </c>
      <c r="F40" s="4">
        <v>5441.02318614666</v>
      </c>
      <c r="G40" s="4">
        <v>5441.2131315914303</v>
      </c>
      <c r="H40" s="4">
        <v>5441.2331519515401</v>
      </c>
      <c r="I40" s="4">
        <v>5441.2352620848296</v>
      </c>
      <c r="J40" s="4">
        <v>5441.2354844912797</v>
      </c>
      <c r="K40" s="4">
        <v>5441.2355079327399</v>
      </c>
    </row>
    <row r="41" spans="1:11" x14ac:dyDescent="0.25">
      <c r="A41" s="4" t="s">
        <v>99</v>
      </c>
      <c r="B41" s="4">
        <v>616.155743690073</v>
      </c>
      <c r="C41" s="4">
        <v>2647.7646856756101</v>
      </c>
      <c r="D41" s="4">
        <v>4970.8789277249398</v>
      </c>
      <c r="E41" s="4">
        <v>6877.6302727635402</v>
      </c>
      <c r="F41" s="4">
        <v>8232.2807534851909</v>
      </c>
      <c r="G41" s="4">
        <v>9126.8352143849206</v>
      </c>
      <c r="H41" s="4">
        <v>9694.4484215117991</v>
      </c>
      <c r="I41" s="4">
        <v>10046.532803621099</v>
      </c>
      <c r="J41" s="4">
        <v>10262.06558479</v>
      </c>
      <c r="K41" s="4">
        <v>10392.9854795916</v>
      </c>
    </row>
    <row r="42" spans="1:11" x14ac:dyDescent="0.25">
      <c r="A42" s="4" t="s">
        <v>101</v>
      </c>
      <c r="B42" s="4">
        <v>9007.44067507617</v>
      </c>
      <c r="C42" s="4">
        <v>31712.9842291198</v>
      </c>
      <c r="D42" s="4">
        <v>65888.428442320204</v>
      </c>
      <c r="E42" s="4">
        <v>106492.069650736</v>
      </c>
      <c r="F42" s="4">
        <v>148976.398417049</v>
      </c>
      <c r="G42" s="4">
        <v>190107.83164608799</v>
      </c>
      <c r="H42" s="4">
        <v>227940.366043174</v>
      </c>
      <c r="I42" s="4">
        <v>261522.801735788</v>
      </c>
      <c r="J42" s="4">
        <v>290580.498670172</v>
      </c>
      <c r="K42" s="4">
        <v>315254.274105369</v>
      </c>
    </row>
    <row r="43" spans="1:11" x14ac:dyDescent="0.25">
      <c r="A43" s="4" t="s">
        <v>103</v>
      </c>
      <c r="B43" s="4">
        <v>64.353356093979201</v>
      </c>
      <c r="C43" s="4">
        <v>352.31508955823898</v>
      </c>
      <c r="D43" s="4">
        <v>868.40850057862201</v>
      </c>
      <c r="E43" s="4">
        <v>1550.6898466755799</v>
      </c>
      <c r="F43" s="4">
        <v>2328.3297989265402</v>
      </c>
      <c r="G43" s="4">
        <v>3141.0671828088198</v>
      </c>
      <c r="H43" s="4">
        <v>3944.1471849619202</v>
      </c>
      <c r="I43" s="4">
        <v>4707.5293950731702</v>
      </c>
      <c r="J43" s="4">
        <v>5413.16199157762</v>
      </c>
      <c r="K43" s="4">
        <v>6051.95908477394</v>
      </c>
    </row>
    <row r="44" spans="1:11" x14ac:dyDescent="0.25">
      <c r="A44" s="4" t="s">
        <v>105</v>
      </c>
      <c r="B44" s="4">
        <v>45716.254224251898</v>
      </c>
      <c r="C44" s="4">
        <v>106447.33716928501</v>
      </c>
      <c r="D44" s="4">
        <v>142429.83299181901</v>
      </c>
      <c r="E44" s="4">
        <v>159411.37247294499</v>
      </c>
      <c r="F44" s="4">
        <v>166802.14400493799</v>
      </c>
      <c r="G44" s="4">
        <v>169918.88884801001</v>
      </c>
      <c r="H44" s="4">
        <v>171216.63110326399</v>
      </c>
      <c r="I44" s="4">
        <v>171754.17922932099</v>
      </c>
      <c r="J44" s="4">
        <v>171976.3658385</v>
      </c>
      <c r="K44" s="4">
        <v>172068.12213472099</v>
      </c>
    </row>
    <row r="45" spans="1:11" x14ac:dyDescent="0.25">
      <c r="A45" s="4" t="s">
        <v>107</v>
      </c>
      <c r="B45" s="4">
        <v>14085.064259414299</v>
      </c>
      <c r="C45" s="4">
        <v>34745.523605770402</v>
      </c>
      <c r="D45" s="4">
        <v>51546.956867730798</v>
      </c>
      <c r="E45" s="4">
        <v>62548.780118222399</v>
      </c>
      <c r="F45" s="4">
        <v>69100.533181806997</v>
      </c>
      <c r="G45" s="4">
        <v>72825.938914277998</v>
      </c>
      <c r="H45" s="4">
        <v>74894.685417064902</v>
      </c>
      <c r="I45" s="4">
        <v>76029.274948435195</v>
      </c>
      <c r="J45" s="4">
        <v>76647.425043398995</v>
      </c>
      <c r="K45" s="4">
        <v>76983.013313260293</v>
      </c>
    </row>
    <row r="46" spans="1:11" x14ac:dyDescent="0.25">
      <c r="A46" s="4" t="s">
        <v>109</v>
      </c>
      <c r="B46" s="4">
        <v>70511.030695375695</v>
      </c>
      <c r="C46" s="4">
        <v>156885.43811732801</v>
      </c>
      <c r="D46" s="4">
        <v>219276.52333652799</v>
      </c>
      <c r="E46" s="4">
        <v>256099.65122496799</v>
      </c>
      <c r="F46" s="4">
        <v>276053.63290922099</v>
      </c>
      <c r="G46" s="4">
        <v>286447.345019934</v>
      </c>
      <c r="H46" s="4">
        <v>291759.00520393299</v>
      </c>
      <c r="I46" s="4">
        <v>294448.15700144501</v>
      </c>
      <c r="J46" s="4">
        <v>295803.27198559698</v>
      </c>
      <c r="K46" s="4">
        <v>296484.553390713</v>
      </c>
    </row>
    <row r="47" spans="1:11" x14ac:dyDescent="0.25">
      <c r="A47" s="4" t="s">
        <v>111</v>
      </c>
      <c r="B47" s="4">
        <v>11257.4957374076</v>
      </c>
      <c r="C47" s="4">
        <v>21071.925330348498</v>
      </c>
      <c r="D47" s="4">
        <v>29348.220222695199</v>
      </c>
      <c r="E47" s="4">
        <v>35440.306727468604</v>
      </c>
      <c r="F47" s="4">
        <v>39620.921589397498</v>
      </c>
      <c r="G47" s="4">
        <v>42379.584754032097</v>
      </c>
      <c r="H47" s="4">
        <v>44158.784427892999</v>
      </c>
      <c r="I47" s="4">
        <v>45290.6735807437</v>
      </c>
      <c r="J47" s="4">
        <v>46004.789030945198</v>
      </c>
      <c r="K47" s="4">
        <v>46453.034211065104</v>
      </c>
    </row>
    <row r="48" spans="1:11" x14ac:dyDescent="0.25">
      <c r="A48" s="4" t="s">
        <v>113</v>
      </c>
      <c r="B48" s="4">
        <v>6262.7456438192203</v>
      </c>
      <c r="C48" s="4">
        <v>22669.6414970406</v>
      </c>
      <c r="D48" s="4">
        <v>37609.4383676617</v>
      </c>
      <c r="E48" s="4">
        <v>47591.785938348403</v>
      </c>
      <c r="F48" s="4">
        <v>53477.7026192907</v>
      </c>
      <c r="G48" s="4">
        <v>56752.811070805299</v>
      </c>
      <c r="H48" s="4">
        <v>58523.834363845897</v>
      </c>
      <c r="I48" s="4">
        <v>59467.706723427596</v>
      </c>
      <c r="J48" s="4">
        <v>59966.988502402201</v>
      </c>
      <c r="K48" s="4">
        <v>60230.0662542063</v>
      </c>
    </row>
    <row r="49" spans="1:11" x14ac:dyDescent="0.25">
      <c r="A49" s="4" t="s">
        <v>115</v>
      </c>
      <c r="B49" s="4">
        <v>1912508.0955476901</v>
      </c>
      <c r="C49" s="4">
        <v>1917744.812838</v>
      </c>
      <c r="D49" s="4">
        <v>1917749.59246319</v>
      </c>
      <c r="E49" s="4">
        <v>1917749.5968216399</v>
      </c>
      <c r="F49" s="4">
        <v>1917749.5968256199</v>
      </c>
      <c r="G49" s="4">
        <v>1917749.5968256199</v>
      </c>
      <c r="H49" s="4">
        <v>1917749.5968256199</v>
      </c>
      <c r="I49" s="4">
        <v>1917749.5968256199</v>
      </c>
      <c r="J49" s="4">
        <v>1917749.5968256199</v>
      </c>
      <c r="K49" s="4">
        <v>1917749.5968256199</v>
      </c>
    </row>
    <row r="50" spans="1:11" x14ac:dyDescent="0.25">
      <c r="A50" s="4" t="s">
        <v>117</v>
      </c>
      <c r="B50" s="4">
        <v>652.35810344870799</v>
      </c>
      <c r="C50" s="4">
        <v>3441.4885781480398</v>
      </c>
      <c r="D50" s="4">
        <v>7830.3630878846197</v>
      </c>
      <c r="E50" s="4">
        <v>12786.219065760601</v>
      </c>
      <c r="F50" s="4">
        <v>17567.802658492899</v>
      </c>
      <c r="G50" s="4">
        <v>21790.421761400099</v>
      </c>
      <c r="H50" s="4">
        <v>25320.876096480199</v>
      </c>
      <c r="I50" s="4">
        <v>28168.810563076899</v>
      </c>
      <c r="J50" s="4">
        <v>30410.991001409599</v>
      </c>
      <c r="K50" s="4">
        <v>32146.631355441699</v>
      </c>
    </row>
    <row r="51" spans="1:11" x14ac:dyDescent="0.25">
      <c r="A51" s="4" t="s">
        <v>119</v>
      </c>
      <c r="B51" s="4">
        <v>157102.63400162</v>
      </c>
      <c r="C51" s="4">
        <v>239961.45740522401</v>
      </c>
      <c r="D51" s="4">
        <v>261714.94365844701</v>
      </c>
      <c r="E51" s="4">
        <v>266740.50501672999</v>
      </c>
      <c r="F51" s="4">
        <v>267870.50923625397</v>
      </c>
      <c r="G51" s="4">
        <v>268123.07903775398</v>
      </c>
      <c r="H51" s="4">
        <v>268179.45648752397</v>
      </c>
      <c r="I51" s="4">
        <v>268192.03706795501</v>
      </c>
      <c r="J51" s="4">
        <v>268194.84422820603</v>
      </c>
      <c r="K51" s="4">
        <v>268195.47059297701</v>
      </c>
    </row>
    <row r="52" spans="1:11" x14ac:dyDescent="0.25">
      <c r="A52" s="4" t="s">
        <v>121</v>
      </c>
      <c r="B52" s="4">
        <v>113671927.19403601</v>
      </c>
      <c r="C52" s="4">
        <v>113983176.985838</v>
      </c>
      <c r="D52" s="4">
        <v>113983461.067881</v>
      </c>
      <c r="E52" s="4">
        <v>113983461.32693</v>
      </c>
      <c r="F52" s="4">
        <v>113983461.327167</v>
      </c>
      <c r="G52" s="4">
        <v>113983461.327167</v>
      </c>
      <c r="H52" s="4">
        <v>113983461.327167</v>
      </c>
      <c r="I52" s="4">
        <v>113983461.327167</v>
      </c>
      <c r="J52" s="4">
        <v>113983461.327167</v>
      </c>
      <c r="K52" s="4">
        <v>113983461.327167</v>
      </c>
    </row>
    <row r="53" spans="1:11" x14ac:dyDescent="0.25">
      <c r="A53" s="4" t="s">
        <v>123</v>
      </c>
      <c r="B53" s="4">
        <v>3281.5294328257901</v>
      </c>
      <c r="C53" s="4">
        <v>18331.092931794799</v>
      </c>
      <c r="D53" s="4">
        <v>40206.3109281465</v>
      </c>
      <c r="E53" s="4">
        <v>62266.3030809681</v>
      </c>
      <c r="F53" s="4">
        <v>81125.751012117005</v>
      </c>
      <c r="G53" s="4">
        <v>95881.974147430505</v>
      </c>
      <c r="H53" s="4">
        <v>106842.78577216</v>
      </c>
      <c r="I53" s="4">
        <v>114726.942283579</v>
      </c>
      <c r="J53" s="4">
        <v>120282.96622083199</v>
      </c>
      <c r="K53" s="4">
        <v>124146.425861504</v>
      </c>
    </row>
    <row r="54" spans="1:11" x14ac:dyDescent="0.25">
      <c r="A54" s="4" t="s">
        <v>125</v>
      </c>
      <c r="B54" s="4">
        <v>160.307662058662</v>
      </c>
      <c r="C54" s="4">
        <v>1038.82461065077</v>
      </c>
      <c r="D54" s="4">
        <v>2929.9162458925298</v>
      </c>
      <c r="E54" s="4">
        <v>5886.6825998243303</v>
      </c>
      <c r="F54" s="4">
        <v>9832.04490044042</v>
      </c>
      <c r="G54" s="4">
        <v>14623.1230520361</v>
      </c>
      <c r="H54" s="4">
        <v>20090.342091267899</v>
      </c>
      <c r="I54" s="4">
        <v>26060.919241514901</v>
      </c>
      <c r="J54" s="4">
        <v>32372.371590450701</v>
      </c>
      <c r="K54" s="4">
        <v>38879.619504650203</v>
      </c>
    </row>
    <row r="55" spans="1:11" x14ac:dyDescent="0.25">
      <c r="A55" s="4" t="s">
        <v>127</v>
      </c>
      <c r="B55" s="4">
        <v>4906.4581092051703</v>
      </c>
      <c r="C55" s="4">
        <v>13024.750271123799</v>
      </c>
      <c r="D55" s="4">
        <v>17793.863515264798</v>
      </c>
      <c r="E55" s="4">
        <v>19956.391940366499</v>
      </c>
      <c r="F55" s="4">
        <v>20855.624328366099</v>
      </c>
      <c r="G55" s="4">
        <v>21217.720410453399</v>
      </c>
      <c r="H55" s="4">
        <v>21361.7318580057</v>
      </c>
      <c r="I55" s="4">
        <v>21418.730896520101</v>
      </c>
      <c r="J55" s="4">
        <v>21441.2479433882</v>
      </c>
      <c r="K55" s="4">
        <v>21450.1364675437</v>
      </c>
    </row>
    <row r="56" spans="1:11" x14ac:dyDescent="0.25">
      <c r="A56" s="4" t="s">
        <v>129</v>
      </c>
      <c r="B56" s="4">
        <v>390.64433922394301</v>
      </c>
      <c r="C56" s="4">
        <v>2402.5549640769</v>
      </c>
      <c r="D56" s="4">
        <v>6478.4345496333999</v>
      </c>
      <c r="E56" s="4">
        <v>12493.062514970001</v>
      </c>
      <c r="F56" s="4">
        <v>20084.2886587045</v>
      </c>
      <c r="G56" s="4">
        <v>28819.3339537867</v>
      </c>
      <c r="H56" s="4">
        <v>38278.9255972018</v>
      </c>
      <c r="I56" s="4">
        <v>48096.271076505604</v>
      </c>
      <c r="J56" s="4">
        <v>57971.060795101002</v>
      </c>
      <c r="K56" s="4">
        <v>67670.096992454404</v>
      </c>
    </row>
    <row r="57" spans="1:11" x14ac:dyDescent="0.25">
      <c r="A57" s="4" t="s">
        <v>131</v>
      </c>
      <c r="B57" s="4">
        <v>577.52535681144298</v>
      </c>
      <c r="C57" s="4">
        <v>2053.84187941247</v>
      </c>
      <c r="D57" s="4">
        <v>3438.53184431198</v>
      </c>
      <c r="E57" s="4">
        <v>4407.1634858887801</v>
      </c>
      <c r="F57" s="4">
        <v>5007.4185049083499</v>
      </c>
      <c r="G57" s="4">
        <v>5358.4762950948298</v>
      </c>
      <c r="H57" s="4">
        <v>5557.8125880285297</v>
      </c>
      <c r="I57" s="4">
        <v>5669.2459715800396</v>
      </c>
      <c r="J57" s="4">
        <v>5731.0191966017301</v>
      </c>
      <c r="K57" s="4">
        <v>5765.1076892561496</v>
      </c>
    </row>
    <row r="58" spans="1:11" x14ac:dyDescent="0.25">
      <c r="A58" s="4" t="s">
        <v>133</v>
      </c>
      <c r="B58" s="4">
        <v>16321.7371460008</v>
      </c>
      <c r="C58" s="4">
        <v>63352.250636156801</v>
      </c>
      <c r="D58" s="4">
        <v>109901.34142092901</v>
      </c>
      <c r="E58" s="4">
        <v>143292.22576473199</v>
      </c>
      <c r="F58" s="4">
        <v>164248.65483537299</v>
      </c>
      <c r="G58" s="4">
        <v>176586.997708176</v>
      </c>
      <c r="H58" s="4">
        <v>183618.010896286</v>
      </c>
      <c r="I58" s="4">
        <v>187556.12867982499</v>
      </c>
      <c r="J58" s="4">
        <v>189741.536685167</v>
      </c>
      <c r="K58" s="4">
        <v>190948.21344183001</v>
      </c>
    </row>
    <row r="59" spans="1:11" x14ac:dyDescent="0.25">
      <c r="A59" s="4" t="s">
        <v>135</v>
      </c>
      <c r="B59" s="4">
        <v>287.12549347087099</v>
      </c>
      <c r="C59" s="4">
        <v>1520.5363768531099</v>
      </c>
      <c r="D59" s="4">
        <v>3471.4407332537899</v>
      </c>
      <c r="E59" s="4">
        <v>5685.4913439211596</v>
      </c>
      <c r="F59" s="4">
        <v>7831.9974900212001</v>
      </c>
      <c r="G59" s="4">
        <v>9736.2953604671693</v>
      </c>
      <c r="H59" s="4">
        <v>11335.416548385199</v>
      </c>
      <c r="I59" s="4">
        <v>12630.7784457006</v>
      </c>
      <c r="J59" s="4">
        <v>13654.6918114565</v>
      </c>
      <c r="K59" s="4">
        <v>14450.3272903467</v>
      </c>
    </row>
    <row r="60" spans="1:11" x14ac:dyDescent="0.25">
      <c r="A60" s="4" t="s">
        <v>137</v>
      </c>
      <c r="B60" s="4">
        <v>142.31883876457999</v>
      </c>
      <c r="C60" s="4">
        <v>651.82142538594405</v>
      </c>
      <c r="D60" s="4">
        <v>1361.00294712954</v>
      </c>
      <c r="E60" s="4">
        <v>2090.3962123952401</v>
      </c>
      <c r="F60" s="4">
        <v>2741.8556676691301</v>
      </c>
      <c r="G60" s="4">
        <v>3279.9713876219898</v>
      </c>
      <c r="H60" s="4">
        <v>3703.8683820998599</v>
      </c>
      <c r="I60" s="4">
        <v>4027.7843513743701</v>
      </c>
      <c r="J60" s="4">
        <v>4270.35138344801</v>
      </c>
      <c r="K60" s="4">
        <v>4449.5239219792302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T20" sqref="T20"/>
    </sheetView>
  </sheetViews>
  <sheetFormatPr defaultRowHeight="15" x14ac:dyDescent="0.25"/>
  <sheetData>
    <row r="1" spans="1:11" x14ac:dyDescent="0.2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4" t="s">
        <v>21</v>
      </c>
      <c r="B2" s="4">
        <v>5.9132888377872499</v>
      </c>
      <c r="C2" s="4">
        <v>12.9459518864321</v>
      </c>
      <c r="D2" s="4">
        <v>21.614632805078202</v>
      </c>
      <c r="E2" s="4">
        <v>30.9656855537071</v>
      </c>
      <c r="F2" s="4">
        <v>40.271990432780299</v>
      </c>
      <c r="G2" s="4">
        <v>49.0560522521561</v>
      </c>
      <c r="H2" s="4">
        <v>57.0478785220227</v>
      </c>
      <c r="I2" s="4">
        <v>64.128716973684504</v>
      </c>
      <c r="J2" s="4">
        <v>70.280428120162995</v>
      </c>
      <c r="K2" s="4">
        <v>75.546213478296295</v>
      </c>
    </row>
    <row r="3" spans="1:11" x14ac:dyDescent="0.25">
      <c r="A3" s="4" t="s">
        <v>23</v>
      </c>
      <c r="B3" s="4">
        <v>233497.38944982301</v>
      </c>
      <c r="C3" s="4">
        <v>638716.98866365105</v>
      </c>
      <c r="D3" s="4">
        <v>1067115.9821462799</v>
      </c>
      <c r="E3" s="4">
        <v>1390286.5921640501</v>
      </c>
      <c r="F3" s="4">
        <v>1607059.32952526</v>
      </c>
      <c r="G3" s="4">
        <v>1744046.3095026</v>
      </c>
      <c r="H3" s="4">
        <v>1827863.1148979899</v>
      </c>
      <c r="I3" s="4">
        <v>1878227.5958579499</v>
      </c>
      <c r="J3" s="4">
        <v>1908179.7773428101</v>
      </c>
      <c r="K3" s="4">
        <v>1925886.5759407301</v>
      </c>
    </row>
    <row r="4" spans="1:11" x14ac:dyDescent="0.25">
      <c r="A4" s="4" t="s">
        <v>25</v>
      </c>
      <c r="B4" s="4">
        <v>267440.023274821</v>
      </c>
      <c r="C4" s="4">
        <v>716391.86131559603</v>
      </c>
      <c r="D4" s="4">
        <v>1120223.2483016499</v>
      </c>
      <c r="E4" s="4">
        <v>1409581.1076211501</v>
      </c>
      <c r="F4" s="4">
        <v>1596677.4942711</v>
      </c>
      <c r="G4" s="4">
        <v>1711511.3451680699</v>
      </c>
      <c r="H4" s="4">
        <v>1780047.31179362</v>
      </c>
      <c r="I4" s="4">
        <v>1820322.15288882</v>
      </c>
      <c r="J4" s="4">
        <v>1843783.68029513</v>
      </c>
      <c r="K4" s="4">
        <v>1857383.1508058701</v>
      </c>
    </row>
    <row r="5" spans="1:11" x14ac:dyDescent="0.25">
      <c r="A5" s="4" t="s">
        <v>27</v>
      </c>
      <c r="B5" s="4">
        <v>375.95120220717001</v>
      </c>
      <c r="C5" s="4">
        <v>1307.8126412223501</v>
      </c>
      <c r="D5" s="4">
        <v>2534.4981867655702</v>
      </c>
      <c r="E5" s="4">
        <v>3797.5202587709</v>
      </c>
      <c r="F5" s="4">
        <v>4946.8186000675196</v>
      </c>
      <c r="G5" s="4">
        <v>5920.4122712715098</v>
      </c>
      <c r="H5" s="4">
        <v>6708.9646234152196</v>
      </c>
      <c r="I5" s="4">
        <v>7329.0337563121702</v>
      </c>
      <c r="J5" s="4">
        <v>7806.9047634101898</v>
      </c>
      <c r="K5" s="4">
        <v>8170.0697304920604</v>
      </c>
    </row>
    <row r="6" spans="1:11" x14ac:dyDescent="0.25">
      <c r="A6" s="4" t="s">
        <v>29</v>
      </c>
      <c r="B6" s="4">
        <v>172504.78704057899</v>
      </c>
      <c r="C6" s="4">
        <v>175141.93590036099</v>
      </c>
      <c r="D6" s="4">
        <v>175159.09510951801</v>
      </c>
      <c r="E6" s="4">
        <v>175159.20619757101</v>
      </c>
      <c r="F6" s="4">
        <v>175159.20691672701</v>
      </c>
      <c r="G6" s="4">
        <v>175159.20692138301</v>
      </c>
      <c r="H6" s="4">
        <v>175159.20692141299</v>
      </c>
      <c r="I6" s="4">
        <v>175159.20692141299</v>
      </c>
      <c r="J6" s="4">
        <v>175159.20692141299</v>
      </c>
      <c r="K6" s="4">
        <v>175159.20692141299</v>
      </c>
    </row>
    <row r="7" spans="1:11" x14ac:dyDescent="0.25">
      <c r="A7" s="4" t="s">
        <v>31</v>
      </c>
      <c r="B7" s="4">
        <v>152.54808315774099</v>
      </c>
      <c r="C7" s="4">
        <v>414.96989628105399</v>
      </c>
      <c r="D7" s="4">
        <v>571.07344796950599</v>
      </c>
      <c r="E7" s="4">
        <v>642.34018369629996</v>
      </c>
      <c r="F7" s="4">
        <v>672.12007327305503</v>
      </c>
      <c r="G7" s="4">
        <v>684.161192972501</v>
      </c>
      <c r="H7" s="4">
        <v>688.96833952882901</v>
      </c>
      <c r="I7" s="4">
        <v>690.87793612558698</v>
      </c>
      <c r="J7" s="4">
        <v>691.63501547946203</v>
      </c>
      <c r="K7" s="4">
        <v>691.93493403582397</v>
      </c>
    </row>
    <row r="8" spans="1:11" x14ac:dyDescent="0.25">
      <c r="A8" s="4" t="s">
        <v>33</v>
      </c>
      <c r="B8" s="4">
        <v>712.636197414398</v>
      </c>
      <c r="C8" s="4">
        <v>2754.1860322432399</v>
      </c>
      <c r="D8" s="4">
        <v>4612.0711496682698</v>
      </c>
      <c r="E8" s="4">
        <v>5835.8826626140899</v>
      </c>
      <c r="F8" s="4">
        <v>6545.6010447028402</v>
      </c>
      <c r="G8" s="4">
        <v>6933.9766135975597</v>
      </c>
      <c r="H8" s="4">
        <v>7140.5969044795802</v>
      </c>
      <c r="I8" s="4">
        <v>7248.9795865891301</v>
      </c>
      <c r="J8" s="4">
        <v>7305.4247200753398</v>
      </c>
      <c r="K8" s="4">
        <v>7334.7129765145201</v>
      </c>
    </row>
    <row r="9" spans="1:11" x14ac:dyDescent="0.25">
      <c r="A9" s="4" t="s">
        <v>35</v>
      </c>
      <c r="B9" s="4">
        <v>102.035327467174</v>
      </c>
      <c r="C9" s="4">
        <v>269.36463158792799</v>
      </c>
      <c r="D9" s="4">
        <v>375.38702124769401</v>
      </c>
      <c r="E9" s="4">
        <v>427.54076766721698</v>
      </c>
      <c r="F9" s="4">
        <v>450.98999228369001</v>
      </c>
      <c r="G9" s="4">
        <v>461.165524841908</v>
      </c>
      <c r="H9" s="4">
        <v>465.51710396357697</v>
      </c>
      <c r="I9" s="4">
        <v>467.36673932768298</v>
      </c>
      <c r="J9" s="4">
        <v>468.15090784199401</v>
      </c>
      <c r="K9" s="4">
        <v>468.48300216717098</v>
      </c>
    </row>
    <row r="10" spans="1:11" x14ac:dyDescent="0.25">
      <c r="A10" s="4" t="s">
        <v>37</v>
      </c>
      <c r="B10" s="4">
        <v>133037010.60414401</v>
      </c>
      <c r="C10" s="4">
        <v>133037010.67166901</v>
      </c>
      <c r="D10" s="4">
        <v>133037010.67166901</v>
      </c>
      <c r="E10" s="4">
        <v>133037010.67166901</v>
      </c>
      <c r="F10" s="4">
        <v>133037010.67166901</v>
      </c>
      <c r="G10" s="4">
        <v>133037010.67166901</v>
      </c>
      <c r="H10" s="4">
        <v>133037010.67166901</v>
      </c>
      <c r="I10" s="4">
        <v>133037010.67166901</v>
      </c>
      <c r="J10" s="4">
        <v>133037010.67166901</v>
      </c>
      <c r="K10" s="4">
        <v>133037010.67166901</v>
      </c>
    </row>
    <row r="11" spans="1:11" x14ac:dyDescent="0.25">
      <c r="A11" s="4" t="s">
        <v>39</v>
      </c>
      <c r="B11" s="4">
        <v>1967.3422975306501</v>
      </c>
      <c r="C11" s="4">
        <v>10673.8791325232</v>
      </c>
      <c r="D11" s="4">
        <v>23984.136743830499</v>
      </c>
      <c r="E11" s="4">
        <v>38417.013982231299</v>
      </c>
      <c r="F11" s="4">
        <v>51760.174574377597</v>
      </c>
      <c r="G11" s="4">
        <v>63054.779798605297</v>
      </c>
      <c r="H11" s="4">
        <v>72116.930257871296</v>
      </c>
      <c r="I11" s="4">
        <v>79142.146030678807</v>
      </c>
      <c r="J11" s="4">
        <v>84465.087140906995</v>
      </c>
      <c r="K11" s="4">
        <v>88435.848484875401</v>
      </c>
    </row>
    <row r="12" spans="1:11" x14ac:dyDescent="0.25">
      <c r="A12" s="4" t="s">
        <v>41</v>
      </c>
      <c r="B12" s="4">
        <v>13930.3230539668</v>
      </c>
      <c r="C12" s="4">
        <v>30024.917288674202</v>
      </c>
      <c r="D12" s="4">
        <v>36146.587577156897</v>
      </c>
      <c r="E12" s="4">
        <v>38008.314066815503</v>
      </c>
      <c r="F12" s="4">
        <v>38543.126576313101</v>
      </c>
      <c r="G12" s="4">
        <v>38694.381834860498</v>
      </c>
      <c r="H12" s="4">
        <v>38736.973882468097</v>
      </c>
      <c r="I12" s="4">
        <v>38748.9527596771</v>
      </c>
      <c r="J12" s="4">
        <v>38752.320624721702</v>
      </c>
      <c r="K12" s="4">
        <v>38753.2674097052</v>
      </c>
    </row>
    <row r="13" spans="1:11" x14ac:dyDescent="0.25">
      <c r="A13" s="4" t="s">
        <v>43</v>
      </c>
      <c r="B13" s="4">
        <v>1510.7162722507801</v>
      </c>
      <c r="C13" s="4">
        <v>3027.7631432871199</v>
      </c>
      <c r="D13" s="4">
        <v>3544.6931382806101</v>
      </c>
      <c r="E13" s="4">
        <v>3688.5544260026099</v>
      </c>
      <c r="F13" s="4">
        <v>3726.7028950873901</v>
      </c>
      <c r="G13" s="4">
        <v>3736.6950900244701</v>
      </c>
      <c r="H13" s="4">
        <v>3739.3039914757201</v>
      </c>
      <c r="I13" s="4">
        <v>3739.9845935483399</v>
      </c>
      <c r="J13" s="4">
        <v>3740.1621084028302</v>
      </c>
      <c r="K13" s="4">
        <v>3740.20840526744</v>
      </c>
    </row>
    <row r="14" spans="1:11" x14ac:dyDescent="0.25">
      <c r="A14" s="4" t="s">
        <v>45</v>
      </c>
      <c r="B14" s="4">
        <v>742168.86272047402</v>
      </c>
      <c r="C14" s="4">
        <v>808362.87677557801</v>
      </c>
      <c r="D14" s="4">
        <v>810727.66416430799</v>
      </c>
      <c r="E14" s="4">
        <v>810809.72673468199</v>
      </c>
      <c r="F14" s="4">
        <v>810812.57160649099</v>
      </c>
      <c r="G14" s="4">
        <v>810812.67022653599</v>
      </c>
      <c r="H14" s="4">
        <v>810812.67364528496</v>
      </c>
      <c r="I14" s="4">
        <v>810812.67376379902</v>
      </c>
      <c r="J14" s="4">
        <v>810812.67376790696</v>
      </c>
      <c r="K14" s="4">
        <v>810812.67376804899</v>
      </c>
    </row>
    <row r="15" spans="1:11" x14ac:dyDescent="0.25">
      <c r="A15" s="4" t="s">
        <v>47</v>
      </c>
      <c r="B15" s="4">
        <v>274.55556258181798</v>
      </c>
      <c r="C15" s="4">
        <v>1131.6007168046499</v>
      </c>
      <c r="D15" s="4">
        <v>2023.10335199067</v>
      </c>
      <c r="E15" s="4">
        <v>2684.6062709399298</v>
      </c>
      <c r="F15" s="4">
        <v>3110.6266092707501</v>
      </c>
      <c r="G15" s="4">
        <v>3366.8455580541199</v>
      </c>
      <c r="H15" s="4">
        <v>3515.5888418438399</v>
      </c>
      <c r="I15" s="4">
        <v>3600.32192111319</v>
      </c>
      <c r="J15" s="4">
        <v>3648.0965743525499</v>
      </c>
      <c r="K15" s="4">
        <v>3674.88104967249</v>
      </c>
    </row>
    <row r="16" spans="1:11" x14ac:dyDescent="0.25">
      <c r="A16" s="4" t="s">
        <v>49</v>
      </c>
      <c r="B16" s="4">
        <v>47.974150056319502</v>
      </c>
      <c r="C16" s="4">
        <v>295.96598485893998</v>
      </c>
      <c r="D16" s="4">
        <v>758.20502227389102</v>
      </c>
      <c r="E16" s="4">
        <v>1365.55506268822</v>
      </c>
      <c r="F16" s="4">
        <v>2038.90826479255</v>
      </c>
      <c r="G16" s="4">
        <v>2715.58155154324</v>
      </c>
      <c r="H16" s="4">
        <v>3354.2626017460898</v>
      </c>
      <c r="I16" s="4">
        <v>3931.9598729578402</v>
      </c>
      <c r="J16" s="4">
        <v>4438.9852253373201</v>
      </c>
      <c r="K16" s="4">
        <v>4874.3166616569097</v>
      </c>
    </row>
    <row r="17" spans="1:11" x14ac:dyDescent="0.25">
      <c r="A17" s="4" t="s">
        <v>51</v>
      </c>
      <c r="B17" s="4">
        <v>4.6233488439388202</v>
      </c>
      <c r="C17" s="4">
        <v>20.3204781005402</v>
      </c>
      <c r="D17" s="4">
        <v>47.604155812297797</v>
      </c>
      <c r="E17" s="4">
        <v>83.552976244132694</v>
      </c>
      <c r="F17" s="4">
        <v>124.472031788504</v>
      </c>
      <c r="G17" s="4">
        <v>167.08288880376099</v>
      </c>
      <c r="H17" s="4">
        <v>208.918357086404</v>
      </c>
      <c r="I17" s="4">
        <v>248.33612552334299</v>
      </c>
      <c r="J17" s="4">
        <v>284.38184183312501</v>
      </c>
      <c r="K17" s="4">
        <v>316.61611056608501</v>
      </c>
    </row>
    <row r="18" spans="1:11" x14ac:dyDescent="0.25">
      <c r="A18" s="4" t="s">
        <v>53</v>
      </c>
      <c r="B18" s="4">
        <v>110.200762047436</v>
      </c>
      <c r="C18" s="4">
        <v>441.30140500558002</v>
      </c>
      <c r="D18" s="4">
        <v>803.62351437031998</v>
      </c>
      <c r="E18" s="4">
        <v>1094.54953862346</v>
      </c>
      <c r="F18" s="4">
        <v>1298.78911544729</v>
      </c>
      <c r="G18" s="4">
        <v>1432.7517014447401</v>
      </c>
      <c r="H18" s="4">
        <v>1517.4204959556901</v>
      </c>
      <c r="I18" s="4">
        <v>1569.81827952921</v>
      </c>
      <c r="J18" s="4">
        <v>1601.8502038889101</v>
      </c>
      <c r="K18" s="4">
        <v>1621.2912491662501</v>
      </c>
    </row>
    <row r="19" spans="1:11" x14ac:dyDescent="0.25">
      <c r="A19" s="4" t="s">
        <v>55</v>
      </c>
      <c r="B19" s="4">
        <v>64.2271432622573</v>
      </c>
      <c r="C19" s="4">
        <v>515.90116271548902</v>
      </c>
      <c r="D19" s="4">
        <v>1588.6060296046501</v>
      </c>
      <c r="E19" s="4">
        <v>3363.0629238781898</v>
      </c>
      <c r="F19" s="4">
        <v>5825.1915253458101</v>
      </c>
      <c r="G19" s="4">
        <v>8905.9183670674392</v>
      </c>
      <c r="H19" s="4">
        <v>12507.934152244199</v>
      </c>
      <c r="I19" s="4">
        <v>16523.231192189302</v>
      </c>
      <c r="J19" s="4">
        <v>20844.192326942499</v>
      </c>
      <c r="K19" s="4">
        <v>25370.225970371001</v>
      </c>
    </row>
    <row r="20" spans="1:11" x14ac:dyDescent="0.25">
      <c r="A20" s="4" t="s">
        <v>57</v>
      </c>
      <c r="B20" s="4">
        <v>1882.88043715957</v>
      </c>
      <c r="C20" s="4">
        <v>4258.7615432794501</v>
      </c>
      <c r="D20" s="4">
        <v>5248.3092566202504</v>
      </c>
      <c r="E20" s="4">
        <v>5574.3207544244196</v>
      </c>
      <c r="F20" s="4">
        <v>5675.1362736116898</v>
      </c>
      <c r="G20" s="4">
        <v>5705.7416034302696</v>
      </c>
      <c r="H20" s="4">
        <v>5714.98161347121</v>
      </c>
      <c r="I20" s="4">
        <v>5717.7666360308203</v>
      </c>
      <c r="J20" s="4">
        <v>5718.6056488304903</v>
      </c>
      <c r="K20" s="4">
        <v>5718.8583709713203</v>
      </c>
    </row>
    <row r="21" spans="1:11" x14ac:dyDescent="0.25">
      <c r="A21" s="4" t="s">
        <v>59</v>
      </c>
      <c r="B21" s="4">
        <v>5679.5472138441901</v>
      </c>
      <c r="C21" s="4">
        <v>41504.080227333601</v>
      </c>
      <c r="D21" s="4">
        <v>113622.40648625699</v>
      </c>
      <c r="E21" s="4">
        <v>213062.507363182</v>
      </c>
      <c r="F21" s="4">
        <v>327535.82453783002</v>
      </c>
      <c r="G21" s="4">
        <v>446342.722765118</v>
      </c>
      <c r="H21" s="4">
        <v>561769.04896897206</v>
      </c>
      <c r="I21" s="4">
        <v>668987.19768451201</v>
      </c>
      <c r="J21" s="4">
        <v>765453.45555530605</v>
      </c>
      <c r="K21" s="4">
        <v>850239.82535739697</v>
      </c>
    </row>
    <row r="22" spans="1:11" x14ac:dyDescent="0.25">
      <c r="A22" s="4" t="s">
        <v>61</v>
      </c>
      <c r="B22" s="4">
        <v>2.77336713564888</v>
      </c>
      <c r="C22" s="4">
        <v>58.8239003438688</v>
      </c>
      <c r="D22" s="4">
        <v>184.50932729192601</v>
      </c>
      <c r="E22" s="4">
        <v>343.418645616086</v>
      </c>
      <c r="F22" s="4">
        <v>503.22007693472102</v>
      </c>
      <c r="G22" s="4">
        <v>646.02380291301802</v>
      </c>
      <c r="H22" s="4">
        <v>765.11471469097899</v>
      </c>
      <c r="I22" s="4">
        <v>860.20039818427495</v>
      </c>
      <c r="J22" s="4">
        <v>933.97356951152994</v>
      </c>
      <c r="K22" s="4">
        <v>990.108233514983</v>
      </c>
    </row>
    <row r="23" spans="1:11" x14ac:dyDescent="0.25">
      <c r="A23" s="4" t="s">
        <v>63</v>
      </c>
      <c r="B23" s="4">
        <v>1320.6003317397201</v>
      </c>
      <c r="C23" s="4">
        <v>2649.8371473716602</v>
      </c>
      <c r="D23" s="4">
        <v>3074.54150064645</v>
      </c>
      <c r="E23" s="4">
        <v>3184.80814339467</v>
      </c>
      <c r="F23" s="4">
        <v>3212.1299736479</v>
      </c>
      <c r="G23" s="4">
        <v>3218.8244447064098</v>
      </c>
      <c r="H23" s="4">
        <v>3220.4602890491701</v>
      </c>
      <c r="I23" s="4">
        <v>3220.8597549719898</v>
      </c>
      <c r="J23" s="4">
        <v>3220.95728699146</v>
      </c>
      <c r="K23" s="4">
        <v>3220.98109908275</v>
      </c>
    </row>
    <row r="24" spans="1:11" x14ac:dyDescent="0.25">
      <c r="A24" s="4" t="s">
        <v>65</v>
      </c>
      <c r="B24" s="4">
        <v>4744.3888070845096</v>
      </c>
      <c r="C24" s="4">
        <v>6385.0420410030702</v>
      </c>
      <c r="D24" s="4">
        <v>6609.09464530677</v>
      </c>
      <c r="E24" s="4">
        <v>6636.8919855701697</v>
      </c>
      <c r="F24" s="4">
        <v>6640.3013818968702</v>
      </c>
      <c r="G24" s="4">
        <v>6640.71896591534</v>
      </c>
      <c r="H24" s="4">
        <v>6640.7701029852897</v>
      </c>
      <c r="I24" s="4">
        <v>6640.7763650665602</v>
      </c>
      <c r="J24" s="4">
        <v>6640.7771318989398</v>
      </c>
      <c r="K24" s="4">
        <v>6640.7772258024997</v>
      </c>
    </row>
    <row r="25" spans="1:11" x14ac:dyDescent="0.25">
      <c r="A25" s="4" t="s">
        <v>67</v>
      </c>
      <c r="B25" s="4">
        <v>322.26714002644201</v>
      </c>
      <c r="C25" s="4">
        <v>600.52175372367401</v>
      </c>
      <c r="D25" s="4">
        <v>897.74563250195604</v>
      </c>
      <c r="E25" s="4">
        <v>1181.6881389145699</v>
      </c>
      <c r="F25" s="4">
        <v>1435.1005021620299</v>
      </c>
      <c r="G25" s="4">
        <v>1651.43574683722</v>
      </c>
      <c r="H25" s="4">
        <v>1830.59797321578</v>
      </c>
      <c r="I25" s="4">
        <v>1975.8378205622</v>
      </c>
      <c r="J25" s="4">
        <v>2091.7824822982302</v>
      </c>
      <c r="K25" s="4">
        <v>2183.30783058312</v>
      </c>
    </row>
    <row r="26" spans="1:11" x14ac:dyDescent="0.25">
      <c r="A26" s="4" t="s">
        <v>69</v>
      </c>
      <c r="B26" s="4">
        <v>10.3737220301023</v>
      </c>
      <c r="C26" s="4">
        <v>55.683315078157698</v>
      </c>
      <c r="D26" s="4">
        <v>131.602947230762</v>
      </c>
      <c r="E26" s="4">
        <v>224.10373335838199</v>
      </c>
      <c r="F26" s="4">
        <v>320.78631849800502</v>
      </c>
      <c r="G26" s="4">
        <v>413.32202025231902</v>
      </c>
      <c r="H26" s="4">
        <v>497.08272137927798</v>
      </c>
      <c r="I26" s="4">
        <v>570.10414891385403</v>
      </c>
      <c r="J26" s="4">
        <v>632.10661194343197</v>
      </c>
      <c r="K26" s="4">
        <v>683.76025343997298</v>
      </c>
    </row>
    <row r="27" spans="1:11" x14ac:dyDescent="0.25">
      <c r="A27" s="4" t="s">
        <v>71</v>
      </c>
      <c r="B27" s="4">
        <v>1.86927291838204</v>
      </c>
      <c r="C27" s="4">
        <v>4.3604749489579602</v>
      </c>
      <c r="D27" s="4">
        <v>7.1416963167402496</v>
      </c>
      <c r="E27" s="4">
        <v>9.7715828222615002</v>
      </c>
      <c r="F27" s="4">
        <v>12.0405259248175</v>
      </c>
      <c r="G27" s="4">
        <v>13.8918988469384</v>
      </c>
      <c r="H27" s="4">
        <v>15.3492223317401</v>
      </c>
      <c r="I27" s="4">
        <v>16.469120562279699</v>
      </c>
      <c r="J27" s="4">
        <v>17.3156552832709</v>
      </c>
      <c r="K27" s="4">
        <v>17.948244857899901</v>
      </c>
    </row>
    <row r="28" spans="1:11" x14ac:dyDescent="0.25">
      <c r="A28" s="4" t="s">
        <v>73</v>
      </c>
      <c r="B28" s="4">
        <v>591.32444153132099</v>
      </c>
      <c r="C28" s="4">
        <v>1072.4818985177601</v>
      </c>
      <c r="D28" s="4">
        <v>1214.39647517293</v>
      </c>
      <c r="E28" s="4">
        <v>1249.69524242951</v>
      </c>
      <c r="F28" s="4">
        <v>1258.1539625919099</v>
      </c>
      <c r="G28" s="4">
        <v>1260.1634458134599</v>
      </c>
      <c r="H28" s="4">
        <v>1260.6398502908401</v>
      </c>
      <c r="I28" s="4">
        <v>1260.7527406987499</v>
      </c>
      <c r="J28" s="4">
        <v>1260.77948852233</v>
      </c>
      <c r="K28" s="4">
        <v>1260.78582587767</v>
      </c>
    </row>
    <row r="29" spans="1:11" x14ac:dyDescent="0.25">
      <c r="A29" s="4" t="s">
        <v>75</v>
      </c>
      <c r="B29" s="4">
        <v>320.85988229164201</v>
      </c>
      <c r="C29" s="4">
        <v>1740.57171875475</v>
      </c>
      <c r="D29" s="4">
        <v>3972.60533475599</v>
      </c>
      <c r="E29" s="4">
        <v>6455.3786829084702</v>
      </c>
      <c r="F29" s="4">
        <v>8801.1388101373996</v>
      </c>
      <c r="G29" s="4">
        <v>10824.3748011647</v>
      </c>
      <c r="H29" s="4">
        <v>12474.750006484001</v>
      </c>
      <c r="I29" s="4">
        <v>13773.2659564392</v>
      </c>
      <c r="J29" s="4">
        <v>14770.5253825041</v>
      </c>
      <c r="K29" s="4">
        <v>15523.8121828722</v>
      </c>
    </row>
    <row r="30" spans="1:11" x14ac:dyDescent="0.25">
      <c r="A30" s="4" t="s">
        <v>77</v>
      </c>
      <c r="B30" s="4">
        <v>384943.26031724003</v>
      </c>
      <c r="C30" s="4">
        <v>443190.308101253</v>
      </c>
      <c r="D30" s="4">
        <v>446231.85082393198</v>
      </c>
      <c r="E30" s="4">
        <v>446383.63662569597</v>
      </c>
      <c r="F30" s="4">
        <v>446391.19447963801</v>
      </c>
      <c r="G30" s="4">
        <v>446391.57076521899</v>
      </c>
      <c r="H30" s="4">
        <v>446391.58949938102</v>
      </c>
      <c r="I30" s="4">
        <v>446391.5904321</v>
      </c>
      <c r="J30" s="4">
        <v>446391.59047853702</v>
      </c>
      <c r="K30" s="4">
        <v>446391.59048084897</v>
      </c>
    </row>
    <row r="31" spans="1:11" x14ac:dyDescent="0.25">
      <c r="A31" s="4" t="s">
        <v>79</v>
      </c>
      <c r="B31" s="4">
        <v>276.77492103724802</v>
      </c>
      <c r="C31" s="4">
        <v>1297.48605349013</v>
      </c>
      <c r="D31" s="4">
        <v>2529.1901580587801</v>
      </c>
      <c r="E31" s="4">
        <v>3567.81211392762</v>
      </c>
      <c r="F31" s="4">
        <v>4316.6120317950099</v>
      </c>
      <c r="G31" s="4">
        <v>4815.2252057156002</v>
      </c>
      <c r="H31" s="4">
        <v>5133.1413064745202</v>
      </c>
      <c r="I31" s="4">
        <v>5330.9045977424603</v>
      </c>
      <c r="J31" s="4">
        <v>5452.1730373688197</v>
      </c>
      <c r="K31" s="4">
        <v>5525.9089072411298</v>
      </c>
    </row>
    <row r="32" spans="1:11" x14ac:dyDescent="0.25">
      <c r="A32" s="4" t="s">
        <v>81</v>
      </c>
      <c r="B32" s="4">
        <v>2737.6372951509202</v>
      </c>
      <c r="C32" s="4">
        <v>11223.7851600963</v>
      </c>
      <c r="D32" s="4">
        <v>20647.5643774278</v>
      </c>
      <c r="E32" s="4">
        <v>28270.0059394899</v>
      </c>
      <c r="F32" s="4">
        <v>33642.518075196902</v>
      </c>
      <c r="G32" s="4">
        <v>37174.3486837483</v>
      </c>
      <c r="H32" s="4">
        <v>39409.507584932398</v>
      </c>
      <c r="I32" s="4">
        <v>40793.816052405899</v>
      </c>
      <c r="J32" s="4">
        <v>41640.461965227303</v>
      </c>
      <c r="K32" s="4">
        <v>42154.4546973588</v>
      </c>
    </row>
    <row r="33" spans="1:11" x14ac:dyDescent="0.25">
      <c r="A33" s="4" t="s">
        <v>83</v>
      </c>
      <c r="B33" s="4">
        <v>252953.773813735</v>
      </c>
      <c r="C33" s="4">
        <v>283597.23698345199</v>
      </c>
      <c r="D33" s="4">
        <v>284835.24531509198</v>
      </c>
      <c r="E33" s="4">
        <v>284883.416778891</v>
      </c>
      <c r="F33" s="4">
        <v>284885.28843819501</v>
      </c>
      <c r="G33" s="4">
        <v>284885.36115575698</v>
      </c>
      <c r="H33" s="4">
        <v>284885.36398096802</v>
      </c>
      <c r="I33" s="4">
        <v>284885.364090733</v>
      </c>
      <c r="J33" s="4">
        <v>284885.364094997</v>
      </c>
      <c r="K33" s="4">
        <v>284885.36409516301</v>
      </c>
    </row>
    <row r="34" spans="1:11" x14ac:dyDescent="0.25">
      <c r="A34" s="4" t="s">
        <v>85</v>
      </c>
      <c r="B34" s="4">
        <v>779893.75534520997</v>
      </c>
      <c r="C34" s="4">
        <v>834497.62237089605</v>
      </c>
      <c r="D34" s="4">
        <v>835897.75699426304</v>
      </c>
      <c r="E34" s="4">
        <v>835932.84674963704</v>
      </c>
      <c r="F34" s="4">
        <v>835933.72565670102</v>
      </c>
      <c r="G34" s="4">
        <v>835933.74767072103</v>
      </c>
      <c r="H34" s="4">
        <v>835933.74822210695</v>
      </c>
      <c r="I34" s="4">
        <v>835933.74823591695</v>
      </c>
      <c r="J34" s="4">
        <v>835933.74823626305</v>
      </c>
      <c r="K34" s="4">
        <v>835933.74823627202</v>
      </c>
    </row>
    <row r="35" spans="1:11" x14ac:dyDescent="0.25">
      <c r="A35" s="4" t="s">
        <v>87</v>
      </c>
      <c r="B35" s="4">
        <v>80.167428645067204</v>
      </c>
      <c r="C35" s="4">
        <v>232.810009912255</v>
      </c>
      <c r="D35" s="4">
        <v>373.349004550117</v>
      </c>
      <c r="E35" s="4">
        <v>473.83236038544698</v>
      </c>
      <c r="F35" s="4">
        <v>538.048320963837</v>
      </c>
      <c r="G35" s="4">
        <v>576.850010312162</v>
      </c>
      <c r="H35" s="4">
        <v>599.61062970057696</v>
      </c>
      <c r="I35" s="4">
        <v>612.74774845968295</v>
      </c>
      <c r="J35" s="4">
        <v>620.26273581058399</v>
      </c>
      <c r="K35" s="4">
        <v>624.54016486070202</v>
      </c>
    </row>
    <row r="36" spans="1:11" x14ac:dyDescent="0.25">
      <c r="A36" s="4" t="s">
        <v>89</v>
      </c>
      <c r="B36" s="4">
        <v>461351.84476423502</v>
      </c>
      <c r="C36" s="4">
        <v>462933.52655775298</v>
      </c>
      <c r="D36" s="4">
        <v>462935.22111464897</v>
      </c>
      <c r="E36" s="4">
        <v>462935.222928003</v>
      </c>
      <c r="F36" s="4">
        <v>462935.222929943</v>
      </c>
      <c r="G36" s="4">
        <v>462935.22292994498</v>
      </c>
      <c r="H36" s="4">
        <v>462935.22292994498</v>
      </c>
      <c r="I36" s="4">
        <v>462935.22292994498</v>
      </c>
      <c r="J36" s="4">
        <v>462935.22292994498</v>
      </c>
      <c r="K36" s="4">
        <v>462935.22292994498</v>
      </c>
    </row>
    <row r="37" spans="1:11" x14ac:dyDescent="0.25">
      <c r="A37" s="4" t="s">
        <v>91</v>
      </c>
      <c r="B37" s="4">
        <v>559.02106133462598</v>
      </c>
      <c r="C37" s="4">
        <v>2144.90744857547</v>
      </c>
      <c r="D37" s="4">
        <v>3746.2805555121299</v>
      </c>
      <c r="E37" s="4">
        <v>4931.1896707743199</v>
      </c>
      <c r="F37" s="4">
        <v>5700.3709897624303</v>
      </c>
      <c r="G37" s="4">
        <v>6168.8175338931596</v>
      </c>
      <c r="H37" s="4">
        <v>6444.7548436470397</v>
      </c>
      <c r="I37" s="4">
        <v>6604.38621551287</v>
      </c>
      <c r="J37" s="4">
        <v>6695.8177926557601</v>
      </c>
      <c r="K37" s="4">
        <v>6747.89626782503</v>
      </c>
    </row>
    <row r="38" spans="1:11" x14ac:dyDescent="0.25">
      <c r="A38" s="4" t="s">
        <v>93</v>
      </c>
      <c r="B38" s="4">
        <v>162663149.68395001</v>
      </c>
      <c r="C38" s="4">
        <v>162669497.19052899</v>
      </c>
      <c r="D38" s="4">
        <v>162669497.273094</v>
      </c>
      <c r="E38" s="4">
        <v>162669497.27309501</v>
      </c>
      <c r="F38" s="4">
        <v>162669497.27309501</v>
      </c>
      <c r="G38" s="4">
        <v>162669497.27309501</v>
      </c>
      <c r="H38" s="4">
        <v>162669497.27309501</v>
      </c>
      <c r="I38" s="4">
        <v>162669497.27309501</v>
      </c>
      <c r="J38" s="4">
        <v>162669497.27309501</v>
      </c>
      <c r="K38" s="4">
        <v>162669497.27309501</v>
      </c>
    </row>
    <row r="39" spans="1:11" x14ac:dyDescent="0.25">
      <c r="A39" s="4" t="s">
        <v>95</v>
      </c>
      <c r="B39" s="4">
        <v>5552.5526013346698</v>
      </c>
      <c r="C39" s="4">
        <v>20629.489920617201</v>
      </c>
      <c r="D39" s="4">
        <v>35157.014265190897</v>
      </c>
      <c r="E39" s="4">
        <v>45448.008562819203</v>
      </c>
      <c r="F39" s="4">
        <v>51865.888118930903</v>
      </c>
      <c r="G39" s="4">
        <v>55631.9113790724</v>
      </c>
      <c r="H39" s="4">
        <v>57774.148242342701</v>
      </c>
      <c r="I39" s="4">
        <v>58972.867197788197</v>
      </c>
      <c r="J39" s="4">
        <v>59637.729596273501</v>
      </c>
      <c r="K39" s="4">
        <v>60004.728480442704</v>
      </c>
    </row>
    <row r="40" spans="1:11" x14ac:dyDescent="0.25">
      <c r="A40" s="4" t="s">
        <v>97</v>
      </c>
      <c r="B40" s="4">
        <v>1470.0748935178499</v>
      </c>
      <c r="C40" s="4">
        <v>1985.62360643478</v>
      </c>
      <c r="D40" s="4">
        <v>2046.0923719923501</v>
      </c>
      <c r="E40" s="4">
        <v>2052.5363222146998</v>
      </c>
      <c r="F40" s="4">
        <v>2053.21629665912</v>
      </c>
      <c r="G40" s="4">
        <v>2053.2879741854499</v>
      </c>
      <c r="H40" s="4">
        <v>2053.2955290383202</v>
      </c>
      <c r="I40" s="4">
        <v>2053.2963253150301</v>
      </c>
      <c r="J40" s="4">
        <v>2053.2964092419902</v>
      </c>
      <c r="K40" s="4">
        <v>2053.2964180878298</v>
      </c>
    </row>
    <row r="41" spans="1:11" x14ac:dyDescent="0.25">
      <c r="A41" s="4" t="s">
        <v>99</v>
      </c>
      <c r="B41" s="4">
        <v>232.51160139248</v>
      </c>
      <c r="C41" s="4">
        <v>999.15648516060696</v>
      </c>
      <c r="D41" s="4">
        <v>1875.8033689528099</v>
      </c>
      <c r="E41" s="4">
        <v>2595.3321784013401</v>
      </c>
      <c r="F41" s="4">
        <v>3106.5210390510201</v>
      </c>
      <c r="G41" s="4">
        <v>3444.08876014525</v>
      </c>
      <c r="H41" s="4">
        <v>3658.2824232120001</v>
      </c>
      <c r="I41" s="4">
        <v>3791.1444541966298</v>
      </c>
      <c r="J41" s="4">
        <v>3872.47757916602</v>
      </c>
      <c r="K41" s="4">
        <v>3921.88131305344</v>
      </c>
    </row>
    <row r="42" spans="1:11" x14ac:dyDescent="0.25">
      <c r="A42" s="4" t="s">
        <v>101</v>
      </c>
      <c r="B42" s="4">
        <v>3399.0342170098802</v>
      </c>
      <c r="C42" s="4">
        <v>11967.163860045201</v>
      </c>
      <c r="D42" s="4">
        <v>24863.557902762299</v>
      </c>
      <c r="E42" s="4">
        <v>40185.686660655003</v>
      </c>
      <c r="F42" s="4">
        <v>56217.508836622197</v>
      </c>
      <c r="G42" s="4">
        <v>71738.804394750201</v>
      </c>
      <c r="H42" s="4">
        <v>86015.232469122406</v>
      </c>
      <c r="I42" s="4">
        <v>98687.849711617993</v>
      </c>
      <c r="J42" s="4">
        <v>109653.018366103</v>
      </c>
      <c r="K42" s="4">
        <v>118963.877020894</v>
      </c>
    </row>
    <row r="43" spans="1:11" x14ac:dyDescent="0.25">
      <c r="A43" s="4" t="s">
        <v>103</v>
      </c>
      <c r="B43" s="4">
        <v>24.284285318482699</v>
      </c>
      <c r="C43" s="4">
        <v>132.949090399336</v>
      </c>
      <c r="D43" s="4">
        <v>327.70132097306498</v>
      </c>
      <c r="E43" s="4">
        <v>585.16597987757598</v>
      </c>
      <c r="F43" s="4">
        <v>878.615018462845</v>
      </c>
      <c r="G43" s="4">
        <v>1185.30837087125</v>
      </c>
      <c r="H43" s="4">
        <v>1488.35742828752</v>
      </c>
      <c r="I43" s="4">
        <v>1776.4261868200599</v>
      </c>
      <c r="J43" s="4">
        <v>2042.70263833118</v>
      </c>
      <c r="K43" s="4">
        <v>2283.7581451977098</v>
      </c>
    </row>
    <row r="44" spans="1:11" x14ac:dyDescent="0.25">
      <c r="A44" s="4" t="s">
        <v>105</v>
      </c>
      <c r="B44" s="4">
        <v>17251.416688396999</v>
      </c>
      <c r="C44" s="4">
        <v>40168.806478975501</v>
      </c>
      <c r="D44" s="4">
        <v>53747.106789365796</v>
      </c>
      <c r="E44" s="4">
        <v>60155.2348954509</v>
      </c>
      <c r="F44" s="4">
        <v>62944.205284882097</v>
      </c>
      <c r="G44" s="4">
        <v>64120.335414343601</v>
      </c>
      <c r="H44" s="4">
        <v>64610.049472929903</v>
      </c>
      <c r="I44" s="4">
        <v>64812.897822385203</v>
      </c>
      <c r="J44" s="4">
        <v>64896.741825849102</v>
      </c>
      <c r="K44" s="4">
        <v>64931.366843290998</v>
      </c>
    </row>
    <row r="45" spans="1:11" x14ac:dyDescent="0.25">
      <c r="A45" s="4" t="s">
        <v>107</v>
      </c>
      <c r="B45" s="4">
        <v>5315.1185884582301</v>
      </c>
      <c r="C45" s="4">
        <v>13111.5183418002</v>
      </c>
      <c r="D45" s="4">
        <v>19451.681836879499</v>
      </c>
      <c r="E45" s="4">
        <v>23603.313252159402</v>
      </c>
      <c r="F45" s="4">
        <v>26075.672898795099</v>
      </c>
      <c r="G45" s="4">
        <v>27481.4863827464</v>
      </c>
      <c r="H45" s="4">
        <v>28262.1454404018</v>
      </c>
      <c r="I45" s="4">
        <v>28690.2924333718</v>
      </c>
      <c r="J45" s="4">
        <v>28923.556620150601</v>
      </c>
      <c r="K45" s="4">
        <v>29050.1937031171</v>
      </c>
    </row>
    <row r="46" spans="1:11" x14ac:dyDescent="0.25">
      <c r="A46" s="4" t="s">
        <v>109</v>
      </c>
      <c r="B46" s="4">
        <v>26607.936111462499</v>
      </c>
      <c r="C46" s="4">
        <v>59202.052119746397</v>
      </c>
      <c r="D46" s="4">
        <v>82745.857862840799</v>
      </c>
      <c r="E46" s="4">
        <v>96641.377820742506</v>
      </c>
      <c r="F46" s="4">
        <v>104171.182229895</v>
      </c>
      <c r="G46" s="4">
        <v>108093.337743371</v>
      </c>
      <c r="H46" s="4">
        <v>110097.737812805</v>
      </c>
      <c r="I46" s="4">
        <v>111112.512076017</v>
      </c>
      <c r="J46" s="4">
        <v>111623.87622098</v>
      </c>
      <c r="K46" s="4">
        <v>111880.963543665</v>
      </c>
    </row>
    <row r="47" spans="1:11" x14ac:dyDescent="0.25">
      <c r="A47" s="4" t="s">
        <v>111</v>
      </c>
      <c r="B47" s="4">
        <v>4248.1115990217304</v>
      </c>
      <c r="C47" s="4">
        <v>7951.6699359805498</v>
      </c>
      <c r="D47" s="4">
        <v>11074.8000840359</v>
      </c>
      <c r="E47" s="4">
        <v>13373.7006518749</v>
      </c>
      <c r="F47" s="4">
        <v>14951.2911658104</v>
      </c>
      <c r="G47" s="4">
        <v>15992.296133596999</v>
      </c>
      <c r="H47" s="4">
        <v>16663.6922369407</v>
      </c>
      <c r="I47" s="4">
        <v>17090.820219148602</v>
      </c>
      <c r="J47" s="4">
        <v>17360.2977475265</v>
      </c>
      <c r="K47" s="4">
        <v>17529.446872100001</v>
      </c>
    </row>
    <row r="48" spans="1:11" x14ac:dyDescent="0.25">
      <c r="A48" s="4" t="s">
        <v>113</v>
      </c>
      <c r="B48" s="4">
        <v>2363.30024295065</v>
      </c>
      <c r="C48" s="4">
        <v>8554.5816969964399</v>
      </c>
      <c r="D48" s="4">
        <v>14192.240893457199</v>
      </c>
      <c r="E48" s="4">
        <v>17959.164505037101</v>
      </c>
      <c r="F48" s="4">
        <v>20180.265139355</v>
      </c>
      <c r="G48" s="4">
        <v>21416.1551210586</v>
      </c>
      <c r="H48" s="4">
        <v>22084.465797677702</v>
      </c>
      <c r="I48" s="4">
        <v>22440.644046576501</v>
      </c>
      <c r="J48" s="4">
        <v>22629.052265057398</v>
      </c>
      <c r="K48" s="4">
        <v>22728.326888379699</v>
      </c>
    </row>
    <row r="49" spans="1:11" x14ac:dyDescent="0.25">
      <c r="A49" s="4" t="s">
        <v>115</v>
      </c>
      <c r="B49" s="4">
        <v>721701.16813120397</v>
      </c>
      <c r="C49" s="4">
        <v>723677.28786339704</v>
      </c>
      <c r="D49" s="4">
        <v>723679.09149554197</v>
      </c>
      <c r="E49" s="4">
        <v>723679.09314024297</v>
      </c>
      <c r="F49" s="4">
        <v>723679.09314174298</v>
      </c>
      <c r="G49" s="4">
        <v>723679.09314174403</v>
      </c>
      <c r="H49" s="4">
        <v>723679.09314174403</v>
      </c>
      <c r="I49" s="4">
        <v>723679.09314174403</v>
      </c>
      <c r="J49" s="4">
        <v>723679.09314174403</v>
      </c>
      <c r="K49" s="4">
        <v>723679.09314174403</v>
      </c>
    </row>
    <row r="50" spans="1:11" x14ac:dyDescent="0.25">
      <c r="A50" s="4" t="s">
        <v>117</v>
      </c>
      <c r="B50" s="4">
        <v>246.172869225928</v>
      </c>
      <c r="C50" s="4">
        <v>1298.6749351502001</v>
      </c>
      <c r="D50" s="4">
        <v>2954.85399542816</v>
      </c>
      <c r="E50" s="4">
        <v>4824.9883267021196</v>
      </c>
      <c r="F50" s="4">
        <v>6629.3594937709004</v>
      </c>
      <c r="G50" s="4">
        <v>8222.8006646793001</v>
      </c>
      <c r="H50" s="4">
        <v>9555.0475835774305</v>
      </c>
      <c r="I50" s="4">
        <v>10629.739835123401</v>
      </c>
      <c r="J50" s="4">
        <v>11475.845660909299</v>
      </c>
      <c r="K50" s="4">
        <v>12130.8042850724</v>
      </c>
    </row>
    <row r="51" spans="1:11" x14ac:dyDescent="0.25">
      <c r="A51" s="4" t="s">
        <v>119</v>
      </c>
      <c r="B51" s="4">
        <v>59284.012830799998</v>
      </c>
      <c r="C51" s="4">
        <v>90551.493360461798</v>
      </c>
      <c r="D51" s="4">
        <v>98760.356097527096</v>
      </c>
      <c r="E51" s="4">
        <v>100656.794345936</v>
      </c>
      <c r="F51" s="4">
        <v>101083.21103254901</v>
      </c>
      <c r="G51" s="4">
        <v>101178.52039160499</v>
      </c>
      <c r="H51" s="4">
        <v>101199.794900953</v>
      </c>
      <c r="I51" s="4">
        <v>101204.542289794</v>
      </c>
      <c r="J51" s="4">
        <v>101205.601595549</v>
      </c>
      <c r="K51" s="4">
        <v>101205.837959614</v>
      </c>
    </row>
    <row r="52" spans="1:11" x14ac:dyDescent="0.25">
      <c r="A52" s="4" t="s">
        <v>121</v>
      </c>
      <c r="B52" s="4">
        <v>42895066.8656739</v>
      </c>
      <c r="C52" s="4">
        <v>43012519.6172975</v>
      </c>
      <c r="D52" s="4">
        <v>43012626.818068199</v>
      </c>
      <c r="E52" s="4">
        <v>43012626.915822797</v>
      </c>
      <c r="F52" s="4">
        <v>43012626.915911898</v>
      </c>
      <c r="G52" s="4">
        <v>43012626.915912002</v>
      </c>
      <c r="H52" s="4">
        <v>43012626.915912002</v>
      </c>
      <c r="I52" s="4">
        <v>43012626.915912002</v>
      </c>
      <c r="J52" s="4">
        <v>43012626.915912002</v>
      </c>
      <c r="K52" s="4">
        <v>43012626.915912002</v>
      </c>
    </row>
    <row r="53" spans="1:11" x14ac:dyDescent="0.25">
      <c r="A53" s="4" t="s">
        <v>123</v>
      </c>
      <c r="B53" s="4">
        <v>1238.31299351917</v>
      </c>
      <c r="C53" s="4">
        <v>6917.3935591678601</v>
      </c>
      <c r="D53" s="4">
        <v>15172.1928030742</v>
      </c>
      <c r="E53" s="4">
        <v>23496.7181437615</v>
      </c>
      <c r="F53" s="4">
        <v>30613.490947968701</v>
      </c>
      <c r="G53" s="4">
        <v>36181.8770367662</v>
      </c>
      <c r="H53" s="4">
        <v>40318.032366852902</v>
      </c>
      <c r="I53" s="4">
        <v>43293.185767388299</v>
      </c>
      <c r="J53" s="4">
        <v>45389.798573899003</v>
      </c>
      <c r="K53" s="4">
        <v>46847.707872265702</v>
      </c>
    </row>
    <row r="54" spans="1:11" x14ac:dyDescent="0.25">
      <c r="A54" s="4" t="s">
        <v>125</v>
      </c>
      <c r="B54" s="4">
        <v>60.493457380627099</v>
      </c>
      <c r="C54" s="4">
        <v>392.00928703802498</v>
      </c>
      <c r="D54" s="4">
        <v>1105.6287720349201</v>
      </c>
      <c r="E54" s="4">
        <v>2221.3896603110702</v>
      </c>
      <c r="F54" s="4">
        <v>3710.2056228077099</v>
      </c>
      <c r="G54" s="4">
        <v>5518.1596422777602</v>
      </c>
      <c r="H54" s="4">
        <v>7581.2611665161703</v>
      </c>
      <c r="I54" s="4">
        <v>9834.3091477414491</v>
      </c>
      <c r="J54" s="4">
        <v>12215.9892794154</v>
      </c>
      <c r="K54" s="4">
        <v>14671.554530056699</v>
      </c>
    </row>
    <row r="55" spans="1:11" x14ac:dyDescent="0.25">
      <c r="A55" s="4" t="s">
        <v>127</v>
      </c>
      <c r="B55" s="4">
        <v>1851.4936261151599</v>
      </c>
      <c r="C55" s="4">
        <v>4915.0001023108598</v>
      </c>
      <c r="D55" s="4">
        <v>6714.6654774584104</v>
      </c>
      <c r="E55" s="4">
        <v>7530.7139397609299</v>
      </c>
      <c r="F55" s="4">
        <v>7870.0469163645803</v>
      </c>
      <c r="G55" s="4">
        <v>8006.6869473408997</v>
      </c>
      <c r="H55" s="4">
        <v>8061.0308898134599</v>
      </c>
      <c r="I55" s="4">
        <v>8082.5399609509795</v>
      </c>
      <c r="J55" s="4">
        <v>8091.0369597691497</v>
      </c>
      <c r="K55" s="4">
        <v>8094.3911198278101</v>
      </c>
    </row>
    <row r="56" spans="1:11" x14ac:dyDescent="0.25">
      <c r="A56" s="4" t="s">
        <v>129</v>
      </c>
      <c r="B56" s="4">
        <v>147.412958197714</v>
      </c>
      <c r="C56" s="4">
        <v>906.624514745998</v>
      </c>
      <c r="D56" s="4">
        <v>2444.69228288053</v>
      </c>
      <c r="E56" s="4">
        <v>4714.3632131962404</v>
      </c>
      <c r="F56" s="4">
        <v>7578.9768523413304</v>
      </c>
      <c r="G56" s="4">
        <v>10875.2203599195</v>
      </c>
      <c r="H56" s="4">
        <v>14444.8775838497</v>
      </c>
      <c r="I56" s="4">
        <v>18149.536255285198</v>
      </c>
      <c r="J56" s="4">
        <v>21875.871998151299</v>
      </c>
      <c r="K56" s="4">
        <v>25535.885657530001</v>
      </c>
    </row>
    <row r="57" spans="1:11" x14ac:dyDescent="0.25">
      <c r="A57" s="4" t="s">
        <v>131</v>
      </c>
      <c r="B57" s="4">
        <v>217.93409690997899</v>
      </c>
      <c r="C57" s="4">
        <v>775.03467147640299</v>
      </c>
      <c r="D57" s="4">
        <v>1297.5591865328199</v>
      </c>
      <c r="E57" s="4">
        <v>1663.08056071275</v>
      </c>
      <c r="F57" s="4">
        <v>1889.59188864466</v>
      </c>
      <c r="G57" s="4">
        <v>2022.06652645088</v>
      </c>
      <c r="H57" s="4">
        <v>2097.2877690673699</v>
      </c>
      <c r="I57" s="4">
        <v>2139.3381024830301</v>
      </c>
      <c r="J57" s="4">
        <v>2162.6487534346202</v>
      </c>
      <c r="K57" s="4">
        <v>2175.51233556836</v>
      </c>
    </row>
    <row r="58" spans="1:11" x14ac:dyDescent="0.25">
      <c r="A58" s="4" t="s">
        <v>133</v>
      </c>
      <c r="B58" s="4">
        <v>6159.1460928304996</v>
      </c>
      <c r="C58" s="4">
        <v>23906.509674021399</v>
      </c>
      <c r="D58" s="4">
        <v>41472.204309784502</v>
      </c>
      <c r="E58" s="4">
        <v>54072.538024426998</v>
      </c>
      <c r="F58" s="4">
        <v>61980.6244661784</v>
      </c>
      <c r="G58" s="4">
        <v>66636.602908745801</v>
      </c>
      <c r="H58" s="4">
        <v>69289.815432560907</v>
      </c>
      <c r="I58" s="4">
        <v>70775.897615028298</v>
      </c>
      <c r="J58" s="4">
        <v>71600.579881194994</v>
      </c>
      <c r="K58" s="4">
        <v>72055.929600690695</v>
      </c>
    </row>
    <row r="59" spans="1:11" x14ac:dyDescent="0.25">
      <c r="A59" s="4" t="s">
        <v>135</v>
      </c>
      <c r="B59" s="4">
        <v>108.349242819197</v>
      </c>
      <c r="C59" s="4">
        <v>573.78731202004099</v>
      </c>
      <c r="D59" s="4">
        <v>1309.97763519011</v>
      </c>
      <c r="E59" s="4">
        <v>2145.4684316683602</v>
      </c>
      <c r="F59" s="4">
        <v>2955.4707509513901</v>
      </c>
      <c r="G59" s="4">
        <v>3674.07372093101</v>
      </c>
      <c r="H59" s="4">
        <v>4277.5156786359203</v>
      </c>
      <c r="I59" s="4">
        <v>4766.3314889436197</v>
      </c>
      <c r="J59" s="4">
        <v>5152.7138911156599</v>
      </c>
      <c r="K59" s="4">
        <v>5452.9536944704696</v>
      </c>
    </row>
    <row r="60" spans="1:11" x14ac:dyDescent="0.25">
      <c r="A60" s="4" t="s">
        <v>137</v>
      </c>
      <c r="B60" s="4">
        <v>53.705222175313203</v>
      </c>
      <c r="C60" s="4">
        <v>245.970349202243</v>
      </c>
      <c r="D60" s="4">
        <v>513.58601778473303</v>
      </c>
      <c r="E60" s="4">
        <v>788.82875939442795</v>
      </c>
      <c r="F60" s="4">
        <v>1034.66251610156</v>
      </c>
      <c r="G60" s="4">
        <v>1237.72505193283</v>
      </c>
      <c r="H60" s="4">
        <v>1397.68618192448</v>
      </c>
      <c r="I60" s="4">
        <v>1519.91862316014</v>
      </c>
      <c r="J60" s="4">
        <v>1611.4533522445299</v>
      </c>
      <c r="K60" s="4">
        <v>1679.06563093556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32" workbookViewId="0">
      <pane xSplit="1" topLeftCell="B1" activePane="topRight" state="frozen"/>
      <selection pane="topRight" activeCell="A2" sqref="A2:K61"/>
    </sheetView>
  </sheetViews>
  <sheetFormatPr defaultRowHeight="15" x14ac:dyDescent="0.25"/>
  <cols>
    <col min="12" max="12" width="9.140625" style="4"/>
  </cols>
  <sheetData>
    <row r="1" spans="1:44" s="4" customFormat="1" x14ac:dyDescent="0.25">
      <c r="B1" s="4" t="s">
        <v>971</v>
      </c>
      <c r="M1" s="4" t="s">
        <v>969</v>
      </c>
      <c r="U1" s="11" t="s">
        <v>974</v>
      </c>
      <c r="V1" s="11">
        <v>10</v>
      </c>
      <c r="X1" s="4" t="s">
        <v>970</v>
      </c>
      <c r="AD1" s="4" t="s">
        <v>975</v>
      </c>
      <c r="AE1" s="11" t="s">
        <v>973</v>
      </c>
      <c r="AF1" s="11">
        <v>0.3</v>
      </c>
      <c r="AI1" s="4" t="s">
        <v>972</v>
      </c>
    </row>
    <row r="2" spans="1:44" x14ac:dyDescent="0.25">
      <c r="A2" s="4" t="s">
        <v>0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X2" s="4">
        <v>1</v>
      </c>
      <c r="Y2" s="4">
        <v>2</v>
      </c>
      <c r="Z2" s="4">
        <v>3</v>
      </c>
      <c r="AA2" s="4">
        <v>4</v>
      </c>
      <c r="AB2" s="4">
        <v>5</v>
      </c>
      <c r="AC2" s="4">
        <v>6</v>
      </c>
      <c r="AD2" s="4">
        <v>7</v>
      </c>
      <c r="AE2" s="4">
        <v>8</v>
      </c>
      <c r="AF2" s="4">
        <v>9</v>
      </c>
      <c r="AG2" s="4">
        <v>10</v>
      </c>
      <c r="AI2">
        <v>1</v>
      </c>
      <c r="AJ2">
        <v>2</v>
      </c>
      <c r="AK2">
        <v>3</v>
      </c>
      <c r="AL2">
        <v>4</v>
      </c>
      <c r="AM2">
        <v>5</v>
      </c>
      <c r="AN2">
        <v>6</v>
      </c>
      <c r="AO2">
        <v>7</v>
      </c>
      <c r="AP2">
        <v>8</v>
      </c>
      <c r="AQ2">
        <v>9</v>
      </c>
      <c r="AR2">
        <v>10</v>
      </c>
    </row>
    <row r="3" spans="1:44" x14ac:dyDescent="0.25">
      <c r="A3" s="4" t="s">
        <v>21</v>
      </c>
      <c r="B3" s="4">
        <v>21.583504257923501</v>
      </c>
      <c r="C3" s="4">
        <v>47.252724385477002</v>
      </c>
      <c r="D3" s="4">
        <v>78.893409738535595</v>
      </c>
      <c r="E3" s="4">
        <v>113.02475227103101</v>
      </c>
      <c r="F3" s="4">
        <v>146.992765079648</v>
      </c>
      <c r="G3" s="4">
        <v>179.05459072036999</v>
      </c>
      <c r="H3" s="4">
        <v>208.22475660538299</v>
      </c>
      <c r="I3" s="4">
        <v>234.06981695394799</v>
      </c>
      <c r="J3" s="4">
        <v>256.52356263859502</v>
      </c>
      <c r="K3" s="4">
        <v>275.743679195781</v>
      </c>
      <c r="M3">
        <f>B3*10</f>
        <v>215.83504257923499</v>
      </c>
      <c r="N3">
        <f>(C3-B3)*10</f>
        <v>256.69220127553501</v>
      </c>
      <c r="O3" s="4">
        <f t="shared" ref="O3:V3" si="0">(D3-C3)*10</f>
        <v>316.40685353058592</v>
      </c>
      <c r="P3" s="4">
        <f t="shared" si="0"/>
        <v>341.3134253249541</v>
      </c>
      <c r="Q3" s="4">
        <f t="shared" si="0"/>
        <v>339.68012808616993</v>
      </c>
      <c r="R3" s="4">
        <f t="shared" si="0"/>
        <v>320.61825640721992</v>
      </c>
      <c r="S3" s="4">
        <f t="shared" si="0"/>
        <v>291.70165885013006</v>
      </c>
      <c r="T3" s="4">
        <f t="shared" si="0"/>
        <v>258.45060348564999</v>
      </c>
      <c r="U3" s="4">
        <f t="shared" si="0"/>
        <v>224.53745684647032</v>
      </c>
      <c r="V3" s="4">
        <f t="shared" si="0"/>
        <v>192.20116557185975</v>
      </c>
      <c r="X3">
        <f>$AF$1*((B3)^0.7)</f>
        <v>2.5763604572004941</v>
      </c>
      <c r="Y3" s="4">
        <f t="shared" ref="Y3:AG3" si="1">$AF$1*((C3)^0.7)</f>
        <v>4.4588211436856859</v>
      </c>
      <c r="Z3" s="4">
        <f t="shared" si="1"/>
        <v>6.3833662525038859</v>
      </c>
      <c r="AA3" s="4">
        <f t="shared" si="1"/>
        <v>8.2099922922070174</v>
      </c>
      <c r="AB3" s="4">
        <f t="shared" si="1"/>
        <v>9.8679837661917169</v>
      </c>
      <c r="AC3" s="4">
        <f t="shared" si="1"/>
        <v>11.329508690184198</v>
      </c>
      <c r="AD3" s="4">
        <f t="shared" si="1"/>
        <v>12.591976627281763</v>
      </c>
      <c r="AE3" s="4">
        <f t="shared" si="1"/>
        <v>13.666680625438348</v>
      </c>
      <c r="AF3" s="4">
        <f t="shared" si="1"/>
        <v>14.571703933470427</v>
      </c>
      <c r="AG3" s="4">
        <f t="shared" si="1"/>
        <v>15.327635035406466</v>
      </c>
      <c r="AI3">
        <f>X3/(B3*20*5.7)</f>
        <v>1.0470798839368788E-3</v>
      </c>
      <c r="AJ3" s="4">
        <f t="shared" ref="AJ3:AR3" si="2">Y3/(C3*20*5.7)</f>
        <v>8.2772933584973499E-4</v>
      </c>
      <c r="AK3" s="4">
        <f t="shared" si="2"/>
        <v>7.0974801313584285E-4</v>
      </c>
      <c r="AL3" s="4">
        <f t="shared" si="2"/>
        <v>6.3718322580113749E-4</v>
      </c>
      <c r="AM3" s="4">
        <f t="shared" si="2"/>
        <v>5.8888109942038087E-4</v>
      </c>
      <c r="AN3" s="4">
        <f t="shared" si="2"/>
        <v>5.5503550496652134E-4</v>
      </c>
      <c r="AO3" s="4">
        <f t="shared" si="2"/>
        <v>5.304649510834271E-4</v>
      </c>
      <c r="AP3" s="4">
        <f t="shared" si="2"/>
        <v>5.1216839890392413E-4</v>
      </c>
      <c r="AQ3" s="4">
        <f t="shared" si="2"/>
        <v>4.9828547137703214E-4</v>
      </c>
      <c r="AR3" s="4">
        <f t="shared" si="2"/>
        <v>4.8760116387513357E-4</v>
      </c>
    </row>
    <row r="4" spans="1:44" x14ac:dyDescent="0.25">
      <c r="A4" s="4" t="s">
        <v>23</v>
      </c>
      <c r="B4" s="4">
        <v>852265.47149185499</v>
      </c>
      <c r="C4" s="4">
        <v>2331317.0086223301</v>
      </c>
      <c r="D4" s="4">
        <v>3894973.3348339102</v>
      </c>
      <c r="E4" s="4">
        <v>5074546.0613987697</v>
      </c>
      <c r="F4" s="4">
        <v>5865766.5527672004</v>
      </c>
      <c r="G4" s="4">
        <v>6365769.0296844803</v>
      </c>
      <c r="H4" s="4">
        <v>6671700.3693776503</v>
      </c>
      <c r="I4" s="4">
        <v>6855530.7248815</v>
      </c>
      <c r="J4" s="4">
        <v>6964856.1873012502</v>
      </c>
      <c r="K4" s="4">
        <v>7029486.0021836599</v>
      </c>
      <c r="M4" s="4">
        <f t="shared" ref="M4:M61" si="3">B4*10</f>
        <v>8522654.7149185501</v>
      </c>
      <c r="N4" s="4">
        <f t="shared" ref="N4:N61" si="4">(C4-B4)*10</f>
        <v>14790515.37130475</v>
      </c>
      <c r="O4" s="4">
        <f t="shared" ref="O4:O61" si="5">(D4-C4)*10</f>
        <v>15636563.262115801</v>
      </c>
      <c r="P4" s="4">
        <f t="shared" ref="P4:P61" si="6">(E4-D4)*10</f>
        <v>11795727.265648596</v>
      </c>
      <c r="Q4" s="4">
        <f t="shared" ref="Q4:Q61" si="7">(F4-E4)*10</f>
        <v>7912204.9136843067</v>
      </c>
      <c r="R4" s="4">
        <f t="shared" ref="R4:R61" si="8">(G4-F4)*10</f>
        <v>5000024.7691727988</v>
      </c>
      <c r="S4" s="4">
        <f t="shared" ref="S4:S61" si="9">(H4-G4)*10</f>
        <v>3059313.3969317004</v>
      </c>
      <c r="T4" s="4">
        <f t="shared" ref="T4:T61" si="10">(I4-H4)*10</f>
        <v>1838303.5550384969</v>
      </c>
      <c r="U4" s="4">
        <f t="shared" ref="U4:U61" si="11">(J4-I4)*10</f>
        <v>1093254.6241975017</v>
      </c>
      <c r="V4" s="4">
        <f t="shared" ref="V4:V61" si="12">(K4-J4)*10</f>
        <v>646298.14882409759</v>
      </c>
      <c r="X4" s="4">
        <f t="shared" ref="X4:X61" si="13">$AF$1*((B4)^0.7)</f>
        <v>4251.3188700777519</v>
      </c>
      <c r="Y4" s="4">
        <f t="shared" ref="Y4:Y61" si="14">$AF$1*((C4)^0.7)</f>
        <v>8598.8859194357592</v>
      </c>
      <c r="Z4" s="4">
        <f t="shared" ref="Z4:Z61" si="15">$AF$1*((D4)^0.7)</f>
        <v>12316.133758827385</v>
      </c>
      <c r="AA4" s="4">
        <f t="shared" ref="AA4:AA61" si="16">$AF$1*((E4)^0.7)</f>
        <v>14821.743524791655</v>
      </c>
      <c r="AB4" s="4">
        <f t="shared" ref="AB4:AB61" si="17">$AF$1*((F4)^0.7)</f>
        <v>16403.95605220809</v>
      </c>
      <c r="AC4" s="4">
        <f t="shared" ref="AC4:AC61" si="18">$AF$1*((G4)^0.7)</f>
        <v>17370.681950096656</v>
      </c>
      <c r="AD4" s="4">
        <f t="shared" ref="AD4:AD61" si="19">$AF$1*((H4)^0.7)</f>
        <v>17950.924827564406</v>
      </c>
      <c r="AE4" s="4">
        <f t="shared" ref="AE4:AE61" si="20">$AF$1*((I4)^0.7)</f>
        <v>18295.741345047692</v>
      </c>
      <c r="AF4" s="4">
        <f t="shared" ref="AF4:AF61" si="21">$AF$1*((J4)^0.7)</f>
        <v>18499.490268347236</v>
      </c>
      <c r="AG4" s="4">
        <f t="shared" ref="AG4:AG61" si="22">$AF$1*((K4)^0.7)</f>
        <v>18619.488835615641</v>
      </c>
      <c r="AI4" s="4">
        <f t="shared" ref="AI4:AI61" si="23">X4/(B4*20*5.7)</f>
        <v>4.3756636913703845E-5</v>
      </c>
      <c r="AJ4" s="4">
        <f t="shared" ref="AJ4:AJ61" si="24">Y4/(C4*20*5.7)</f>
        <v>3.2354597669783912E-5</v>
      </c>
      <c r="AK4" s="4">
        <f t="shared" ref="AK4:AK61" si="25">Z4/(D4*20*5.7)</f>
        <v>2.7737355754439937E-5</v>
      </c>
      <c r="AL4" s="4">
        <f t="shared" ref="AL4:AL61" si="26">AA4/(E4*20*5.7)</f>
        <v>2.5621068860941977E-5</v>
      </c>
      <c r="AM4" s="4">
        <f t="shared" ref="AM4:AM61" si="27">AB4/(F4*20*5.7)</f>
        <v>2.4531210037207478E-5</v>
      </c>
      <c r="AN4" s="4">
        <f t="shared" ref="AN4:AN61" si="28">AC4/(G4*20*5.7)</f>
        <v>2.3936527128219688E-5</v>
      </c>
      <c r="AO4" s="4">
        <f t="shared" ref="AO4:AO61" si="29">AD4/(H4*20*5.7)</f>
        <v>2.3601817251283506E-5</v>
      </c>
      <c r="AP4" s="4">
        <f t="shared" ref="AP4:AP61" si="30">AE4/(I4*20*5.7)</f>
        <v>2.3410143664677269E-5</v>
      </c>
      <c r="AQ4" s="4">
        <f t="shared" ref="AQ4:AQ61" si="31">AF4/(J4*20*5.7)</f>
        <v>2.3299293777231246E-5</v>
      </c>
      <c r="AR4" s="4">
        <f t="shared" ref="AR4:AR61" si="32">AG4/(K4*20*5.7)</f>
        <v>2.3234821064369141E-5</v>
      </c>
    </row>
    <row r="5" spans="1:44" x14ac:dyDescent="0.25">
      <c r="A5" s="4" t="s">
        <v>25</v>
      </c>
      <c r="B5" s="4">
        <v>976156.084953096</v>
      </c>
      <c r="C5" s="4">
        <v>2614830.2938019298</v>
      </c>
      <c r="D5" s="4">
        <v>4088814.8563010301</v>
      </c>
      <c r="E5" s="4">
        <v>5144971.0428171903</v>
      </c>
      <c r="F5" s="4">
        <v>5827872.8540895199</v>
      </c>
      <c r="G5" s="4">
        <v>6247016.4098634496</v>
      </c>
      <c r="H5" s="4">
        <v>6497172.6880467199</v>
      </c>
      <c r="I5" s="4">
        <v>6644175.8580441801</v>
      </c>
      <c r="J5" s="4">
        <v>6729810.4330772404</v>
      </c>
      <c r="K5" s="4">
        <v>6779448.5004414096</v>
      </c>
      <c r="M5" s="4">
        <f t="shared" si="3"/>
        <v>9761560.8495309595</v>
      </c>
      <c r="N5" s="4">
        <f t="shared" si="4"/>
        <v>16386742.088488339</v>
      </c>
      <c r="O5" s="4">
        <f t="shared" si="5"/>
        <v>14739845.624991003</v>
      </c>
      <c r="P5" s="4">
        <f t="shared" si="6"/>
        <v>10561561.865161601</v>
      </c>
      <c r="Q5" s="4">
        <f t="shared" si="7"/>
        <v>6829018.1127232965</v>
      </c>
      <c r="R5" s="4">
        <f t="shared" si="8"/>
        <v>4191435.5577392969</v>
      </c>
      <c r="S5" s="4">
        <f t="shared" si="9"/>
        <v>2501562.7818327025</v>
      </c>
      <c r="T5" s="4">
        <f t="shared" si="10"/>
        <v>1470031.6999746021</v>
      </c>
      <c r="U5" s="4">
        <f t="shared" si="11"/>
        <v>856345.75033060275</v>
      </c>
      <c r="V5" s="4">
        <f t="shared" si="12"/>
        <v>496380.67364169285</v>
      </c>
      <c r="X5" s="4">
        <f t="shared" si="13"/>
        <v>4675.033645875772</v>
      </c>
      <c r="Y5" s="4">
        <f t="shared" si="14"/>
        <v>9318.1931885056802</v>
      </c>
      <c r="Z5" s="4">
        <f t="shared" si="15"/>
        <v>12742.054751061833</v>
      </c>
      <c r="AA5" s="4">
        <f t="shared" si="16"/>
        <v>14965.433762300971</v>
      </c>
      <c r="AB5" s="4">
        <f t="shared" si="17"/>
        <v>16329.703621016277</v>
      </c>
      <c r="AC5" s="4">
        <f t="shared" si="18"/>
        <v>17143.208511311106</v>
      </c>
      <c r="AD5" s="4">
        <f t="shared" si="19"/>
        <v>17620.910353804178</v>
      </c>
      <c r="AE5" s="4">
        <f t="shared" si="20"/>
        <v>17899.052336273395</v>
      </c>
      <c r="AF5" s="4">
        <f t="shared" si="21"/>
        <v>18060.228322224029</v>
      </c>
      <c r="AG5" s="4">
        <f t="shared" si="22"/>
        <v>18153.372149878927</v>
      </c>
      <c r="AI5" s="4">
        <f t="shared" si="23"/>
        <v>4.2010768258496485E-5</v>
      </c>
      <c r="AJ5" s="4">
        <f t="shared" si="24"/>
        <v>3.1259595291911319E-5</v>
      </c>
      <c r="AK5" s="4">
        <f t="shared" si="25"/>
        <v>2.7336138716280532E-5</v>
      </c>
      <c r="AL5" s="4">
        <f t="shared" si="26"/>
        <v>2.5515349583997748E-5</v>
      </c>
      <c r="AM5" s="4">
        <f t="shared" si="27"/>
        <v>2.4578953214280387E-5</v>
      </c>
      <c r="AN5" s="4">
        <f t="shared" si="28"/>
        <v>2.4072134946149733E-5</v>
      </c>
      <c r="AO5" s="4">
        <f t="shared" si="29"/>
        <v>2.3790254082799628E-5</v>
      </c>
      <c r="AP5" s="4">
        <f t="shared" si="30"/>
        <v>2.3631107058951359E-5</v>
      </c>
      <c r="AQ5" s="4">
        <f t="shared" si="31"/>
        <v>2.3540493009944377E-5</v>
      </c>
      <c r="AR5" s="4">
        <f t="shared" si="32"/>
        <v>2.3488651999866538E-5</v>
      </c>
    </row>
    <row r="6" spans="1:44" x14ac:dyDescent="0.25">
      <c r="A6" s="4" t="s">
        <v>27</v>
      </c>
      <c r="B6" s="4">
        <v>1372.22188805617</v>
      </c>
      <c r="C6" s="4">
        <v>4773.5161404615801</v>
      </c>
      <c r="D6" s="4">
        <v>9250.9183816943096</v>
      </c>
      <c r="E6" s="4">
        <v>13860.948944513801</v>
      </c>
      <c r="F6" s="4">
        <v>18055.887890246398</v>
      </c>
      <c r="G6" s="4">
        <v>21609.504790141</v>
      </c>
      <c r="H6" s="4">
        <v>24487.720875465599</v>
      </c>
      <c r="I6" s="4">
        <v>26750.9732105394</v>
      </c>
      <c r="J6" s="4">
        <v>28495.202386447199</v>
      </c>
      <c r="K6" s="4">
        <v>29820.754516296001</v>
      </c>
      <c r="M6" s="4">
        <f t="shared" si="3"/>
        <v>13722.218880561701</v>
      </c>
      <c r="N6" s="4">
        <f t="shared" si="4"/>
        <v>34012.942524054102</v>
      </c>
      <c r="O6" s="4">
        <f t="shared" si="5"/>
        <v>44774.022412327293</v>
      </c>
      <c r="P6" s="4">
        <f t="shared" si="6"/>
        <v>46100.30562819491</v>
      </c>
      <c r="Q6" s="4">
        <f t="shared" si="7"/>
        <v>41949.389457325975</v>
      </c>
      <c r="R6" s="4">
        <f t="shared" si="8"/>
        <v>35536.168998946014</v>
      </c>
      <c r="S6" s="4">
        <f t="shared" si="9"/>
        <v>28782.160853245987</v>
      </c>
      <c r="T6" s="4">
        <f t="shared" si="10"/>
        <v>22632.523350738011</v>
      </c>
      <c r="U6" s="4">
        <f t="shared" si="11"/>
        <v>17442.291759077998</v>
      </c>
      <c r="V6" s="4">
        <f t="shared" si="12"/>
        <v>13255.52129848802</v>
      </c>
      <c r="X6" s="4">
        <f t="shared" si="13"/>
        <v>47.132263217005907</v>
      </c>
      <c r="Y6" s="4">
        <f t="shared" si="14"/>
        <v>112.79974853493057</v>
      </c>
      <c r="Z6" s="4">
        <f t="shared" si="15"/>
        <v>179.24648552527682</v>
      </c>
      <c r="AA6" s="4">
        <f t="shared" si="16"/>
        <v>237.89007838181982</v>
      </c>
      <c r="AB6" s="4">
        <f t="shared" si="17"/>
        <v>286.25590180256995</v>
      </c>
      <c r="AC6" s="4">
        <f t="shared" si="18"/>
        <v>324.61802035081263</v>
      </c>
      <c r="AD6" s="4">
        <f t="shared" si="19"/>
        <v>354.31138784563814</v>
      </c>
      <c r="AE6" s="4">
        <f t="shared" si="20"/>
        <v>376.92849047901842</v>
      </c>
      <c r="AF6" s="4">
        <f t="shared" si="21"/>
        <v>393.96847996629566</v>
      </c>
      <c r="AG6" s="4">
        <f t="shared" si="22"/>
        <v>406.7094786647487</v>
      </c>
      <c r="AI6" s="4">
        <f t="shared" si="23"/>
        <v>3.0129304087839242E-4</v>
      </c>
      <c r="AJ6" s="4">
        <f t="shared" si="24"/>
        <v>2.0728357237332105E-4</v>
      </c>
      <c r="AK6" s="4">
        <f t="shared" si="25"/>
        <v>1.6996556746607199E-4</v>
      </c>
      <c r="AL6" s="4">
        <f t="shared" si="26"/>
        <v>1.5054922154883764E-4</v>
      </c>
      <c r="AM6" s="4">
        <f t="shared" si="27"/>
        <v>1.390691334451134E-4</v>
      </c>
      <c r="AN6" s="4">
        <f t="shared" si="28"/>
        <v>1.3177194581545957E-4</v>
      </c>
      <c r="AO6" s="4">
        <f t="shared" si="29"/>
        <v>1.2692053482767418E-4</v>
      </c>
      <c r="AP6" s="4">
        <f t="shared" si="30"/>
        <v>1.2359887774315262E-4</v>
      </c>
      <c r="AQ6" s="4">
        <f t="shared" si="31"/>
        <v>1.2127879677728269E-4</v>
      </c>
      <c r="AR6" s="4">
        <f t="shared" si="32"/>
        <v>1.1963570552453813E-4</v>
      </c>
    </row>
    <row r="7" spans="1:44" x14ac:dyDescent="0.25">
      <c r="A7" s="4" t="s">
        <v>29</v>
      </c>
      <c r="B7" s="4">
        <v>629642.47269811505</v>
      </c>
      <c r="C7" s="4">
        <v>639268.06603631703</v>
      </c>
      <c r="D7" s="4">
        <v>639330.69714974205</v>
      </c>
      <c r="E7" s="4">
        <v>639331.10262113402</v>
      </c>
      <c r="F7" s="4">
        <v>639331.10524605401</v>
      </c>
      <c r="G7" s="4">
        <v>639331.10526304704</v>
      </c>
      <c r="H7" s="4">
        <v>639331.10526315705</v>
      </c>
      <c r="I7" s="4">
        <v>639331.10526315798</v>
      </c>
      <c r="J7" s="4">
        <v>639331.10526315798</v>
      </c>
      <c r="K7" s="4">
        <v>639331.10526315798</v>
      </c>
      <c r="M7" s="4">
        <f t="shared" si="3"/>
        <v>6296424.72698115</v>
      </c>
      <c r="N7" s="4">
        <f t="shared" si="4"/>
        <v>96255.933382019866</v>
      </c>
      <c r="O7" s="4">
        <f t="shared" si="5"/>
        <v>626.31113425013609</v>
      </c>
      <c r="P7" s="4">
        <f t="shared" si="6"/>
        <v>4.0547139197587967</v>
      </c>
      <c r="Q7" s="4">
        <f t="shared" si="7"/>
        <v>2.6249199872836471E-2</v>
      </c>
      <c r="R7" s="4">
        <f t="shared" si="8"/>
        <v>1.6993028111755848E-4</v>
      </c>
      <c r="S7" s="4">
        <f t="shared" si="9"/>
        <v>1.100124791264534E-6</v>
      </c>
      <c r="T7" s="4">
        <f t="shared" si="10"/>
        <v>9.3132257461547852E-9</v>
      </c>
      <c r="U7" s="4">
        <f t="shared" si="11"/>
        <v>0</v>
      </c>
      <c r="V7" s="4">
        <f t="shared" si="12"/>
        <v>0</v>
      </c>
      <c r="X7" s="4">
        <f t="shared" si="13"/>
        <v>3439.434678475327</v>
      </c>
      <c r="Y7" s="4">
        <f t="shared" si="14"/>
        <v>3476.1568306711729</v>
      </c>
      <c r="Z7" s="4">
        <f t="shared" si="15"/>
        <v>3476.3952262198241</v>
      </c>
      <c r="AA7" s="4">
        <f t="shared" si="16"/>
        <v>3476.3967695605052</v>
      </c>
      <c r="AB7" s="4">
        <f t="shared" si="17"/>
        <v>3476.396779551706</v>
      </c>
      <c r="AC7" s="4">
        <f t="shared" si="18"/>
        <v>3476.3967796163856</v>
      </c>
      <c r="AD7" s="4">
        <f t="shared" si="19"/>
        <v>3476.3967796168058</v>
      </c>
      <c r="AE7" s="4">
        <f t="shared" si="20"/>
        <v>3476.3967796168058</v>
      </c>
      <c r="AF7" s="4">
        <f t="shared" si="21"/>
        <v>3476.3967796168058</v>
      </c>
      <c r="AG7" s="4">
        <f t="shared" si="22"/>
        <v>3476.3967796168058</v>
      </c>
      <c r="AI7" s="4">
        <f t="shared" si="23"/>
        <v>4.7916843199067121E-5</v>
      </c>
      <c r="AJ7" s="4">
        <f t="shared" si="24"/>
        <v>4.7699244492036004E-5</v>
      </c>
      <c r="AK7" s="4">
        <f t="shared" si="25"/>
        <v>4.7697842607576514E-5</v>
      </c>
      <c r="AL7" s="4">
        <f t="shared" si="26"/>
        <v>4.7697833532412703E-5</v>
      </c>
      <c r="AM7" s="4">
        <f t="shared" si="27"/>
        <v>4.7697833473662416E-5</v>
      </c>
      <c r="AN7" s="4">
        <f t="shared" si="28"/>
        <v>4.7697833473282071E-5</v>
      </c>
      <c r="AO7" s="4">
        <f t="shared" si="29"/>
        <v>4.7697833473279638E-5</v>
      </c>
      <c r="AP7" s="4">
        <f t="shared" si="30"/>
        <v>4.7697833473279571E-5</v>
      </c>
      <c r="AQ7" s="4">
        <f t="shared" si="31"/>
        <v>4.7697833473279571E-5</v>
      </c>
      <c r="AR7" s="4">
        <f t="shared" si="32"/>
        <v>4.7697833473279571E-5</v>
      </c>
    </row>
    <row r="8" spans="1:44" x14ac:dyDescent="0.25">
      <c r="A8" s="4" t="s">
        <v>31</v>
      </c>
      <c r="B8" s="4">
        <v>556.80050352575597</v>
      </c>
      <c r="C8" s="4">
        <v>1514.6401214258501</v>
      </c>
      <c r="D8" s="4">
        <v>2084.4180850887001</v>
      </c>
      <c r="E8" s="4">
        <v>2344.5416704915001</v>
      </c>
      <c r="F8" s="4">
        <v>2453.2382674466498</v>
      </c>
      <c r="G8" s="4">
        <v>2497.1883543496301</v>
      </c>
      <c r="H8" s="4">
        <v>2514.7344392802302</v>
      </c>
      <c r="I8" s="4">
        <v>2521.7044668583899</v>
      </c>
      <c r="J8" s="4">
        <v>2524.4678065000398</v>
      </c>
      <c r="K8" s="4">
        <v>2525.56250923076</v>
      </c>
      <c r="M8" s="4">
        <f t="shared" si="3"/>
        <v>5568.0050352575599</v>
      </c>
      <c r="N8" s="4">
        <f t="shared" si="4"/>
        <v>9578.3961790009416</v>
      </c>
      <c r="O8" s="4">
        <f t="shared" si="5"/>
        <v>5697.7796366285002</v>
      </c>
      <c r="P8" s="4">
        <f t="shared" si="6"/>
        <v>2601.2358540280002</v>
      </c>
      <c r="Q8" s="4">
        <f t="shared" si="7"/>
        <v>1086.9659695514974</v>
      </c>
      <c r="R8" s="4">
        <f t="shared" si="8"/>
        <v>439.50086902980274</v>
      </c>
      <c r="S8" s="4">
        <f t="shared" si="9"/>
        <v>175.46084930600045</v>
      </c>
      <c r="T8" s="4">
        <f t="shared" si="10"/>
        <v>69.700275781597156</v>
      </c>
      <c r="U8" s="4">
        <f t="shared" si="11"/>
        <v>27.633396416499636</v>
      </c>
      <c r="V8" s="4">
        <f t="shared" si="12"/>
        <v>10.947027307202006</v>
      </c>
      <c r="X8" s="4">
        <f t="shared" si="13"/>
        <v>25.067497959416798</v>
      </c>
      <c r="Y8" s="4">
        <f t="shared" si="14"/>
        <v>50.505406903831613</v>
      </c>
      <c r="Z8" s="4">
        <f t="shared" si="15"/>
        <v>63.155421436394775</v>
      </c>
      <c r="AA8" s="4">
        <f t="shared" si="16"/>
        <v>68.574369614596336</v>
      </c>
      <c r="AB8" s="4">
        <f t="shared" si="17"/>
        <v>70.784646264382161</v>
      </c>
      <c r="AC8" s="4">
        <f t="shared" si="18"/>
        <v>71.669960542354815</v>
      </c>
      <c r="AD8" s="4">
        <f t="shared" si="19"/>
        <v>72.02209421389459</v>
      </c>
      <c r="AE8" s="4">
        <f t="shared" si="20"/>
        <v>72.161771495080217</v>
      </c>
      <c r="AF8" s="4">
        <f t="shared" si="21"/>
        <v>72.217115928689097</v>
      </c>
      <c r="AG8" s="4">
        <f t="shared" si="22"/>
        <v>72.239035714221941</v>
      </c>
      <c r="AI8" s="4">
        <f t="shared" si="23"/>
        <v>3.9491762594494285E-4</v>
      </c>
      <c r="AJ8" s="4">
        <f t="shared" si="24"/>
        <v>2.9249844821505912E-4</v>
      </c>
      <c r="AK8" s="4">
        <f t="shared" si="25"/>
        <v>2.6577917781647021E-4</v>
      </c>
      <c r="AL8" s="4">
        <f t="shared" si="26"/>
        <v>2.5656594872833829E-4</v>
      </c>
      <c r="AM8" s="4">
        <f t="shared" si="27"/>
        <v>2.531013631765247E-4</v>
      </c>
      <c r="AN8" s="4">
        <f t="shared" si="28"/>
        <v>2.517566859991048E-4</v>
      </c>
      <c r="AO8" s="4">
        <f t="shared" si="29"/>
        <v>2.5122841855343577E-4</v>
      </c>
      <c r="AP8" s="4">
        <f t="shared" si="30"/>
        <v>2.5101989701413572E-4</v>
      </c>
      <c r="AQ8" s="4">
        <f t="shared" si="31"/>
        <v>2.5093743379399526E-4</v>
      </c>
      <c r="AR8" s="4">
        <f t="shared" si="32"/>
        <v>2.5090479826299995E-4</v>
      </c>
    </row>
    <row r="9" spans="1:44" x14ac:dyDescent="0.25">
      <c r="A9" s="4" t="s">
        <v>33</v>
      </c>
      <c r="B9" s="4">
        <v>2601.1221205625502</v>
      </c>
      <c r="C9" s="4">
        <v>10052.779017687801</v>
      </c>
      <c r="D9" s="4">
        <v>16834.059696289201</v>
      </c>
      <c r="E9" s="4">
        <v>21300.971718541401</v>
      </c>
      <c r="F9" s="4">
        <v>23891.443813165399</v>
      </c>
      <c r="G9" s="4">
        <v>25309.014639631099</v>
      </c>
      <c r="H9" s="4">
        <v>26063.178701350502</v>
      </c>
      <c r="I9" s="4">
        <v>26458.775491050299</v>
      </c>
      <c r="J9" s="4">
        <v>26664.800228274999</v>
      </c>
      <c r="K9" s="4">
        <v>26771.702364278</v>
      </c>
      <c r="M9" s="4">
        <f t="shared" si="3"/>
        <v>26011.221205625501</v>
      </c>
      <c r="N9" s="4">
        <f t="shared" si="4"/>
        <v>74516.568971252505</v>
      </c>
      <c r="O9" s="4">
        <f t="shared" si="5"/>
        <v>67812.806786014</v>
      </c>
      <c r="P9" s="4">
        <f t="shared" si="6"/>
        <v>44669.120222521997</v>
      </c>
      <c r="Q9" s="4">
        <f t="shared" si="7"/>
        <v>25904.720946239977</v>
      </c>
      <c r="R9" s="4">
        <f t="shared" si="8"/>
        <v>14175.708264657005</v>
      </c>
      <c r="S9" s="4">
        <f t="shared" si="9"/>
        <v>7541.6406171940253</v>
      </c>
      <c r="T9" s="4">
        <f t="shared" si="10"/>
        <v>3955.9678969979723</v>
      </c>
      <c r="U9" s="4">
        <f t="shared" si="11"/>
        <v>2060.2473722469949</v>
      </c>
      <c r="V9" s="4">
        <f t="shared" si="12"/>
        <v>1069.0213600300194</v>
      </c>
      <c r="X9" s="4">
        <f t="shared" si="13"/>
        <v>73.745202826857522</v>
      </c>
      <c r="Y9" s="4">
        <f t="shared" si="14"/>
        <v>189.98597844493995</v>
      </c>
      <c r="Z9" s="4">
        <f t="shared" si="15"/>
        <v>272.55456397547158</v>
      </c>
      <c r="AA9" s="4">
        <f t="shared" si="16"/>
        <v>321.36667969610806</v>
      </c>
      <c r="AB9" s="4">
        <f t="shared" si="17"/>
        <v>348.24984505507638</v>
      </c>
      <c r="AC9" s="4">
        <f t="shared" si="18"/>
        <v>362.58841226393895</v>
      </c>
      <c r="AD9" s="4">
        <f t="shared" si="19"/>
        <v>370.11818343472299</v>
      </c>
      <c r="AE9" s="4">
        <f t="shared" si="20"/>
        <v>374.04174426810113</v>
      </c>
      <c r="AF9" s="4">
        <f t="shared" si="21"/>
        <v>376.0781386821227</v>
      </c>
      <c r="AG9" s="4">
        <f t="shared" si="22"/>
        <v>377.13292231336504</v>
      </c>
      <c r="AI9" s="4">
        <f t="shared" si="23"/>
        <v>2.4869564522996625E-4</v>
      </c>
      <c r="AJ9" s="4">
        <f t="shared" si="24"/>
        <v>1.657793996702181E-4</v>
      </c>
      <c r="AK9" s="4">
        <f t="shared" si="25"/>
        <v>1.4202334740940644E-4</v>
      </c>
      <c r="AL9" s="4">
        <f t="shared" si="26"/>
        <v>1.3234166025359123E-4</v>
      </c>
      <c r="AM9" s="4">
        <f t="shared" si="27"/>
        <v>1.2786264514303439E-4</v>
      </c>
      <c r="AN9" s="4">
        <f t="shared" si="28"/>
        <v>1.2567064158230585E-4</v>
      </c>
      <c r="AO9" s="4">
        <f t="shared" si="29"/>
        <v>1.2456848679456376E-4</v>
      </c>
      <c r="AP9" s="4">
        <f t="shared" si="30"/>
        <v>1.2400679439175669E-4</v>
      </c>
      <c r="AQ9" s="4">
        <f t="shared" si="31"/>
        <v>1.2371857328123199E-4</v>
      </c>
      <c r="AR9" s="4">
        <f t="shared" si="32"/>
        <v>1.2357015941872931E-4</v>
      </c>
    </row>
    <row r="10" spans="1:44" x14ac:dyDescent="0.25">
      <c r="A10" s="4" t="s">
        <v>35</v>
      </c>
      <c r="B10" s="4">
        <v>372.42894525518398</v>
      </c>
      <c r="C10" s="4">
        <v>983.18090529593803</v>
      </c>
      <c r="D10" s="4">
        <v>1370.16262755408</v>
      </c>
      <c r="E10" s="4">
        <v>1560.52380198534</v>
      </c>
      <c r="F10" s="4">
        <v>1646.1134718354699</v>
      </c>
      <c r="G10" s="4">
        <v>1683.25416567296</v>
      </c>
      <c r="H10" s="4">
        <v>1699.13742946706</v>
      </c>
      <c r="I10" s="4">
        <v>1705.8885985460399</v>
      </c>
      <c r="J10" s="4">
        <v>1708.75081362328</v>
      </c>
      <c r="K10" s="4">
        <v>1709.96295791017</v>
      </c>
      <c r="M10" s="4">
        <f t="shared" si="3"/>
        <v>3724.2894525518395</v>
      </c>
      <c r="N10" s="4">
        <f t="shared" si="4"/>
        <v>6107.5196004075406</v>
      </c>
      <c r="O10" s="4">
        <f t="shared" si="5"/>
        <v>3869.8172225814196</v>
      </c>
      <c r="P10" s="4">
        <f t="shared" si="6"/>
        <v>1903.6117443126</v>
      </c>
      <c r="Q10" s="4">
        <f t="shared" si="7"/>
        <v>855.89669850129894</v>
      </c>
      <c r="R10" s="4">
        <f t="shared" si="8"/>
        <v>371.40693837490062</v>
      </c>
      <c r="S10" s="4">
        <f t="shared" si="9"/>
        <v>158.83263794100003</v>
      </c>
      <c r="T10" s="4">
        <f t="shared" si="10"/>
        <v>67.511690789799559</v>
      </c>
      <c r="U10" s="4">
        <f t="shared" si="11"/>
        <v>28.622150772400801</v>
      </c>
      <c r="V10" s="4">
        <f t="shared" si="12"/>
        <v>12.121442868899521</v>
      </c>
      <c r="X10" s="4">
        <f t="shared" si="13"/>
        <v>18.916973422250589</v>
      </c>
      <c r="Y10" s="4">
        <f t="shared" si="14"/>
        <v>37.321978596717031</v>
      </c>
      <c r="Z10" s="4">
        <f t="shared" si="15"/>
        <v>47.082740884196667</v>
      </c>
      <c r="AA10" s="4">
        <f t="shared" si="16"/>
        <v>51.571591355279907</v>
      </c>
      <c r="AB10" s="4">
        <f t="shared" si="17"/>
        <v>53.53565162227487</v>
      </c>
      <c r="AC10" s="4">
        <f t="shared" si="18"/>
        <v>54.378352202813382</v>
      </c>
      <c r="AD10" s="4">
        <f t="shared" si="19"/>
        <v>54.737027526444997</v>
      </c>
      <c r="AE10" s="4">
        <f t="shared" si="20"/>
        <v>54.889177281796528</v>
      </c>
      <c r="AF10" s="4">
        <f t="shared" si="21"/>
        <v>54.953627905395486</v>
      </c>
      <c r="AG10" s="4">
        <f t="shared" si="22"/>
        <v>54.980912895049904</v>
      </c>
      <c r="AI10" s="4">
        <f t="shared" si="23"/>
        <v>4.4555710684457221E-4</v>
      </c>
      <c r="AJ10" s="4">
        <f t="shared" si="24"/>
        <v>3.3298630536934717E-4</v>
      </c>
      <c r="AK10" s="4">
        <f t="shared" si="25"/>
        <v>3.0142881631609817E-4</v>
      </c>
      <c r="AL10" s="4">
        <f t="shared" si="26"/>
        <v>2.8989136835589426E-4</v>
      </c>
      <c r="AM10" s="4">
        <f t="shared" si="27"/>
        <v>2.8528469463233935E-4</v>
      </c>
      <c r="AN10" s="4">
        <f t="shared" si="28"/>
        <v>2.8338149949426006E-4</v>
      </c>
      <c r="AO10" s="4">
        <f t="shared" si="29"/>
        <v>2.8258418415140311E-4</v>
      </c>
      <c r="AP10" s="4">
        <f t="shared" si="30"/>
        <v>2.8224821459865951E-4</v>
      </c>
      <c r="AQ10" s="4">
        <f t="shared" si="31"/>
        <v>2.8210629879323268E-4</v>
      </c>
      <c r="AR10" s="4">
        <f t="shared" si="32"/>
        <v>2.8204629075423345E-4</v>
      </c>
    </row>
    <row r="11" spans="1:44" x14ac:dyDescent="0.25">
      <c r="A11" s="4" t="s">
        <v>37</v>
      </c>
      <c r="B11" s="4">
        <v>485585088.70512497</v>
      </c>
      <c r="C11" s="4">
        <v>485585088.95159298</v>
      </c>
      <c r="D11" s="4">
        <v>485585088.95159298</v>
      </c>
      <c r="E11" s="4">
        <v>485585088.95159298</v>
      </c>
      <c r="F11" s="4">
        <v>485585088.95159298</v>
      </c>
      <c r="G11" s="4">
        <v>485585088.95159298</v>
      </c>
      <c r="H11" s="4">
        <v>485585088.95159298</v>
      </c>
      <c r="I11" s="4">
        <v>485585088.95159298</v>
      </c>
      <c r="J11" s="4">
        <v>485585088.95159298</v>
      </c>
      <c r="K11" s="4">
        <v>485585088.95159298</v>
      </c>
      <c r="M11" s="4">
        <f t="shared" si="3"/>
        <v>4855850887.0512495</v>
      </c>
      <c r="N11" s="4">
        <f t="shared" si="4"/>
        <v>2.4646800756454468</v>
      </c>
      <c r="O11" s="4">
        <f t="shared" si="5"/>
        <v>0</v>
      </c>
      <c r="P11" s="4">
        <f t="shared" si="6"/>
        <v>0</v>
      </c>
      <c r="Q11" s="4">
        <f t="shared" si="7"/>
        <v>0</v>
      </c>
      <c r="R11" s="4">
        <f t="shared" si="8"/>
        <v>0</v>
      </c>
      <c r="S11" s="4">
        <f t="shared" si="9"/>
        <v>0</v>
      </c>
      <c r="T11" s="4">
        <f t="shared" si="10"/>
        <v>0</v>
      </c>
      <c r="U11" s="4">
        <f t="shared" si="11"/>
        <v>0</v>
      </c>
      <c r="V11" s="4">
        <f t="shared" si="12"/>
        <v>0</v>
      </c>
      <c r="X11" s="4">
        <f t="shared" si="13"/>
        <v>360999.82728348172</v>
      </c>
      <c r="Y11" s="4">
        <f t="shared" si="14"/>
        <v>360999.82741174428</v>
      </c>
      <c r="Z11" s="4">
        <f t="shared" si="15"/>
        <v>360999.82741174428</v>
      </c>
      <c r="AA11" s="4">
        <f t="shared" si="16"/>
        <v>360999.82741174428</v>
      </c>
      <c r="AB11" s="4">
        <f t="shared" si="17"/>
        <v>360999.82741174428</v>
      </c>
      <c r="AC11" s="4">
        <f t="shared" si="18"/>
        <v>360999.82741174428</v>
      </c>
      <c r="AD11" s="4">
        <f t="shared" si="19"/>
        <v>360999.82741174428</v>
      </c>
      <c r="AE11" s="4">
        <f t="shared" si="20"/>
        <v>360999.82741174428</v>
      </c>
      <c r="AF11" s="4">
        <f t="shared" si="21"/>
        <v>360999.82741174428</v>
      </c>
      <c r="AG11" s="4">
        <f t="shared" si="22"/>
        <v>360999.82741174428</v>
      </c>
      <c r="AI11" s="4">
        <f t="shared" si="23"/>
        <v>6.5213393600157872E-6</v>
      </c>
      <c r="AJ11" s="4">
        <f t="shared" si="24"/>
        <v>6.5213393590227749E-6</v>
      </c>
      <c r="AK11" s="4">
        <f t="shared" si="25"/>
        <v>6.5213393590227749E-6</v>
      </c>
      <c r="AL11" s="4">
        <f t="shared" si="26"/>
        <v>6.5213393590227749E-6</v>
      </c>
      <c r="AM11" s="4">
        <f t="shared" si="27"/>
        <v>6.5213393590227749E-6</v>
      </c>
      <c r="AN11" s="4">
        <f t="shared" si="28"/>
        <v>6.5213393590227749E-6</v>
      </c>
      <c r="AO11" s="4">
        <f t="shared" si="29"/>
        <v>6.5213393590227749E-6</v>
      </c>
      <c r="AP11" s="4">
        <f t="shared" si="30"/>
        <v>6.5213393590227749E-6</v>
      </c>
      <c r="AQ11" s="4">
        <f t="shared" si="31"/>
        <v>6.5213393590227749E-6</v>
      </c>
      <c r="AR11" s="4">
        <f t="shared" si="32"/>
        <v>6.5213393590227749E-6</v>
      </c>
    </row>
    <row r="12" spans="1:44" x14ac:dyDescent="0.25">
      <c r="A12" s="4" t="s">
        <v>39</v>
      </c>
      <c r="B12" s="4">
        <v>7180.7993859868802</v>
      </c>
      <c r="C12" s="4">
        <v>38959.658833709698</v>
      </c>
      <c r="D12" s="4">
        <v>87542.099114981305</v>
      </c>
      <c r="E12" s="4">
        <v>140222.10103514401</v>
      </c>
      <c r="F12" s="4">
        <v>188924.637196478</v>
      </c>
      <c r="G12" s="4">
        <v>230149.946264909</v>
      </c>
      <c r="H12" s="4">
        <v>263226.79544123</v>
      </c>
      <c r="I12" s="4">
        <v>288868.83301197801</v>
      </c>
      <c r="J12" s="4">
        <v>308297.568064311</v>
      </c>
      <c r="K12" s="4">
        <v>322790.84696979501</v>
      </c>
      <c r="M12" s="4">
        <f t="shared" si="3"/>
        <v>71807.993859868802</v>
      </c>
      <c r="N12" s="4">
        <f t="shared" si="4"/>
        <v>317788.59447722818</v>
      </c>
      <c r="O12" s="4">
        <f t="shared" si="5"/>
        <v>485824.40281271609</v>
      </c>
      <c r="P12" s="4">
        <f t="shared" si="6"/>
        <v>526800.019201627</v>
      </c>
      <c r="Q12" s="4">
        <f t="shared" si="7"/>
        <v>487025.36161333992</v>
      </c>
      <c r="R12" s="4">
        <f t="shared" si="8"/>
        <v>412253.09068431001</v>
      </c>
      <c r="S12" s="4">
        <f t="shared" si="9"/>
        <v>330768.49176321004</v>
      </c>
      <c r="T12" s="4">
        <f t="shared" si="10"/>
        <v>256420.37570748013</v>
      </c>
      <c r="U12" s="4">
        <f t="shared" si="11"/>
        <v>194287.35052332981</v>
      </c>
      <c r="V12" s="4">
        <f t="shared" si="12"/>
        <v>144932.7890548401</v>
      </c>
      <c r="X12" s="4">
        <f t="shared" si="13"/>
        <v>150.12126327497731</v>
      </c>
      <c r="Y12" s="4">
        <f t="shared" si="14"/>
        <v>490.40157500563237</v>
      </c>
      <c r="Z12" s="4">
        <f t="shared" si="15"/>
        <v>864.31713706279504</v>
      </c>
      <c r="AA12" s="4">
        <f t="shared" si="16"/>
        <v>1201.9676629406267</v>
      </c>
      <c r="AB12" s="4">
        <f t="shared" si="17"/>
        <v>1480.8916096906794</v>
      </c>
      <c r="AC12" s="4">
        <f t="shared" si="18"/>
        <v>1700.3129761395576</v>
      </c>
      <c r="AD12" s="4">
        <f t="shared" si="19"/>
        <v>1867.8944098620877</v>
      </c>
      <c r="AE12" s="4">
        <f t="shared" si="20"/>
        <v>1993.4793239079827</v>
      </c>
      <c r="AF12" s="4">
        <f t="shared" si="21"/>
        <v>2086.4132108839362</v>
      </c>
      <c r="AG12" s="4">
        <f t="shared" si="22"/>
        <v>2154.5972574514844</v>
      </c>
      <c r="AI12" s="4">
        <f t="shared" si="23"/>
        <v>1.833853190763703E-4</v>
      </c>
      <c r="AJ12" s="4">
        <f t="shared" si="24"/>
        <v>1.1041596180718359E-4</v>
      </c>
      <c r="AK12" s="4">
        <f t="shared" si="25"/>
        <v>8.6606665240257849E-5</v>
      </c>
      <c r="AL12" s="4">
        <f t="shared" si="26"/>
        <v>7.519196983123727E-5</v>
      </c>
      <c r="AM12" s="4">
        <f t="shared" si="27"/>
        <v>6.8759043133579116E-5</v>
      </c>
      <c r="AN12" s="4">
        <f t="shared" si="28"/>
        <v>6.4805690153495565E-5</v>
      </c>
      <c r="AO12" s="4">
        <f t="shared" si="29"/>
        <v>6.2246849358689311E-5</v>
      </c>
      <c r="AP12" s="4">
        <f t="shared" si="30"/>
        <v>6.0534951291577541E-5</v>
      </c>
      <c r="AQ12" s="4">
        <f t="shared" si="31"/>
        <v>5.9364303084914191E-5</v>
      </c>
      <c r="AR12" s="4">
        <f t="shared" si="32"/>
        <v>5.8551771588261412E-5</v>
      </c>
    </row>
    <row r="13" spans="1:44" x14ac:dyDescent="0.25">
      <c r="A13" s="4" t="s">
        <v>41</v>
      </c>
      <c r="B13" s="4">
        <v>50845.679146978902</v>
      </c>
      <c r="C13" s="4">
        <v>109590.94810366099</v>
      </c>
      <c r="D13" s="4">
        <v>131935.04465662301</v>
      </c>
      <c r="E13" s="4">
        <v>138730.34634387601</v>
      </c>
      <c r="F13" s="4">
        <v>140682.412003543</v>
      </c>
      <c r="G13" s="4">
        <v>141234.49369724101</v>
      </c>
      <c r="H13" s="4">
        <v>141389.95467100799</v>
      </c>
      <c r="I13" s="4">
        <v>141433.67757282101</v>
      </c>
      <c r="J13" s="4">
        <v>141445.970280234</v>
      </c>
      <c r="K13" s="4">
        <v>141449.42604542401</v>
      </c>
      <c r="M13" s="4">
        <f t="shared" si="3"/>
        <v>508456.79146978899</v>
      </c>
      <c r="N13" s="4">
        <f t="shared" si="4"/>
        <v>587452.68956682086</v>
      </c>
      <c r="O13" s="4">
        <f t="shared" si="5"/>
        <v>223440.96552962015</v>
      </c>
      <c r="P13" s="4">
        <f t="shared" si="6"/>
        <v>67953.016872529988</v>
      </c>
      <c r="Q13" s="4">
        <f t="shared" si="7"/>
        <v>19520.656596669869</v>
      </c>
      <c r="R13" s="4">
        <f t="shared" si="8"/>
        <v>5520.816936980118</v>
      </c>
      <c r="S13" s="4">
        <f t="shared" si="9"/>
        <v>1554.6097376698162</v>
      </c>
      <c r="T13" s="4">
        <f t="shared" si="10"/>
        <v>437.22901813016506</v>
      </c>
      <c r="U13" s="4">
        <f t="shared" si="11"/>
        <v>122.92707412998425</v>
      </c>
      <c r="V13" s="4">
        <f t="shared" si="12"/>
        <v>34.557651900104247</v>
      </c>
      <c r="X13" s="4">
        <f t="shared" si="13"/>
        <v>590.87972955843816</v>
      </c>
      <c r="Y13" s="4">
        <f t="shared" si="14"/>
        <v>1011.4945186148439</v>
      </c>
      <c r="Z13" s="4">
        <f t="shared" si="15"/>
        <v>1151.7901829801815</v>
      </c>
      <c r="AA13" s="4">
        <f t="shared" si="16"/>
        <v>1193.0023085749388</v>
      </c>
      <c r="AB13" s="4">
        <f t="shared" si="17"/>
        <v>1204.7283175695406</v>
      </c>
      <c r="AC13" s="4">
        <f t="shared" si="18"/>
        <v>1208.0357837524048</v>
      </c>
      <c r="AD13" s="4">
        <f t="shared" si="19"/>
        <v>1208.9664345788594</v>
      </c>
      <c r="AE13" s="4">
        <f t="shared" si="20"/>
        <v>1209.2281218286905</v>
      </c>
      <c r="AF13" s="4">
        <f t="shared" si="21"/>
        <v>1209.3016909090913</v>
      </c>
      <c r="AG13" s="4">
        <f t="shared" si="22"/>
        <v>1209.3223725386558</v>
      </c>
      <c r="AI13" s="4">
        <f t="shared" si="23"/>
        <v>1.0193895743745627E-4</v>
      </c>
      <c r="AJ13" s="4">
        <f t="shared" si="24"/>
        <v>8.0962516419013673E-5</v>
      </c>
      <c r="AK13" s="4">
        <f t="shared" si="25"/>
        <v>7.6578764073004829E-5</v>
      </c>
      <c r="AL13" s="4">
        <f t="shared" si="26"/>
        <v>7.5433622182556216E-5</v>
      </c>
      <c r="AM13" s="4">
        <f t="shared" si="27"/>
        <v>7.511807701388993E-5</v>
      </c>
      <c r="AN13" s="4">
        <f t="shared" si="28"/>
        <v>7.5029865886382522E-5</v>
      </c>
      <c r="AO13" s="4">
        <f t="shared" si="29"/>
        <v>7.5005107322171784E-5</v>
      </c>
      <c r="AP13" s="4">
        <f t="shared" si="30"/>
        <v>7.4998150430656934E-5</v>
      </c>
      <c r="AQ13" s="4">
        <f t="shared" si="31"/>
        <v>7.499619500196088E-5</v>
      </c>
      <c r="AR13" s="4">
        <f t="shared" si="32"/>
        <v>7.4995645325380016E-5</v>
      </c>
    </row>
    <row r="14" spans="1:44" x14ac:dyDescent="0.25">
      <c r="A14" s="4" t="s">
        <v>43</v>
      </c>
      <c r="B14" s="4">
        <v>5514.1143937153502</v>
      </c>
      <c r="C14" s="4">
        <v>11051.335472998</v>
      </c>
      <c r="D14" s="4">
        <v>12938.1299547242</v>
      </c>
      <c r="E14" s="4">
        <v>13463.2236549095</v>
      </c>
      <c r="F14" s="4">
        <v>13602.465567069001</v>
      </c>
      <c r="G14" s="4">
        <v>13638.937078589301</v>
      </c>
      <c r="H14" s="4">
        <v>13648.459568886399</v>
      </c>
      <c r="I14" s="4">
        <v>13650.943766451501</v>
      </c>
      <c r="J14" s="4">
        <v>13651.5916956703</v>
      </c>
      <c r="K14" s="4">
        <v>13651.760679226099</v>
      </c>
      <c r="M14" s="4">
        <f t="shared" si="3"/>
        <v>55141.143937153502</v>
      </c>
      <c r="N14" s="4">
        <f t="shared" si="4"/>
        <v>55372.210792826503</v>
      </c>
      <c r="O14" s="4">
        <f t="shared" si="5"/>
        <v>18867.944817261996</v>
      </c>
      <c r="P14" s="4">
        <f t="shared" si="6"/>
        <v>5250.9370018529989</v>
      </c>
      <c r="Q14" s="4">
        <f t="shared" si="7"/>
        <v>1392.4191215950123</v>
      </c>
      <c r="R14" s="4">
        <f t="shared" si="8"/>
        <v>364.71511520299828</v>
      </c>
      <c r="S14" s="4">
        <f t="shared" si="9"/>
        <v>95.224902970985568</v>
      </c>
      <c r="T14" s="4">
        <f t="shared" si="10"/>
        <v>24.841975651015673</v>
      </c>
      <c r="U14" s="4">
        <f t="shared" si="11"/>
        <v>6.4792921879961796</v>
      </c>
      <c r="V14" s="4">
        <f t="shared" si="12"/>
        <v>1.689835557990591</v>
      </c>
      <c r="X14" s="4">
        <f t="shared" si="13"/>
        <v>124.78267595873425</v>
      </c>
      <c r="Y14" s="4">
        <f t="shared" si="14"/>
        <v>203.00726884597489</v>
      </c>
      <c r="Z14" s="4">
        <f t="shared" si="15"/>
        <v>226.68945117874659</v>
      </c>
      <c r="AA14" s="4">
        <f t="shared" si="16"/>
        <v>233.09104936820404</v>
      </c>
      <c r="AB14" s="4">
        <f t="shared" si="17"/>
        <v>234.77594611597709</v>
      </c>
      <c r="AC14" s="4">
        <f t="shared" si="18"/>
        <v>235.21641300494232</v>
      </c>
      <c r="AD14" s="4">
        <f t="shared" si="19"/>
        <v>235.33135803668335</v>
      </c>
      <c r="AE14" s="4">
        <f t="shared" si="20"/>
        <v>235.36134058063035</v>
      </c>
      <c r="AF14" s="4">
        <f t="shared" si="21"/>
        <v>235.36916036836897</v>
      </c>
      <c r="AG14" s="4">
        <f t="shared" si="22"/>
        <v>235.37119979434044</v>
      </c>
      <c r="AI14" s="4">
        <f t="shared" si="23"/>
        <v>1.9850601541356177E-4</v>
      </c>
      <c r="AJ14" s="4">
        <f t="shared" si="24"/>
        <v>1.6113577590181298E-4</v>
      </c>
      <c r="AK14" s="4">
        <f t="shared" si="25"/>
        <v>1.5369330534373133E-4</v>
      </c>
      <c r="AL14" s="4">
        <f t="shared" si="26"/>
        <v>1.5186989239725351E-4</v>
      </c>
      <c r="AM14" s="4">
        <f t="shared" si="27"/>
        <v>1.5140182591677893E-4</v>
      </c>
      <c r="AN14" s="4">
        <f t="shared" si="28"/>
        <v>1.5128025421448879E-4</v>
      </c>
      <c r="AO14" s="4">
        <f t="shared" si="29"/>
        <v>1.5124858214200294E-4</v>
      </c>
      <c r="AP14" s="4">
        <f t="shared" si="30"/>
        <v>1.5124032435485314E-4</v>
      </c>
      <c r="AQ14" s="4">
        <f t="shared" si="31"/>
        <v>1.5123817087732617E-4</v>
      </c>
      <c r="AR14" s="4">
        <f t="shared" si="32"/>
        <v>1.5123760926021582E-4</v>
      </c>
    </row>
    <row r="15" spans="1:44" x14ac:dyDescent="0.25">
      <c r="A15" s="4" t="s">
        <v>45</v>
      </c>
      <c r="B15" s="4">
        <v>2708916.3489297298</v>
      </c>
      <c r="C15" s="4">
        <v>2950524.50023086</v>
      </c>
      <c r="D15" s="4">
        <v>2959155.9741997202</v>
      </c>
      <c r="E15" s="4">
        <v>2959455.5025815899</v>
      </c>
      <c r="F15" s="4">
        <v>2959465.8863636898</v>
      </c>
      <c r="G15" s="4">
        <v>2959466.24632686</v>
      </c>
      <c r="H15" s="4">
        <v>2959466.2588052899</v>
      </c>
      <c r="I15" s="4">
        <v>2959466.2592378701</v>
      </c>
      <c r="J15" s="4">
        <v>2959466.2592528602</v>
      </c>
      <c r="K15" s="4">
        <v>2959466.2592533799</v>
      </c>
      <c r="M15" s="4">
        <f t="shared" si="3"/>
        <v>27089163.489297297</v>
      </c>
      <c r="N15" s="4">
        <f t="shared" si="4"/>
        <v>2416081.5130113019</v>
      </c>
      <c r="O15" s="4">
        <f t="shared" si="5"/>
        <v>86314.739688602276</v>
      </c>
      <c r="P15" s="4">
        <f t="shared" si="6"/>
        <v>2995.2838186966255</v>
      </c>
      <c r="Q15" s="4">
        <f t="shared" si="7"/>
        <v>103.83782099932432</v>
      </c>
      <c r="R15" s="4">
        <f t="shared" si="8"/>
        <v>3.5996317025274038</v>
      </c>
      <c r="S15" s="4">
        <f t="shared" si="9"/>
        <v>0.12478429824113846</v>
      </c>
      <c r="T15" s="4">
        <f t="shared" si="10"/>
        <v>4.3258024379611015E-3</v>
      </c>
      <c r="U15" s="4">
        <f t="shared" si="11"/>
        <v>1.4990102499723434E-4</v>
      </c>
      <c r="V15" s="4">
        <f t="shared" si="12"/>
        <v>5.1967799663543701E-6</v>
      </c>
      <c r="X15" s="4">
        <f t="shared" si="13"/>
        <v>9551.6449510347466</v>
      </c>
      <c r="Y15" s="4">
        <f t="shared" si="14"/>
        <v>10140.297866562772</v>
      </c>
      <c r="Z15" s="4">
        <f t="shared" si="15"/>
        <v>10161.053888391389</v>
      </c>
      <c r="AA15" s="4">
        <f t="shared" si="16"/>
        <v>10161.773835056352</v>
      </c>
      <c r="AB15" s="4">
        <f t="shared" si="17"/>
        <v>10161.798793131487</v>
      </c>
      <c r="AC15" s="4">
        <f t="shared" si="18"/>
        <v>10161.799658325215</v>
      </c>
      <c r="AD15" s="4">
        <f t="shared" si="19"/>
        <v>10161.79968831788</v>
      </c>
      <c r="AE15" s="4">
        <f t="shared" si="20"/>
        <v>10161.799689357615</v>
      </c>
      <c r="AF15" s="4">
        <f t="shared" si="21"/>
        <v>10161.799689393645</v>
      </c>
      <c r="AG15" s="4">
        <f t="shared" si="22"/>
        <v>10161.799689394891</v>
      </c>
      <c r="AI15" s="4">
        <f t="shared" si="23"/>
        <v>3.0929843681849509E-5</v>
      </c>
      <c r="AJ15" s="4">
        <f t="shared" si="24"/>
        <v>3.0147175960978655E-5</v>
      </c>
      <c r="AK15" s="4">
        <f t="shared" si="25"/>
        <v>3.0120768364249907E-5</v>
      </c>
      <c r="AL15" s="4">
        <f t="shared" si="26"/>
        <v>3.0119853769188767E-5</v>
      </c>
      <c r="AM15" s="4">
        <f t="shared" si="27"/>
        <v>3.0119822064983215E-5</v>
      </c>
      <c r="AN15" s="4">
        <f t="shared" si="28"/>
        <v>3.0119820965930986E-5</v>
      </c>
      <c r="AO15" s="4">
        <f t="shared" si="29"/>
        <v>3.011982092783137E-5</v>
      </c>
      <c r="AP15" s="4">
        <f t="shared" si="30"/>
        <v>3.0119820926510605E-5</v>
      </c>
      <c r="AQ15" s="4">
        <f t="shared" si="31"/>
        <v>3.0119820926464841E-5</v>
      </c>
      <c r="AR15" s="4">
        <f t="shared" si="32"/>
        <v>3.0119820926463249E-5</v>
      </c>
    </row>
    <row r="16" spans="1:44" x14ac:dyDescent="0.25">
      <c r="A16" s="4" t="s">
        <v>47</v>
      </c>
      <c r="B16" s="4">
        <v>1002.12780342364</v>
      </c>
      <c r="C16" s="4">
        <v>4130.3426163369804</v>
      </c>
      <c r="D16" s="4">
        <v>7384.3272347659504</v>
      </c>
      <c r="E16" s="4">
        <v>9798.81288893075</v>
      </c>
      <c r="F16" s="4">
        <v>11353.787123838199</v>
      </c>
      <c r="G16" s="4">
        <v>12288.9862868975</v>
      </c>
      <c r="H16" s="4">
        <v>12831.899272729999</v>
      </c>
      <c r="I16" s="4">
        <v>13141.1750120632</v>
      </c>
      <c r="J16" s="4">
        <v>13315.552496386799</v>
      </c>
      <c r="K16" s="4">
        <v>13413.315831304601</v>
      </c>
      <c r="M16" s="4">
        <f t="shared" si="3"/>
        <v>10021.2780342364</v>
      </c>
      <c r="N16" s="4">
        <f t="shared" si="4"/>
        <v>31282.148129133402</v>
      </c>
      <c r="O16" s="4">
        <f t="shared" si="5"/>
        <v>32539.846184289701</v>
      </c>
      <c r="P16" s="4">
        <f t="shared" si="6"/>
        <v>24144.856541647998</v>
      </c>
      <c r="Q16" s="4">
        <f t="shared" si="7"/>
        <v>15549.742349074495</v>
      </c>
      <c r="R16" s="4">
        <f t="shared" si="8"/>
        <v>9351.9916305930019</v>
      </c>
      <c r="S16" s="4">
        <f t="shared" si="9"/>
        <v>5429.1298583249954</v>
      </c>
      <c r="T16" s="4">
        <f t="shared" si="10"/>
        <v>3092.7573933320127</v>
      </c>
      <c r="U16" s="4">
        <f t="shared" si="11"/>
        <v>1743.7748432359876</v>
      </c>
      <c r="V16" s="4">
        <f t="shared" si="12"/>
        <v>977.6333491780133</v>
      </c>
      <c r="X16" s="4">
        <f t="shared" si="13"/>
        <v>37.823998077677352</v>
      </c>
      <c r="Y16" s="4">
        <f t="shared" si="14"/>
        <v>101.93222625902413</v>
      </c>
      <c r="Z16" s="4">
        <f t="shared" si="15"/>
        <v>153.08721015682758</v>
      </c>
      <c r="AA16" s="4">
        <f t="shared" si="16"/>
        <v>186.6133374761408</v>
      </c>
      <c r="AB16" s="4">
        <f t="shared" si="17"/>
        <v>206.88060509136554</v>
      </c>
      <c r="AC16" s="4">
        <f t="shared" si="18"/>
        <v>218.66662225062495</v>
      </c>
      <c r="AD16" s="4">
        <f t="shared" si="19"/>
        <v>225.38495062007425</v>
      </c>
      <c r="AE16" s="4">
        <f t="shared" si="20"/>
        <v>229.17392041106916</v>
      </c>
      <c r="AF16" s="4">
        <f t="shared" si="21"/>
        <v>231.29843193153928</v>
      </c>
      <c r="AG16" s="4">
        <f t="shared" si="22"/>
        <v>232.48586874086541</v>
      </c>
      <c r="AI16" s="4">
        <f t="shared" si="23"/>
        <v>3.3108497308249044E-4</v>
      </c>
      <c r="AJ16" s="4">
        <f t="shared" si="24"/>
        <v>2.164813960151447E-4</v>
      </c>
      <c r="AK16" s="4">
        <f t="shared" si="25"/>
        <v>1.8185411098945405E-4</v>
      </c>
      <c r="AL16" s="4">
        <f t="shared" si="26"/>
        <v>1.6705687915697382E-4</v>
      </c>
      <c r="AM16" s="4">
        <f t="shared" si="27"/>
        <v>1.5983584421043619E-4</v>
      </c>
      <c r="AN16" s="4">
        <f t="shared" si="28"/>
        <v>1.560851497898948E-4</v>
      </c>
      <c r="AO16" s="4">
        <f t="shared" si="29"/>
        <v>1.5407391597541014E-4</v>
      </c>
      <c r="AP16" s="4">
        <f t="shared" si="30"/>
        <v>1.5297700134273584E-4</v>
      </c>
      <c r="AQ16" s="4">
        <f t="shared" si="31"/>
        <v>1.5237322026142813E-4</v>
      </c>
      <c r="AR16" s="4">
        <f t="shared" si="32"/>
        <v>1.5203919384627765E-4</v>
      </c>
    </row>
    <row r="17" spans="1:44" x14ac:dyDescent="0.25">
      <c r="A17" s="4" t="s">
        <v>49</v>
      </c>
      <c r="B17" s="4">
        <v>175.10564770556601</v>
      </c>
      <c r="C17" s="4">
        <v>1080.27584473513</v>
      </c>
      <c r="D17" s="4">
        <v>2767.4483312996999</v>
      </c>
      <c r="E17" s="4">
        <v>4984.2759788120102</v>
      </c>
      <c r="F17" s="4">
        <v>7442.0151664928098</v>
      </c>
      <c r="G17" s="4">
        <v>9911.8726631328209</v>
      </c>
      <c r="H17" s="4">
        <v>12243.0584963732</v>
      </c>
      <c r="I17" s="4">
        <v>14351.6535362961</v>
      </c>
      <c r="J17" s="4">
        <v>16202.2960724812</v>
      </c>
      <c r="K17" s="4">
        <v>17791.255815047702</v>
      </c>
      <c r="M17" s="4">
        <f t="shared" si="3"/>
        <v>1751.0564770556603</v>
      </c>
      <c r="N17" s="4">
        <f t="shared" si="4"/>
        <v>9051.7019702956386</v>
      </c>
      <c r="O17" s="4">
        <f t="shared" si="5"/>
        <v>16871.724865645698</v>
      </c>
      <c r="P17" s="4">
        <f t="shared" si="6"/>
        <v>22168.276475123101</v>
      </c>
      <c r="Q17" s="4">
        <f t="shared" si="7"/>
        <v>24577.391876807997</v>
      </c>
      <c r="R17" s="4">
        <f t="shared" si="8"/>
        <v>24698.574966400112</v>
      </c>
      <c r="S17" s="4">
        <f t="shared" si="9"/>
        <v>23311.85833240379</v>
      </c>
      <c r="T17" s="4">
        <f t="shared" si="10"/>
        <v>21085.950399229005</v>
      </c>
      <c r="U17" s="4">
        <f t="shared" si="11"/>
        <v>18506.425361850997</v>
      </c>
      <c r="V17" s="4">
        <f t="shared" si="12"/>
        <v>15889.597425665015</v>
      </c>
      <c r="X17" s="4">
        <f t="shared" si="13"/>
        <v>11.15401854652359</v>
      </c>
      <c r="Y17" s="4">
        <f t="shared" si="14"/>
        <v>39.865344404320474</v>
      </c>
      <c r="Z17" s="4">
        <f t="shared" si="15"/>
        <v>77.015283709636023</v>
      </c>
      <c r="AA17" s="4">
        <f t="shared" si="16"/>
        <v>116.26331761060099</v>
      </c>
      <c r="AB17" s="4">
        <f t="shared" si="17"/>
        <v>153.92339729220586</v>
      </c>
      <c r="AC17" s="4">
        <f t="shared" si="18"/>
        <v>188.11795743030189</v>
      </c>
      <c r="AD17" s="4">
        <f t="shared" si="19"/>
        <v>218.09424308031225</v>
      </c>
      <c r="AE17" s="4">
        <f t="shared" si="20"/>
        <v>243.7544841364026</v>
      </c>
      <c r="AF17" s="4">
        <f t="shared" si="21"/>
        <v>265.35351783002363</v>
      </c>
      <c r="AG17" s="4">
        <f t="shared" si="22"/>
        <v>283.31259220023281</v>
      </c>
      <c r="AI17" s="4">
        <f t="shared" si="23"/>
        <v>5.5876134912838241E-4</v>
      </c>
      <c r="AJ17" s="4">
        <f t="shared" si="24"/>
        <v>3.2370991654674262E-4</v>
      </c>
      <c r="AK17" s="4">
        <f t="shared" si="25"/>
        <v>2.4411392128948596E-4</v>
      </c>
      <c r="AL17" s="4">
        <f t="shared" si="26"/>
        <v>2.0461420426682821E-4</v>
      </c>
      <c r="AM17" s="4">
        <f t="shared" si="27"/>
        <v>1.8143005747751307E-4</v>
      </c>
      <c r="AN17" s="4">
        <f t="shared" si="28"/>
        <v>1.6648292178492099E-4</v>
      </c>
      <c r="AO17" s="4">
        <f t="shared" si="29"/>
        <v>1.562605778619829E-4</v>
      </c>
      <c r="AP17" s="4">
        <f t="shared" si="30"/>
        <v>1.4898612371453047E-4</v>
      </c>
      <c r="AQ17" s="4">
        <f t="shared" si="31"/>
        <v>1.4366250478899039E-4</v>
      </c>
      <c r="AR17" s="4">
        <f t="shared" si="32"/>
        <v>1.3968649560381588E-4</v>
      </c>
    </row>
    <row r="18" spans="1:44" x14ac:dyDescent="0.25">
      <c r="A18" s="4" t="s">
        <v>51</v>
      </c>
      <c r="B18" s="4">
        <v>16.875223280376701</v>
      </c>
      <c r="C18" s="4">
        <v>74.169745066971799</v>
      </c>
      <c r="D18" s="4">
        <v>173.75516871488699</v>
      </c>
      <c r="E18" s="4">
        <v>304.96836329108402</v>
      </c>
      <c r="F18" s="4">
        <v>454.32291602804099</v>
      </c>
      <c r="G18" s="4">
        <v>609.85254413372604</v>
      </c>
      <c r="H18" s="4">
        <v>762.55200336537496</v>
      </c>
      <c r="I18" s="4">
        <v>906.42685816020105</v>
      </c>
      <c r="J18" s="4">
        <v>1037.9937226909101</v>
      </c>
      <c r="K18" s="4">
        <v>1155.6488035662101</v>
      </c>
      <c r="M18" s="4">
        <f t="shared" si="3"/>
        <v>168.75223280376701</v>
      </c>
      <c r="N18" s="4">
        <f t="shared" si="4"/>
        <v>572.94521786595101</v>
      </c>
      <c r="O18" s="4">
        <f t="shared" si="5"/>
        <v>995.85423647915195</v>
      </c>
      <c r="P18" s="4">
        <f t="shared" si="6"/>
        <v>1312.1319457619702</v>
      </c>
      <c r="Q18" s="4">
        <f t="shared" si="7"/>
        <v>1493.5455273695698</v>
      </c>
      <c r="R18" s="4">
        <f t="shared" si="8"/>
        <v>1555.2962810568506</v>
      </c>
      <c r="S18" s="4">
        <f t="shared" si="9"/>
        <v>1526.9945923164892</v>
      </c>
      <c r="T18" s="4">
        <f t="shared" si="10"/>
        <v>1438.7485479482609</v>
      </c>
      <c r="U18" s="4">
        <f t="shared" si="11"/>
        <v>1315.6686453070904</v>
      </c>
      <c r="V18" s="4">
        <f t="shared" si="12"/>
        <v>1176.5508087529997</v>
      </c>
      <c r="X18" s="4">
        <f t="shared" si="13"/>
        <v>2.1686822463406124</v>
      </c>
      <c r="Y18" s="4">
        <f t="shared" si="14"/>
        <v>6.1133604798477412</v>
      </c>
      <c r="Z18" s="4">
        <f t="shared" si="15"/>
        <v>11.093731932729318</v>
      </c>
      <c r="AA18" s="4">
        <f t="shared" si="16"/>
        <v>16.447489090625147</v>
      </c>
      <c r="AB18" s="4">
        <f t="shared" si="17"/>
        <v>21.740849263092468</v>
      </c>
      <c r="AC18" s="4">
        <f t="shared" si="18"/>
        <v>26.716443401727432</v>
      </c>
      <c r="AD18" s="4">
        <f t="shared" si="19"/>
        <v>31.239917707894179</v>
      </c>
      <c r="AE18" s="4">
        <f t="shared" si="20"/>
        <v>35.257717249005871</v>
      </c>
      <c r="AF18" s="4">
        <f t="shared" si="21"/>
        <v>38.766586658554992</v>
      </c>
      <c r="AG18" s="4">
        <f t="shared" si="22"/>
        <v>41.792597712290764</v>
      </c>
      <c r="AI18" s="4">
        <f t="shared" si="23"/>
        <v>1.1273052901642781E-3</v>
      </c>
      <c r="AJ18" s="4">
        <f t="shared" si="24"/>
        <v>7.2301676476101769E-4</v>
      </c>
      <c r="AK18" s="4">
        <f t="shared" si="25"/>
        <v>5.6006068035925941E-4</v>
      </c>
      <c r="AL18" s="4">
        <f t="shared" si="26"/>
        <v>4.7308585892725965E-4</v>
      </c>
      <c r="AM18" s="4">
        <f t="shared" si="27"/>
        <v>4.1976575984655807E-4</v>
      </c>
      <c r="AN18" s="4">
        <f t="shared" si="28"/>
        <v>3.8428103471259965E-4</v>
      </c>
      <c r="AO18" s="4">
        <f t="shared" si="29"/>
        <v>3.5936482318494147E-4</v>
      </c>
      <c r="AP18" s="4">
        <f t="shared" si="30"/>
        <v>3.412059326113283E-4</v>
      </c>
      <c r="AQ18" s="4">
        <f t="shared" si="31"/>
        <v>3.2761063026956656E-4</v>
      </c>
      <c r="AR18" s="4">
        <f t="shared" si="32"/>
        <v>3.1722590218329809E-4</v>
      </c>
    </row>
    <row r="19" spans="1:44" x14ac:dyDescent="0.25">
      <c r="A19" s="4" t="s">
        <v>53</v>
      </c>
      <c r="B19" s="4">
        <v>402.23278147314301</v>
      </c>
      <c r="C19" s="4">
        <v>1610.7501282703699</v>
      </c>
      <c r="D19" s="4">
        <v>2933.2258274516698</v>
      </c>
      <c r="E19" s="4">
        <v>3995.1058159756399</v>
      </c>
      <c r="F19" s="4">
        <v>4740.5802713826297</v>
      </c>
      <c r="G19" s="4">
        <v>5229.5437102732903</v>
      </c>
      <c r="H19" s="4">
        <v>5538.5848102382897</v>
      </c>
      <c r="I19" s="4">
        <v>5729.8367202816298</v>
      </c>
      <c r="J19" s="4">
        <v>5846.7532441945204</v>
      </c>
      <c r="K19" s="4">
        <v>5917.7130594567998</v>
      </c>
      <c r="M19" s="4">
        <f t="shared" si="3"/>
        <v>4022.32781473143</v>
      </c>
      <c r="N19" s="4">
        <f t="shared" si="4"/>
        <v>12085.17346797227</v>
      </c>
      <c r="O19" s="4">
        <f t="shared" si="5"/>
        <v>13224.756991812999</v>
      </c>
      <c r="P19" s="4">
        <f t="shared" si="6"/>
        <v>10618.7998852397</v>
      </c>
      <c r="Q19" s="4">
        <f t="shared" si="7"/>
        <v>7454.7445540698982</v>
      </c>
      <c r="R19" s="4">
        <f t="shared" si="8"/>
        <v>4889.6343889066065</v>
      </c>
      <c r="S19" s="4">
        <f t="shared" si="9"/>
        <v>3090.4109996499938</v>
      </c>
      <c r="T19" s="4">
        <f t="shared" si="10"/>
        <v>1912.519100433401</v>
      </c>
      <c r="U19" s="4">
        <f t="shared" si="11"/>
        <v>1169.1652391289063</v>
      </c>
      <c r="V19" s="4">
        <f t="shared" si="12"/>
        <v>709.59815262279335</v>
      </c>
      <c r="X19" s="4">
        <f t="shared" si="13"/>
        <v>19.964363940267781</v>
      </c>
      <c r="Y19" s="4">
        <f t="shared" si="14"/>
        <v>52.727960943358134</v>
      </c>
      <c r="Z19" s="4">
        <f t="shared" si="15"/>
        <v>80.216388441174573</v>
      </c>
      <c r="AA19" s="4">
        <f t="shared" si="16"/>
        <v>99.584341377013033</v>
      </c>
      <c r="AB19" s="4">
        <f t="shared" si="17"/>
        <v>112.25438324324615</v>
      </c>
      <c r="AC19" s="4">
        <f t="shared" si="18"/>
        <v>120.23915426170754</v>
      </c>
      <c r="AD19" s="4">
        <f t="shared" si="19"/>
        <v>125.17004890634433</v>
      </c>
      <c r="AE19" s="4">
        <f t="shared" si="20"/>
        <v>128.18016524956178</v>
      </c>
      <c r="AF19" s="4">
        <f t="shared" si="21"/>
        <v>130.00545944291011</v>
      </c>
      <c r="AG19" s="4">
        <f t="shared" si="22"/>
        <v>131.10793793980514</v>
      </c>
      <c r="AI19" s="4">
        <f t="shared" si="23"/>
        <v>4.353847014523511E-4</v>
      </c>
      <c r="AJ19" s="4">
        <f t="shared" si="24"/>
        <v>2.8714942502224992E-4</v>
      </c>
      <c r="AK19" s="4">
        <f t="shared" si="25"/>
        <v>2.3989033629813006E-4</v>
      </c>
      <c r="AL19" s="4">
        <f t="shared" si="26"/>
        <v>2.1865424707680664E-4</v>
      </c>
      <c r="AM19" s="4">
        <f t="shared" si="27"/>
        <v>2.0771456571538747E-4</v>
      </c>
      <c r="AN19" s="4">
        <f t="shared" si="28"/>
        <v>2.0168670189644379E-4</v>
      </c>
      <c r="AO19" s="4">
        <f t="shared" si="29"/>
        <v>1.9824249745417047E-4</v>
      </c>
      <c r="AP19" s="4">
        <f t="shared" si="30"/>
        <v>1.9623376186094442E-4</v>
      </c>
      <c r="AQ19" s="4">
        <f t="shared" si="31"/>
        <v>1.9504821212959849E-4</v>
      </c>
      <c r="AR19" s="4">
        <f t="shared" si="32"/>
        <v>1.9434359515168681E-4</v>
      </c>
    </row>
    <row r="20" spans="1:44" x14ac:dyDescent="0.25">
      <c r="A20" s="4" t="s">
        <v>55</v>
      </c>
      <c r="B20" s="4">
        <v>234.429072907239</v>
      </c>
      <c r="C20" s="4">
        <v>1883.0392439115301</v>
      </c>
      <c r="D20" s="4">
        <v>5798.4120080569801</v>
      </c>
      <c r="E20" s="4">
        <v>12275.1796721554</v>
      </c>
      <c r="F20" s="4">
        <v>21261.9490675122</v>
      </c>
      <c r="G20" s="4">
        <v>32506.6020397961</v>
      </c>
      <c r="H20" s="4">
        <v>45653.959655691397</v>
      </c>
      <c r="I20" s="4">
        <v>60309.793851490998</v>
      </c>
      <c r="J20" s="4">
        <v>76081.301993340006</v>
      </c>
      <c r="K20" s="4">
        <v>92601.324791854</v>
      </c>
      <c r="M20" s="4">
        <f t="shared" si="3"/>
        <v>2344.2907290723901</v>
      </c>
      <c r="N20" s="4">
        <f t="shared" si="4"/>
        <v>16486.101710042909</v>
      </c>
      <c r="O20" s="4">
        <f t="shared" si="5"/>
        <v>39153.727641454498</v>
      </c>
      <c r="P20" s="4">
        <f t="shared" si="6"/>
        <v>64767.676640984202</v>
      </c>
      <c r="Q20" s="4">
        <f t="shared" si="7"/>
        <v>89867.693953567999</v>
      </c>
      <c r="R20" s="4">
        <f t="shared" si="8"/>
        <v>112446.52972283901</v>
      </c>
      <c r="S20" s="4">
        <f t="shared" si="9"/>
        <v>131473.57615895296</v>
      </c>
      <c r="T20" s="4">
        <f t="shared" si="10"/>
        <v>146558.34195799602</v>
      </c>
      <c r="U20" s="4">
        <f t="shared" si="11"/>
        <v>157715.0814184901</v>
      </c>
      <c r="V20" s="4">
        <f t="shared" si="12"/>
        <v>165200.22798513994</v>
      </c>
      <c r="X20" s="4">
        <f t="shared" si="13"/>
        <v>13.681360411076222</v>
      </c>
      <c r="Y20" s="4">
        <f t="shared" si="14"/>
        <v>58.819701269912585</v>
      </c>
      <c r="Z20" s="4">
        <f t="shared" si="15"/>
        <v>129.25209896184609</v>
      </c>
      <c r="AA20" s="4">
        <f t="shared" si="16"/>
        <v>218.49462365455517</v>
      </c>
      <c r="AB20" s="4">
        <f t="shared" si="17"/>
        <v>320.95445343010437</v>
      </c>
      <c r="AC20" s="4">
        <f t="shared" si="18"/>
        <v>432.01751734672308</v>
      </c>
      <c r="AD20" s="4">
        <f t="shared" si="19"/>
        <v>547.96922733274687</v>
      </c>
      <c r="AE20" s="4">
        <f t="shared" si="20"/>
        <v>665.87505476202693</v>
      </c>
      <c r="AF20" s="4">
        <f t="shared" si="21"/>
        <v>783.45816320655968</v>
      </c>
      <c r="AG20" s="4">
        <f t="shared" si="22"/>
        <v>898.98675800736396</v>
      </c>
      <c r="AI20" s="4">
        <f t="shared" si="23"/>
        <v>5.1193280740388614E-4</v>
      </c>
      <c r="AJ20" s="4">
        <f t="shared" si="24"/>
        <v>2.7400506575187429E-4</v>
      </c>
      <c r="AK20" s="4">
        <f t="shared" si="25"/>
        <v>1.955346291700488E-4</v>
      </c>
      <c r="AL20" s="4">
        <f t="shared" si="26"/>
        <v>1.5613779650731357E-4</v>
      </c>
      <c r="AM20" s="4">
        <f t="shared" si="27"/>
        <v>1.3241448060240119E-4</v>
      </c>
      <c r="AN20" s="4">
        <f t="shared" si="28"/>
        <v>1.1658023623961848E-4</v>
      </c>
      <c r="AO20" s="4">
        <f t="shared" si="29"/>
        <v>1.0528654347690875E-4</v>
      </c>
      <c r="AP20" s="4">
        <f t="shared" si="30"/>
        <v>9.6850094806849989E-5</v>
      </c>
      <c r="AQ20" s="4">
        <f t="shared" si="31"/>
        <v>9.0330210551987071E-5</v>
      </c>
      <c r="AR20" s="4">
        <f t="shared" si="32"/>
        <v>8.5159135381444E-5</v>
      </c>
    </row>
    <row r="21" spans="1:44" x14ac:dyDescent="0.25">
      <c r="A21" s="4" t="s">
        <v>57</v>
      </c>
      <c r="B21" s="4">
        <v>6872.5135956324402</v>
      </c>
      <c r="C21" s="4">
        <v>15544.47963297</v>
      </c>
      <c r="D21" s="4">
        <v>19156.3287866639</v>
      </c>
      <c r="E21" s="4">
        <v>20346.2707536491</v>
      </c>
      <c r="F21" s="4">
        <v>20714.247398682699</v>
      </c>
      <c r="G21" s="4">
        <v>20825.9568525205</v>
      </c>
      <c r="H21" s="4">
        <v>20859.682889169901</v>
      </c>
      <c r="I21" s="4">
        <v>20869.8482215125</v>
      </c>
      <c r="J21" s="4">
        <v>20872.910618231301</v>
      </c>
      <c r="K21" s="4">
        <v>20873.833054045299</v>
      </c>
      <c r="M21" s="4">
        <f t="shared" si="3"/>
        <v>68725.135956324404</v>
      </c>
      <c r="N21" s="4">
        <f t="shared" si="4"/>
        <v>86719.660373375591</v>
      </c>
      <c r="O21" s="4">
        <f t="shared" si="5"/>
        <v>36118.491536939</v>
      </c>
      <c r="P21" s="4">
        <f t="shared" si="6"/>
        <v>11899.419669851995</v>
      </c>
      <c r="Q21" s="4">
        <f t="shared" si="7"/>
        <v>3679.766450335992</v>
      </c>
      <c r="R21" s="4">
        <f t="shared" si="8"/>
        <v>1117.0945383780054</v>
      </c>
      <c r="S21" s="4">
        <f t="shared" si="9"/>
        <v>337.26036649401067</v>
      </c>
      <c r="T21" s="4">
        <f t="shared" si="10"/>
        <v>101.65332342599868</v>
      </c>
      <c r="U21" s="4">
        <f t="shared" si="11"/>
        <v>30.623967188003007</v>
      </c>
      <c r="V21" s="4">
        <f t="shared" si="12"/>
        <v>9.2243581399816321</v>
      </c>
      <c r="X21" s="4">
        <f t="shared" si="13"/>
        <v>145.58015588660834</v>
      </c>
      <c r="Y21" s="4">
        <f t="shared" si="14"/>
        <v>257.76537929629507</v>
      </c>
      <c r="Z21" s="4">
        <f t="shared" si="15"/>
        <v>298.35948743433153</v>
      </c>
      <c r="AA21" s="4">
        <f t="shared" si="16"/>
        <v>311.21507690971293</v>
      </c>
      <c r="AB21" s="4">
        <f t="shared" si="17"/>
        <v>315.14445200761139</v>
      </c>
      <c r="AC21" s="4">
        <f t="shared" si="18"/>
        <v>316.33316726717965</v>
      </c>
      <c r="AD21" s="4">
        <f t="shared" si="19"/>
        <v>316.69167429886346</v>
      </c>
      <c r="AE21" s="4">
        <f t="shared" si="20"/>
        <v>316.7996974459362</v>
      </c>
      <c r="AF21" s="4">
        <f t="shared" si="21"/>
        <v>316.83223728492828</v>
      </c>
      <c r="AG21" s="4">
        <f t="shared" si="22"/>
        <v>316.84203844919853</v>
      </c>
      <c r="AI21" s="4">
        <f t="shared" si="23"/>
        <v>1.8581540705828474E-4</v>
      </c>
      <c r="AJ21" s="4">
        <f t="shared" si="24"/>
        <v>1.4545998783984621E-4</v>
      </c>
      <c r="AK21" s="4">
        <f t="shared" si="25"/>
        <v>1.3662265434116373E-4</v>
      </c>
      <c r="AL21" s="4">
        <f t="shared" si="26"/>
        <v>1.3417480028903402E-4</v>
      </c>
      <c r="AM21" s="4">
        <f t="shared" si="27"/>
        <v>1.3345524770484431E-4</v>
      </c>
      <c r="AN21" s="4">
        <f t="shared" si="28"/>
        <v>1.3324008899562821E-4</v>
      </c>
      <c r="AO21" s="4">
        <f t="shared" si="29"/>
        <v>1.3317542542388264E-4</v>
      </c>
      <c r="AP21" s="4">
        <f t="shared" si="30"/>
        <v>1.3315596189020289E-4</v>
      </c>
      <c r="AQ21" s="4">
        <f t="shared" si="31"/>
        <v>1.3315010074324175E-4</v>
      </c>
      <c r="AR21" s="4">
        <f t="shared" si="32"/>
        <v>1.3314833550461544E-4</v>
      </c>
    </row>
    <row r="22" spans="1:44" x14ac:dyDescent="0.25">
      <c r="A22" s="4" t="s">
        <v>59</v>
      </c>
      <c r="B22" s="4">
        <v>20730.347330531298</v>
      </c>
      <c r="C22" s="4">
        <v>151489.89282976801</v>
      </c>
      <c r="D22" s="4">
        <v>414721.78367483697</v>
      </c>
      <c r="E22" s="4">
        <v>777678.15187561396</v>
      </c>
      <c r="F22" s="4">
        <v>1195505.75956308</v>
      </c>
      <c r="G22" s="4">
        <v>1629150.9380926799</v>
      </c>
      <c r="H22" s="4">
        <v>2050457.0287367499</v>
      </c>
      <c r="I22" s="4">
        <v>2441803.27154847</v>
      </c>
      <c r="J22" s="4">
        <v>2793905.1127768699</v>
      </c>
      <c r="K22" s="4">
        <v>3103375.3625544999</v>
      </c>
      <c r="M22" s="4">
        <f t="shared" si="3"/>
        <v>207303.47330531297</v>
      </c>
      <c r="N22" s="4">
        <f t="shared" si="4"/>
        <v>1307595.4549923672</v>
      </c>
      <c r="O22" s="4">
        <f t="shared" si="5"/>
        <v>2632318.9084506896</v>
      </c>
      <c r="P22" s="4">
        <f t="shared" si="6"/>
        <v>3629563.6820077701</v>
      </c>
      <c r="Q22" s="4">
        <f t="shared" si="7"/>
        <v>4178276.0768746608</v>
      </c>
      <c r="R22" s="4">
        <f t="shared" si="8"/>
        <v>4336451.7852959987</v>
      </c>
      <c r="S22" s="4">
        <f t="shared" si="9"/>
        <v>4213060.9064406995</v>
      </c>
      <c r="T22" s="4">
        <f t="shared" si="10"/>
        <v>3913462.4281172012</v>
      </c>
      <c r="U22" s="4">
        <f t="shared" si="11"/>
        <v>3521018.4122839989</v>
      </c>
      <c r="V22" s="4">
        <f t="shared" si="12"/>
        <v>3094702.4977762997</v>
      </c>
      <c r="X22" s="4">
        <f t="shared" si="13"/>
        <v>315.3158919318808</v>
      </c>
      <c r="Y22" s="4">
        <f t="shared" si="14"/>
        <v>1268.7902000693516</v>
      </c>
      <c r="Z22" s="4">
        <f t="shared" si="15"/>
        <v>2567.740009302966</v>
      </c>
      <c r="AA22" s="4">
        <f t="shared" si="16"/>
        <v>3987.3208468633784</v>
      </c>
      <c r="AB22" s="4">
        <f t="shared" si="17"/>
        <v>5387.7498767617844</v>
      </c>
      <c r="AC22" s="4">
        <f t="shared" si="18"/>
        <v>6691.0485435591572</v>
      </c>
      <c r="AD22" s="4">
        <f t="shared" si="19"/>
        <v>7859.8946549394877</v>
      </c>
      <c r="AE22" s="4">
        <f t="shared" si="20"/>
        <v>8882.1627094301311</v>
      </c>
      <c r="AF22" s="4">
        <f t="shared" si="21"/>
        <v>9760.4403447791301</v>
      </c>
      <c r="AG22" s="4">
        <f t="shared" si="22"/>
        <v>10505.222866105194</v>
      </c>
      <c r="AI22" s="4">
        <f t="shared" si="23"/>
        <v>1.3342414540840004E-4</v>
      </c>
      <c r="AJ22" s="4">
        <f t="shared" si="24"/>
        <v>7.3468522481603903E-5</v>
      </c>
      <c r="AK22" s="4">
        <f t="shared" si="25"/>
        <v>5.4311193807423081E-5</v>
      </c>
      <c r="AL22" s="4">
        <f t="shared" si="26"/>
        <v>4.4975544924773235E-5</v>
      </c>
      <c r="AM22" s="4">
        <f t="shared" si="27"/>
        <v>3.9532192507810359E-5</v>
      </c>
      <c r="AN22" s="4">
        <f t="shared" si="28"/>
        <v>3.6026992284428674E-5</v>
      </c>
      <c r="AO22" s="4">
        <f t="shared" si="29"/>
        <v>3.3624915506788809E-5</v>
      </c>
      <c r="AP22" s="4">
        <f t="shared" si="30"/>
        <v>3.1908265864533913E-5</v>
      </c>
      <c r="AQ22" s="4">
        <f t="shared" si="31"/>
        <v>3.0644525961056921E-5</v>
      </c>
      <c r="AR22" s="4">
        <f t="shared" si="32"/>
        <v>2.9693822695363448E-5</v>
      </c>
    </row>
    <row r="23" spans="1:44" x14ac:dyDescent="0.25">
      <c r="A23" s="4" t="s">
        <v>61</v>
      </c>
      <c r="B23" s="4">
        <v>10.1227900451184</v>
      </c>
      <c r="C23" s="4">
        <v>214.70723625512099</v>
      </c>
      <c r="D23" s="4">
        <v>673.45904461552902</v>
      </c>
      <c r="E23" s="4">
        <v>1253.47805649871</v>
      </c>
      <c r="F23" s="4">
        <v>1836.7532808117301</v>
      </c>
      <c r="G23" s="4">
        <v>2357.9868806325198</v>
      </c>
      <c r="H23" s="4">
        <v>2792.66870862207</v>
      </c>
      <c r="I23" s="4">
        <v>3139.7314533725998</v>
      </c>
      <c r="J23" s="4">
        <v>3409.0035287170799</v>
      </c>
      <c r="K23" s="4">
        <v>3613.8950523296899</v>
      </c>
      <c r="M23" s="4">
        <f t="shared" si="3"/>
        <v>101.227900451184</v>
      </c>
      <c r="N23" s="4">
        <f t="shared" si="4"/>
        <v>2045.844462100026</v>
      </c>
      <c r="O23" s="4">
        <f t="shared" si="5"/>
        <v>4587.5180836040809</v>
      </c>
      <c r="P23" s="4">
        <f t="shared" si="6"/>
        <v>5800.1901188318097</v>
      </c>
      <c r="Q23" s="4">
        <f t="shared" si="7"/>
        <v>5832.7522431302004</v>
      </c>
      <c r="R23" s="4">
        <f t="shared" si="8"/>
        <v>5212.3359982078982</v>
      </c>
      <c r="S23" s="4">
        <f t="shared" si="9"/>
        <v>4346.8182798955013</v>
      </c>
      <c r="T23" s="4">
        <f t="shared" si="10"/>
        <v>3470.6274475052987</v>
      </c>
      <c r="U23" s="4">
        <f t="shared" si="11"/>
        <v>2692.7207534448007</v>
      </c>
      <c r="V23" s="4">
        <f t="shared" si="12"/>
        <v>2048.9152361260994</v>
      </c>
      <c r="X23" s="4">
        <f t="shared" si="13"/>
        <v>1.5164615920023319</v>
      </c>
      <c r="Y23" s="4">
        <f t="shared" si="14"/>
        <v>12.865122678429382</v>
      </c>
      <c r="Z23" s="4">
        <f t="shared" si="15"/>
        <v>28.637762803302206</v>
      </c>
      <c r="AA23" s="4">
        <f t="shared" si="16"/>
        <v>44.238762475074417</v>
      </c>
      <c r="AB23" s="4">
        <f t="shared" si="17"/>
        <v>57.803858827227288</v>
      </c>
      <c r="AC23" s="4">
        <f t="shared" si="18"/>
        <v>68.849410138299064</v>
      </c>
      <c r="AD23" s="4">
        <f t="shared" si="19"/>
        <v>77.505915035878715</v>
      </c>
      <c r="AE23" s="4">
        <f t="shared" si="20"/>
        <v>84.129054358893811</v>
      </c>
      <c r="AF23" s="4">
        <f t="shared" si="21"/>
        <v>89.116981964321738</v>
      </c>
      <c r="AG23" s="4">
        <f t="shared" si="22"/>
        <v>92.833372977437222</v>
      </c>
      <c r="AI23" s="4">
        <f t="shared" si="23"/>
        <v>1.3140937041465166E-3</v>
      </c>
      <c r="AJ23" s="4">
        <f t="shared" si="24"/>
        <v>5.2560852297247305E-4</v>
      </c>
      <c r="AK23" s="4">
        <f t="shared" si="25"/>
        <v>3.7301220861383512E-4</v>
      </c>
      <c r="AL23" s="4">
        <f t="shared" si="26"/>
        <v>3.0958604974764669E-4</v>
      </c>
      <c r="AM23" s="4">
        <f t="shared" si="27"/>
        <v>2.7605852049830394E-4</v>
      </c>
      <c r="AN23" s="4">
        <f t="shared" si="28"/>
        <v>2.5612618931688072E-4</v>
      </c>
      <c r="AO23" s="4">
        <f t="shared" si="29"/>
        <v>2.4345044780431699E-4</v>
      </c>
      <c r="AP23" s="4">
        <f t="shared" si="30"/>
        <v>2.3504372014052975E-4</v>
      </c>
      <c r="AQ23" s="4">
        <f t="shared" si="31"/>
        <v>2.2931273182398974E-4</v>
      </c>
      <c r="AR23" s="4">
        <f t="shared" si="32"/>
        <v>2.2533245192343356E-4</v>
      </c>
    </row>
    <row r="24" spans="1:44" x14ac:dyDescent="0.25">
      <c r="A24" s="4" t="s">
        <v>63</v>
      </c>
      <c r="B24" s="4">
        <v>4820.19121084997</v>
      </c>
      <c r="C24" s="4">
        <v>9671.9055879065509</v>
      </c>
      <c r="D24" s="4">
        <v>11222.0764773595</v>
      </c>
      <c r="E24" s="4">
        <v>11624.549723390501</v>
      </c>
      <c r="F24" s="4">
        <v>11724.274403814799</v>
      </c>
      <c r="G24" s="4">
        <v>11748.709223178401</v>
      </c>
      <c r="H24" s="4">
        <v>11754.680055029499</v>
      </c>
      <c r="I24" s="4">
        <v>11756.1381056478</v>
      </c>
      <c r="J24" s="4">
        <v>11756.4940975188</v>
      </c>
      <c r="K24" s="4">
        <v>11756.581011652001</v>
      </c>
      <c r="M24" s="4">
        <f t="shared" si="3"/>
        <v>48201.912108499702</v>
      </c>
      <c r="N24" s="4">
        <f t="shared" si="4"/>
        <v>48517.14377056581</v>
      </c>
      <c r="O24" s="4">
        <f t="shared" si="5"/>
        <v>15501.708894529493</v>
      </c>
      <c r="P24" s="4">
        <f t="shared" si="6"/>
        <v>4024.732460310006</v>
      </c>
      <c r="Q24" s="4">
        <f t="shared" si="7"/>
        <v>997.2468042429864</v>
      </c>
      <c r="R24" s="4">
        <f t="shared" si="8"/>
        <v>244.34819363601491</v>
      </c>
      <c r="S24" s="4">
        <f t="shared" si="9"/>
        <v>59.7083185109841</v>
      </c>
      <c r="T24" s="4">
        <f t="shared" si="10"/>
        <v>14.580506183010584</v>
      </c>
      <c r="U24" s="4">
        <f t="shared" si="11"/>
        <v>3.5599187099978735</v>
      </c>
      <c r="V24" s="4">
        <f t="shared" si="12"/>
        <v>0.86914133200480137</v>
      </c>
      <c r="X24" s="4">
        <f t="shared" si="13"/>
        <v>113.57068396166031</v>
      </c>
      <c r="Y24" s="4">
        <f t="shared" si="14"/>
        <v>184.91821334100109</v>
      </c>
      <c r="Z24" s="4">
        <f t="shared" si="15"/>
        <v>205.19771085148358</v>
      </c>
      <c r="AA24" s="4">
        <f t="shared" si="16"/>
        <v>210.32192709021848</v>
      </c>
      <c r="AB24" s="4">
        <f t="shared" si="17"/>
        <v>211.58332456570886</v>
      </c>
      <c r="AC24" s="4">
        <f t="shared" si="18"/>
        <v>211.89190399258479</v>
      </c>
      <c r="AD24" s="4">
        <f t="shared" si="19"/>
        <v>211.96727841340333</v>
      </c>
      <c r="AE24" s="4">
        <f t="shared" si="20"/>
        <v>211.98568276715037</v>
      </c>
      <c r="AF24" s="4">
        <f t="shared" si="21"/>
        <v>211.99017619734551</v>
      </c>
      <c r="AG24" s="4">
        <f t="shared" si="22"/>
        <v>211.991273245945</v>
      </c>
      <c r="AI24" s="4">
        <f t="shared" si="23"/>
        <v>2.0667936732398924E-4</v>
      </c>
      <c r="AJ24" s="4">
        <f t="shared" si="24"/>
        <v>1.6771147898080664E-4</v>
      </c>
      <c r="AK24" s="4">
        <f t="shared" si="25"/>
        <v>1.6039633336854451E-4</v>
      </c>
      <c r="AL24" s="4">
        <f t="shared" si="26"/>
        <v>1.5870973318558878E-4</v>
      </c>
      <c r="AM24" s="4">
        <f t="shared" si="27"/>
        <v>1.5830353429239943E-4</v>
      </c>
      <c r="AN24" s="4">
        <f t="shared" si="28"/>
        <v>1.5820469099266874E-4</v>
      </c>
      <c r="AO24" s="4">
        <f t="shared" si="29"/>
        <v>1.5818057851349805E-4</v>
      </c>
      <c r="AP24" s="4">
        <f t="shared" si="30"/>
        <v>1.5817469277192649E-4</v>
      </c>
      <c r="AQ24" s="4">
        <f t="shared" si="31"/>
        <v>1.5817325587668023E-4</v>
      </c>
      <c r="AR24" s="4">
        <f t="shared" si="32"/>
        <v>1.5817290507247133E-4</v>
      </c>
    </row>
    <row r="25" spans="1:44" x14ac:dyDescent="0.25">
      <c r="A25" s="4" t="s">
        <v>65</v>
      </c>
      <c r="B25" s="4">
        <v>17317.0191458585</v>
      </c>
      <c r="C25" s="4">
        <v>23305.4034496612</v>
      </c>
      <c r="D25" s="4">
        <v>24123.1954553697</v>
      </c>
      <c r="E25" s="4">
        <v>24224.6557473311</v>
      </c>
      <c r="F25" s="4">
        <v>24237.100043923601</v>
      </c>
      <c r="G25" s="4">
        <v>24238.624225591</v>
      </c>
      <c r="H25" s="4">
        <v>24238.810875896299</v>
      </c>
      <c r="I25" s="4">
        <v>24238.833732493</v>
      </c>
      <c r="J25" s="4">
        <v>24238.836531431101</v>
      </c>
      <c r="K25" s="4">
        <v>24238.836874179098</v>
      </c>
      <c r="M25" s="4">
        <f t="shared" si="3"/>
        <v>173170.191458585</v>
      </c>
      <c r="N25" s="4">
        <f t="shared" si="4"/>
        <v>59883.843038027007</v>
      </c>
      <c r="O25" s="4">
        <f t="shared" si="5"/>
        <v>8177.9200570849935</v>
      </c>
      <c r="P25" s="4">
        <f t="shared" si="6"/>
        <v>1014.602919614008</v>
      </c>
      <c r="Q25" s="4">
        <f t="shared" si="7"/>
        <v>124.44296592500905</v>
      </c>
      <c r="R25" s="4">
        <f t="shared" si="8"/>
        <v>15.241816673988069</v>
      </c>
      <c r="S25" s="4">
        <f t="shared" si="9"/>
        <v>1.8665030529882642</v>
      </c>
      <c r="T25" s="4">
        <f t="shared" si="10"/>
        <v>0.22856596700876253</v>
      </c>
      <c r="U25" s="4">
        <f t="shared" si="11"/>
        <v>2.7989381014776882E-2</v>
      </c>
      <c r="V25" s="4">
        <f t="shared" si="12"/>
        <v>3.4274799691047519E-3</v>
      </c>
      <c r="X25" s="4">
        <f t="shared" si="13"/>
        <v>278.004900009165</v>
      </c>
      <c r="Y25" s="4">
        <f t="shared" si="14"/>
        <v>342.24797928331674</v>
      </c>
      <c r="Z25" s="4">
        <f t="shared" si="15"/>
        <v>350.61108254629011</v>
      </c>
      <c r="AA25" s="4">
        <f t="shared" si="16"/>
        <v>351.64268263878836</v>
      </c>
      <c r="AB25" s="4">
        <f t="shared" si="17"/>
        <v>351.76912101367907</v>
      </c>
      <c r="AC25" s="4">
        <f t="shared" si="18"/>
        <v>351.78460588979488</v>
      </c>
      <c r="AD25" s="4">
        <f t="shared" si="19"/>
        <v>351.78650213767344</v>
      </c>
      <c r="AE25" s="4">
        <f t="shared" si="20"/>
        <v>351.78673434579565</v>
      </c>
      <c r="AF25" s="4">
        <f t="shared" si="21"/>
        <v>351.78676278117706</v>
      </c>
      <c r="AG25" s="4">
        <f t="shared" si="22"/>
        <v>351.78676626327268</v>
      </c>
      <c r="AI25" s="4">
        <f t="shared" si="23"/>
        <v>1.4082328218409487E-4</v>
      </c>
      <c r="AJ25" s="4">
        <f t="shared" si="24"/>
        <v>1.2881884938640027E-4</v>
      </c>
      <c r="AK25" s="4">
        <f t="shared" si="25"/>
        <v>1.2749288615182048E-4</v>
      </c>
      <c r="AL25" s="4">
        <f t="shared" si="26"/>
        <v>1.2733245696454554E-4</v>
      </c>
      <c r="AM25" s="4">
        <f t="shared" si="27"/>
        <v>1.2731284016601006E-4</v>
      </c>
      <c r="AN25" s="4">
        <f t="shared" si="28"/>
        <v>1.2731043839395262E-4</v>
      </c>
      <c r="AO25" s="4">
        <f t="shared" si="29"/>
        <v>1.2731014428798718E-4</v>
      </c>
      <c r="AP25" s="4">
        <f t="shared" si="30"/>
        <v>1.2731010827291814E-4</v>
      </c>
      <c r="AQ25" s="4">
        <f t="shared" si="31"/>
        <v>1.2731010386264282E-4</v>
      </c>
      <c r="AR25" s="4">
        <f t="shared" si="32"/>
        <v>1.2731010332257627E-4</v>
      </c>
    </row>
    <row r="26" spans="1:44" x14ac:dyDescent="0.25">
      <c r="A26" s="4" t="s">
        <v>67</v>
      </c>
      <c r="B26" s="4">
        <v>1176.2750610965099</v>
      </c>
      <c r="C26" s="4">
        <v>2191.9044010914099</v>
      </c>
      <c r="D26" s="4">
        <v>3276.7715586321401</v>
      </c>
      <c r="E26" s="4">
        <v>4313.1617070381699</v>
      </c>
      <c r="F26" s="4">
        <v>5238.11683289142</v>
      </c>
      <c r="G26" s="4">
        <v>6027.7404759558603</v>
      </c>
      <c r="H26" s="4">
        <v>6681.6826022375999</v>
      </c>
      <c r="I26" s="4">
        <v>7211.8080450520501</v>
      </c>
      <c r="J26" s="4">
        <v>7635.0060603885604</v>
      </c>
      <c r="K26" s="4">
        <v>7969.0735816283805</v>
      </c>
      <c r="M26" s="4">
        <f t="shared" si="3"/>
        <v>11762.7506109651</v>
      </c>
      <c r="N26" s="4">
        <f t="shared" si="4"/>
        <v>10156.293399949</v>
      </c>
      <c r="O26" s="4">
        <f t="shared" si="5"/>
        <v>10848.671575407301</v>
      </c>
      <c r="P26" s="4">
        <f t="shared" si="6"/>
        <v>10363.901484060298</v>
      </c>
      <c r="Q26" s="4">
        <f t="shared" si="7"/>
        <v>9249.5512585325014</v>
      </c>
      <c r="R26" s="4">
        <f t="shared" si="8"/>
        <v>7896.2364306444033</v>
      </c>
      <c r="S26" s="4">
        <f t="shared" si="9"/>
        <v>6539.4212628173955</v>
      </c>
      <c r="T26" s="4">
        <f t="shared" si="10"/>
        <v>5301.2544281445025</v>
      </c>
      <c r="U26" s="4">
        <f t="shared" si="11"/>
        <v>4231.9801533651025</v>
      </c>
      <c r="V26" s="4">
        <f t="shared" si="12"/>
        <v>3340.6752123982005</v>
      </c>
      <c r="X26" s="4">
        <f t="shared" si="13"/>
        <v>42.313356524579966</v>
      </c>
      <c r="Y26" s="4">
        <f t="shared" si="14"/>
        <v>65.417867192109895</v>
      </c>
      <c r="Z26" s="4">
        <f t="shared" si="15"/>
        <v>86.682927582485817</v>
      </c>
      <c r="AA26" s="4">
        <f t="shared" si="16"/>
        <v>105.06988896112911</v>
      </c>
      <c r="AB26" s="4">
        <f t="shared" si="17"/>
        <v>120.3771013247447</v>
      </c>
      <c r="AC26" s="4">
        <f t="shared" si="18"/>
        <v>132.80959018490537</v>
      </c>
      <c r="AD26" s="4">
        <f t="shared" si="19"/>
        <v>142.73857076491308</v>
      </c>
      <c r="AE26" s="4">
        <f t="shared" si="20"/>
        <v>150.57475520861848</v>
      </c>
      <c r="AF26" s="4">
        <f t="shared" si="21"/>
        <v>156.70679376664552</v>
      </c>
      <c r="AG26" s="4">
        <f t="shared" si="22"/>
        <v>161.47553812318353</v>
      </c>
      <c r="AI26" s="4">
        <f t="shared" si="23"/>
        <v>3.1554676822720585E-4</v>
      </c>
      <c r="AJ26" s="4">
        <f t="shared" si="24"/>
        <v>2.6180016792517704E-4</v>
      </c>
      <c r="AK26" s="4">
        <f t="shared" si="25"/>
        <v>2.3205052416242172E-4</v>
      </c>
      <c r="AL26" s="4">
        <f t="shared" si="26"/>
        <v>2.1368679294762343E-4</v>
      </c>
      <c r="AM26" s="4">
        <f t="shared" si="27"/>
        <v>2.0158761612079271E-4</v>
      </c>
      <c r="AN26" s="4">
        <f t="shared" si="28"/>
        <v>1.9327248904922492E-4</v>
      </c>
      <c r="AO26" s="4">
        <f t="shared" si="29"/>
        <v>1.8739182935578253E-4</v>
      </c>
      <c r="AP26" s="4">
        <f t="shared" si="30"/>
        <v>1.8314841129842913E-4</v>
      </c>
      <c r="AQ26" s="4">
        <f t="shared" si="31"/>
        <v>1.8004190004311191E-4</v>
      </c>
      <c r="AR26" s="4">
        <f t="shared" si="32"/>
        <v>1.7774363284401009E-4</v>
      </c>
    </row>
    <row r="27" spans="1:44" x14ac:dyDescent="0.25">
      <c r="A27" s="4" t="s">
        <v>69</v>
      </c>
      <c r="B27" s="4">
        <v>37.864085409873503</v>
      </c>
      <c r="C27" s="4">
        <v>203.24410003527601</v>
      </c>
      <c r="D27" s="4">
        <v>480.35075739228199</v>
      </c>
      <c r="E27" s="4">
        <v>817.97862675809404</v>
      </c>
      <c r="F27" s="4">
        <v>1170.87006251772</v>
      </c>
      <c r="G27" s="4">
        <v>1508.6253739209601</v>
      </c>
      <c r="H27" s="4">
        <v>1814.3519330343599</v>
      </c>
      <c r="I27" s="4">
        <v>2080.8801435355699</v>
      </c>
      <c r="J27" s="4">
        <v>2307.1891335935302</v>
      </c>
      <c r="K27" s="4">
        <v>2495.7249250558998</v>
      </c>
      <c r="M27" s="4">
        <f t="shared" si="3"/>
        <v>378.64085409873502</v>
      </c>
      <c r="N27" s="4">
        <f t="shared" si="4"/>
        <v>1653.8001462540251</v>
      </c>
      <c r="O27" s="4">
        <f t="shared" si="5"/>
        <v>2771.06657357006</v>
      </c>
      <c r="P27" s="4">
        <f t="shared" si="6"/>
        <v>3376.2786936581206</v>
      </c>
      <c r="Q27" s="4">
        <f t="shared" si="7"/>
        <v>3528.9143575962598</v>
      </c>
      <c r="R27" s="4">
        <f t="shared" si="8"/>
        <v>3377.5531140324006</v>
      </c>
      <c r="S27" s="4">
        <f t="shared" si="9"/>
        <v>3057.2655911339984</v>
      </c>
      <c r="T27" s="4">
        <f t="shared" si="10"/>
        <v>2665.2821050120997</v>
      </c>
      <c r="U27" s="4">
        <f t="shared" si="11"/>
        <v>2263.0899005796027</v>
      </c>
      <c r="V27" s="4">
        <f t="shared" si="12"/>
        <v>1885.3579146236962</v>
      </c>
      <c r="X27" s="4">
        <f t="shared" si="13"/>
        <v>3.818391762866276</v>
      </c>
      <c r="Y27" s="4">
        <f t="shared" si="14"/>
        <v>12.380375520070867</v>
      </c>
      <c r="Z27" s="4">
        <f t="shared" si="15"/>
        <v>22.605399706302524</v>
      </c>
      <c r="AA27" s="4">
        <f t="shared" si="16"/>
        <v>32.812598458807912</v>
      </c>
      <c r="AB27" s="4">
        <f t="shared" si="17"/>
        <v>42.177161248496503</v>
      </c>
      <c r="AC27" s="4">
        <f t="shared" si="18"/>
        <v>50.364930649199017</v>
      </c>
      <c r="AD27" s="4">
        <f t="shared" si="19"/>
        <v>57.30946140224254</v>
      </c>
      <c r="AE27" s="4">
        <f t="shared" si="20"/>
        <v>63.080365484476943</v>
      </c>
      <c r="AF27" s="4">
        <f t="shared" si="21"/>
        <v>67.807774857283519</v>
      </c>
      <c r="AG27" s="4">
        <f t="shared" si="22"/>
        <v>71.640557394140103</v>
      </c>
      <c r="AI27" s="4">
        <f t="shared" si="23"/>
        <v>8.8460249928054926E-4</v>
      </c>
      <c r="AJ27" s="4">
        <f t="shared" si="24"/>
        <v>5.3433179730644307E-4</v>
      </c>
      <c r="AK27" s="4">
        <f t="shared" si="25"/>
        <v>4.1280871702240138E-4</v>
      </c>
      <c r="AL27" s="4">
        <f t="shared" si="26"/>
        <v>3.5187937878393535E-4</v>
      </c>
      <c r="AM27" s="4">
        <f t="shared" si="27"/>
        <v>3.1598305440952608E-4</v>
      </c>
      <c r="AN27" s="4">
        <f t="shared" si="28"/>
        <v>2.9284781027209621E-4</v>
      </c>
      <c r="AO27" s="4">
        <f t="shared" si="29"/>
        <v>2.7707666001883745E-4</v>
      </c>
      <c r="AP27" s="4">
        <f t="shared" si="30"/>
        <v>2.6591466166684503E-4</v>
      </c>
      <c r="AQ27" s="4">
        <f t="shared" si="31"/>
        <v>2.5780506415671255E-4</v>
      </c>
      <c r="AR27" s="4">
        <f t="shared" si="32"/>
        <v>2.5180096401841441E-4</v>
      </c>
    </row>
    <row r="28" spans="1:44" x14ac:dyDescent="0.25">
      <c r="A28" s="4" t="s">
        <v>71</v>
      </c>
      <c r="B28" s="4">
        <v>6.8228461520944297</v>
      </c>
      <c r="C28" s="4">
        <v>15.9157335636966</v>
      </c>
      <c r="D28" s="4">
        <v>26.0671915561019</v>
      </c>
      <c r="E28" s="4">
        <v>35.666277301254503</v>
      </c>
      <c r="F28" s="4">
        <v>43.9479196255839</v>
      </c>
      <c r="G28" s="4">
        <v>50.705430791325099</v>
      </c>
      <c r="H28" s="4">
        <v>56.024661510851402</v>
      </c>
      <c r="I28" s="4">
        <v>60.112290052321001</v>
      </c>
      <c r="J28" s="4">
        <v>63.202141783938799</v>
      </c>
      <c r="K28" s="4">
        <v>65.511093731334498</v>
      </c>
      <c r="M28" s="4">
        <f t="shared" si="3"/>
        <v>68.228461520944293</v>
      </c>
      <c r="N28" s="4">
        <f t="shared" si="4"/>
        <v>90.928874116021703</v>
      </c>
      <c r="O28" s="4">
        <f t="shared" si="5"/>
        <v>101.514579924053</v>
      </c>
      <c r="P28" s="4">
        <f t="shared" si="6"/>
        <v>95.99085745152604</v>
      </c>
      <c r="Q28" s="4">
        <f t="shared" si="7"/>
        <v>82.816423243293968</v>
      </c>
      <c r="R28" s="4">
        <f t="shared" si="8"/>
        <v>67.575111657411995</v>
      </c>
      <c r="S28" s="4">
        <f t="shared" si="9"/>
        <v>53.192307195263027</v>
      </c>
      <c r="T28" s="4">
        <f t="shared" si="10"/>
        <v>40.876285414695985</v>
      </c>
      <c r="U28" s="4">
        <f t="shared" si="11"/>
        <v>30.898517316177987</v>
      </c>
      <c r="V28" s="4">
        <f t="shared" si="12"/>
        <v>23.089519473956983</v>
      </c>
      <c r="X28" s="4">
        <f t="shared" si="13"/>
        <v>1.1505279132961128</v>
      </c>
      <c r="Y28" s="4">
        <f t="shared" si="14"/>
        <v>2.0816126426085413</v>
      </c>
      <c r="Z28" s="4">
        <f t="shared" si="15"/>
        <v>2.9402700834394282</v>
      </c>
      <c r="AA28" s="4">
        <f t="shared" si="16"/>
        <v>3.6618597103123323</v>
      </c>
      <c r="AB28" s="4">
        <f t="shared" si="17"/>
        <v>4.2381671390688958</v>
      </c>
      <c r="AC28" s="4">
        <f t="shared" si="18"/>
        <v>4.6844584205961493</v>
      </c>
      <c r="AD28" s="4">
        <f t="shared" si="19"/>
        <v>5.023272331577342</v>
      </c>
      <c r="AE28" s="4">
        <f t="shared" si="20"/>
        <v>5.2771026970304993</v>
      </c>
      <c r="AF28" s="4">
        <f t="shared" si="21"/>
        <v>5.4655454710601674</v>
      </c>
      <c r="AG28" s="4">
        <f t="shared" si="22"/>
        <v>5.6045616384376755</v>
      </c>
      <c r="AI28" s="4">
        <f t="shared" si="23"/>
        <v>1.4791994266988549E-3</v>
      </c>
      <c r="AJ28" s="4">
        <f t="shared" si="24"/>
        <v>1.1472773120889638E-3</v>
      </c>
      <c r="AK28" s="4">
        <f t="shared" si="25"/>
        <v>9.8943696261558035E-4</v>
      </c>
      <c r="AL28" s="4">
        <f t="shared" si="26"/>
        <v>9.0061477778951443E-4</v>
      </c>
      <c r="AM28" s="4">
        <f t="shared" si="27"/>
        <v>8.4593093473831491E-4</v>
      </c>
      <c r="AN28" s="4">
        <f t="shared" si="28"/>
        <v>8.1040117183217607E-4</v>
      </c>
      <c r="AO28" s="4">
        <f t="shared" si="29"/>
        <v>7.865070701716365E-4</v>
      </c>
      <c r="AP28" s="4">
        <f t="shared" si="30"/>
        <v>7.7006506481560894E-4</v>
      </c>
      <c r="AQ28" s="4">
        <f t="shared" si="31"/>
        <v>7.5857209853721691E-4</v>
      </c>
      <c r="AR28" s="4">
        <f t="shared" si="32"/>
        <v>7.5045032206948463E-4</v>
      </c>
    </row>
    <row r="29" spans="1:44" x14ac:dyDescent="0.25">
      <c r="A29" s="4" t="s">
        <v>73</v>
      </c>
      <c r="B29" s="4">
        <v>2158.3342115893201</v>
      </c>
      <c r="C29" s="4">
        <v>3914.5589295898299</v>
      </c>
      <c r="D29" s="4">
        <v>4432.5471343811896</v>
      </c>
      <c r="E29" s="4">
        <v>4561.3876348677204</v>
      </c>
      <c r="F29" s="4">
        <v>4592.2619634604598</v>
      </c>
      <c r="G29" s="4">
        <v>4599.5965772191203</v>
      </c>
      <c r="H29" s="4">
        <v>4601.3354535615799</v>
      </c>
      <c r="I29" s="4">
        <v>4601.7475035504503</v>
      </c>
      <c r="J29" s="4">
        <v>4601.8451331064898</v>
      </c>
      <c r="K29" s="4">
        <v>4601.8682644535002</v>
      </c>
      <c r="M29" s="4">
        <f t="shared" si="3"/>
        <v>21583.342115893203</v>
      </c>
      <c r="N29" s="4">
        <f t="shared" si="4"/>
        <v>17562.247180005099</v>
      </c>
      <c r="O29" s="4">
        <f t="shared" si="5"/>
        <v>5179.8820479135975</v>
      </c>
      <c r="P29" s="4">
        <f t="shared" si="6"/>
        <v>1288.405004865308</v>
      </c>
      <c r="Q29" s="4">
        <f t="shared" si="7"/>
        <v>308.74328592739403</v>
      </c>
      <c r="R29" s="4">
        <f t="shared" si="8"/>
        <v>73.346137586604527</v>
      </c>
      <c r="S29" s="4">
        <f t="shared" si="9"/>
        <v>17.388763424596618</v>
      </c>
      <c r="T29" s="4">
        <f t="shared" si="10"/>
        <v>4.1204998887042166</v>
      </c>
      <c r="U29" s="4">
        <f t="shared" si="11"/>
        <v>0.9762955603946466</v>
      </c>
      <c r="V29" s="4">
        <f t="shared" si="12"/>
        <v>0.23131347010348691</v>
      </c>
      <c r="X29" s="4">
        <f t="shared" si="13"/>
        <v>64.714908437990317</v>
      </c>
      <c r="Y29" s="4">
        <f t="shared" si="14"/>
        <v>98.174622370652145</v>
      </c>
      <c r="Z29" s="4">
        <f t="shared" si="15"/>
        <v>107.09732129269653</v>
      </c>
      <c r="AA29" s="4">
        <f t="shared" si="16"/>
        <v>109.26703069011538</v>
      </c>
      <c r="AB29" s="4">
        <f t="shared" si="17"/>
        <v>109.78421798970224</v>
      </c>
      <c r="AC29" s="4">
        <f t="shared" si="18"/>
        <v>109.90692929070282</v>
      </c>
      <c r="AD29" s="4">
        <f t="shared" si="19"/>
        <v>109.93601284273024</v>
      </c>
      <c r="AE29" s="4">
        <f t="shared" si="20"/>
        <v>109.94290409580387</v>
      </c>
      <c r="AF29" s="4">
        <f t="shared" si="21"/>
        <v>109.94453685595114</v>
      </c>
      <c r="AG29" s="4">
        <f t="shared" si="22"/>
        <v>109.94492370389365</v>
      </c>
      <c r="AI29" s="4">
        <f t="shared" si="23"/>
        <v>2.6301516807397142E-4</v>
      </c>
      <c r="AJ29" s="4">
        <f t="shared" si="24"/>
        <v>2.1999436296094073E-4</v>
      </c>
      <c r="AK29" s="4">
        <f t="shared" si="25"/>
        <v>2.1194364285292427E-4</v>
      </c>
      <c r="AL29" s="4">
        <f t="shared" si="26"/>
        <v>2.1012963643456822E-4</v>
      </c>
      <c r="AM29" s="4">
        <f t="shared" si="27"/>
        <v>2.0970481730191726E-4</v>
      </c>
      <c r="AN29" s="4">
        <f t="shared" si="28"/>
        <v>2.0960444134297582E-4</v>
      </c>
      <c r="AO29" s="4">
        <f t="shared" si="29"/>
        <v>2.0958067491081802E-4</v>
      </c>
      <c r="AP29" s="4">
        <f t="shared" si="30"/>
        <v>2.0957504484824302E-4</v>
      </c>
      <c r="AQ29" s="4">
        <f t="shared" si="31"/>
        <v>2.0957371097868078E-4</v>
      </c>
      <c r="AR29" s="4">
        <f t="shared" si="32"/>
        <v>2.0957339495067981E-4</v>
      </c>
    </row>
    <row r="30" spans="1:44" x14ac:dyDescent="0.25">
      <c r="A30" s="4" t="s">
        <v>75</v>
      </c>
      <c r="B30" s="4">
        <v>1171.1385703644901</v>
      </c>
      <c r="C30" s="4">
        <v>6353.0867734548401</v>
      </c>
      <c r="D30" s="4">
        <v>14500.009471859399</v>
      </c>
      <c r="E30" s="4">
        <v>23562.1321926159</v>
      </c>
      <c r="F30" s="4">
        <v>32124.156657001498</v>
      </c>
      <c r="G30" s="4">
        <v>39508.968024251299</v>
      </c>
      <c r="H30" s="4">
        <v>45532.8375236664</v>
      </c>
      <c r="I30" s="4">
        <v>50272.420741002999</v>
      </c>
      <c r="J30" s="4">
        <v>53912.417646139998</v>
      </c>
      <c r="K30" s="4">
        <v>56661.914467483599</v>
      </c>
      <c r="M30" s="4">
        <f t="shared" si="3"/>
        <v>11711.385703644901</v>
      </c>
      <c r="N30" s="4">
        <f t="shared" si="4"/>
        <v>51819.482030903499</v>
      </c>
      <c r="O30" s="4">
        <f t="shared" si="5"/>
        <v>81469.226984045585</v>
      </c>
      <c r="P30" s="4">
        <f t="shared" si="6"/>
        <v>90621.227207565011</v>
      </c>
      <c r="Q30" s="4">
        <f t="shared" si="7"/>
        <v>85620.244643855985</v>
      </c>
      <c r="R30" s="4">
        <f t="shared" si="8"/>
        <v>73848.113672498002</v>
      </c>
      <c r="S30" s="4">
        <f t="shared" si="9"/>
        <v>60238.69499415101</v>
      </c>
      <c r="T30" s="4">
        <f t="shared" si="10"/>
        <v>47395.832173365998</v>
      </c>
      <c r="U30" s="4">
        <f t="shared" si="11"/>
        <v>36399.96905136999</v>
      </c>
      <c r="V30" s="4">
        <f t="shared" si="12"/>
        <v>27494.968213436005</v>
      </c>
      <c r="X30" s="4">
        <f t="shared" si="13"/>
        <v>42.183931561201547</v>
      </c>
      <c r="Y30" s="4">
        <f t="shared" si="14"/>
        <v>137.78774915675532</v>
      </c>
      <c r="Z30" s="4">
        <f t="shared" si="15"/>
        <v>245.51557884102868</v>
      </c>
      <c r="AA30" s="4">
        <f t="shared" si="16"/>
        <v>344.88274497272818</v>
      </c>
      <c r="AB30" s="4">
        <f t="shared" si="17"/>
        <v>428.45327744530738</v>
      </c>
      <c r="AC30" s="4">
        <f t="shared" si="18"/>
        <v>495.23147041503807</v>
      </c>
      <c r="AD30" s="4">
        <f t="shared" si="19"/>
        <v>546.95116994114335</v>
      </c>
      <c r="AE30" s="4">
        <f t="shared" si="20"/>
        <v>586.20850266714149</v>
      </c>
      <c r="AF30" s="4">
        <f t="shared" si="21"/>
        <v>615.60681663509638</v>
      </c>
      <c r="AG30" s="4">
        <f t="shared" si="22"/>
        <v>637.41917758116756</v>
      </c>
      <c r="AI30" s="4">
        <f t="shared" si="23"/>
        <v>3.1596131896142413E-4</v>
      </c>
      <c r="AJ30" s="4">
        <f t="shared" si="24"/>
        <v>1.9024837994303822E-4</v>
      </c>
      <c r="AK30" s="4">
        <f t="shared" si="25"/>
        <v>1.4852717390355643E-4</v>
      </c>
      <c r="AL30" s="4">
        <f t="shared" si="26"/>
        <v>1.2839615752393446E-4</v>
      </c>
      <c r="AM30" s="4">
        <f t="shared" si="27"/>
        <v>1.1699488714933888E-4</v>
      </c>
      <c r="AN30" s="4">
        <f t="shared" si="28"/>
        <v>1.0995315551468123E-4</v>
      </c>
      <c r="AO30" s="4">
        <f t="shared" si="29"/>
        <v>1.0537048734754841E-4</v>
      </c>
      <c r="AP30" s="4">
        <f t="shared" si="30"/>
        <v>1.022862987730236E-4</v>
      </c>
      <c r="AQ30" s="4">
        <f t="shared" si="31"/>
        <v>1.0016356214051804E-4</v>
      </c>
      <c r="AR30" s="4">
        <f t="shared" si="32"/>
        <v>9.8679974849426655E-5</v>
      </c>
    </row>
    <row r="31" spans="1:44" x14ac:dyDescent="0.25">
      <c r="A31" s="4" t="s">
        <v>77</v>
      </c>
      <c r="B31" s="4">
        <v>1405042.9001579301</v>
      </c>
      <c r="C31" s="4">
        <v>1617644.62456958</v>
      </c>
      <c r="D31" s="4">
        <v>1628746.25550735</v>
      </c>
      <c r="E31" s="4">
        <v>1629300.2736837899</v>
      </c>
      <c r="F31" s="4">
        <v>1629327.85985068</v>
      </c>
      <c r="G31" s="4">
        <v>1629329.23329305</v>
      </c>
      <c r="H31" s="4">
        <v>1629329.3016727399</v>
      </c>
      <c r="I31" s="4">
        <v>1629329.30507716</v>
      </c>
      <c r="J31" s="4">
        <v>1629329.30524666</v>
      </c>
      <c r="K31" s="4">
        <v>1629329.3052550999</v>
      </c>
      <c r="M31" s="4">
        <f t="shared" si="3"/>
        <v>14050429.001579301</v>
      </c>
      <c r="N31" s="4">
        <f t="shared" si="4"/>
        <v>2126017.2441164986</v>
      </c>
      <c r="O31" s="4">
        <f t="shared" si="5"/>
        <v>111016.30937770009</v>
      </c>
      <c r="P31" s="4">
        <f t="shared" si="6"/>
        <v>5540.1817643991672</v>
      </c>
      <c r="Q31" s="4">
        <f t="shared" si="7"/>
        <v>275.86166890105233</v>
      </c>
      <c r="R31" s="4">
        <f t="shared" si="8"/>
        <v>13.734423699788749</v>
      </c>
      <c r="S31" s="4">
        <f t="shared" si="9"/>
        <v>0.68379689939320087</v>
      </c>
      <c r="T31" s="4">
        <f t="shared" si="10"/>
        <v>3.4044201020151377E-2</v>
      </c>
      <c r="U31" s="4">
        <f t="shared" si="11"/>
        <v>1.6950001008808613E-3</v>
      </c>
      <c r="V31" s="4">
        <f t="shared" si="12"/>
        <v>8.4398780018091202E-5</v>
      </c>
      <c r="X31" s="4">
        <f t="shared" si="13"/>
        <v>6032.5921418188609</v>
      </c>
      <c r="Y31" s="4">
        <f t="shared" si="14"/>
        <v>6657.9332683764678</v>
      </c>
      <c r="Z31" s="4">
        <f t="shared" si="15"/>
        <v>6689.8850563933402</v>
      </c>
      <c r="AA31" s="4">
        <f t="shared" si="16"/>
        <v>6691.4778706088473</v>
      </c>
      <c r="AB31" s="4">
        <f t="shared" si="17"/>
        <v>6691.5571771870273</v>
      </c>
      <c r="AC31" s="4">
        <f t="shared" si="18"/>
        <v>6691.5611256415186</v>
      </c>
      <c r="AD31" s="4">
        <f t="shared" si="19"/>
        <v>6691.5613222235206</v>
      </c>
      <c r="AE31" s="4">
        <f t="shared" si="20"/>
        <v>6691.5613320107459</v>
      </c>
      <c r="AF31" s="4">
        <f t="shared" si="21"/>
        <v>6691.5613324980368</v>
      </c>
      <c r="AG31" s="4">
        <f t="shared" si="22"/>
        <v>6691.5613325222976</v>
      </c>
      <c r="AI31" s="4">
        <f t="shared" si="23"/>
        <v>3.7662533238157758E-5</v>
      </c>
      <c r="AJ31" s="4">
        <f t="shared" si="24"/>
        <v>3.6103679707989555E-5</v>
      </c>
      <c r="AK31" s="4">
        <f t="shared" si="25"/>
        <v>3.6029677459356452E-5</v>
      </c>
      <c r="AL31" s="4">
        <f t="shared" si="26"/>
        <v>3.6026001622693005E-5</v>
      </c>
      <c r="AM31" s="4">
        <f t="shared" si="27"/>
        <v>3.6025818634626533E-5</v>
      </c>
      <c r="AN31" s="4">
        <f t="shared" si="28"/>
        <v>3.6025809524239446E-5</v>
      </c>
      <c r="AO31" s="4">
        <f t="shared" si="29"/>
        <v>3.6025809070660072E-5</v>
      </c>
      <c r="AP31" s="4">
        <f t="shared" si="30"/>
        <v>3.6025809048077693E-5</v>
      </c>
      <c r="AQ31" s="4">
        <f t="shared" si="31"/>
        <v>3.6025809046953368E-5</v>
      </c>
      <c r="AR31" s="4">
        <f t="shared" si="32"/>
        <v>3.6025809046897376E-5</v>
      </c>
    </row>
    <row r="32" spans="1:44" x14ac:dyDescent="0.25">
      <c r="A32" s="4" t="s">
        <v>79</v>
      </c>
      <c r="B32" s="4">
        <v>1010.22846178596</v>
      </c>
      <c r="C32" s="4">
        <v>4735.8240952389897</v>
      </c>
      <c r="D32" s="4">
        <v>9231.5440769145498</v>
      </c>
      <c r="E32" s="4">
        <v>13022.514215835799</v>
      </c>
      <c r="F32" s="4">
        <v>15755.6339160518</v>
      </c>
      <c r="G32" s="4">
        <v>17575.572000862001</v>
      </c>
      <c r="H32" s="4">
        <v>18735.965768631999</v>
      </c>
      <c r="I32" s="4">
        <v>19457.801781760001</v>
      </c>
      <c r="J32" s="4">
        <v>19900.4315863962</v>
      </c>
      <c r="K32" s="4">
        <v>20169.567511430101</v>
      </c>
      <c r="M32" s="4">
        <f t="shared" si="3"/>
        <v>10102.284617859601</v>
      </c>
      <c r="N32" s="4">
        <f t="shared" si="4"/>
        <v>37255.956334530296</v>
      </c>
      <c r="O32" s="4">
        <f t="shared" si="5"/>
        <v>44957.199816755601</v>
      </c>
      <c r="P32" s="4">
        <f t="shared" si="6"/>
        <v>37909.701389212496</v>
      </c>
      <c r="Q32" s="4">
        <f t="shared" si="7"/>
        <v>27331.197002160006</v>
      </c>
      <c r="R32" s="4">
        <f t="shared" si="8"/>
        <v>18199.38084810201</v>
      </c>
      <c r="S32" s="4">
        <f t="shared" si="9"/>
        <v>11603.937677699978</v>
      </c>
      <c r="T32" s="4">
        <f t="shared" si="10"/>
        <v>7218.3601312800238</v>
      </c>
      <c r="U32" s="4">
        <f t="shared" si="11"/>
        <v>4426.2980463619897</v>
      </c>
      <c r="V32" s="4">
        <f t="shared" si="12"/>
        <v>2691.35925033901</v>
      </c>
      <c r="X32" s="4">
        <f t="shared" si="13"/>
        <v>38.037763573470542</v>
      </c>
      <c r="Y32" s="4">
        <f t="shared" si="14"/>
        <v>112.17553479413503</v>
      </c>
      <c r="Z32" s="4">
        <f t="shared" si="15"/>
        <v>178.98362431568609</v>
      </c>
      <c r="AA32" s="4">
        <f t="shared" si="16"/>
        <v>227.72339133848232</v>
      </c>
      <c r="AB32" s="4">
        <f t="shared" si="17"/>
        <v>260.2114313753122</v>
      </c>
      <c r="AC32" s="4">
        <f t="shared" si="18"/>
        <v>280.90397343275441</v>
      </c>
      <c r="AD32" s="4">
        <f t="shared" si="19"/>
        <v>293.76125418191975</v>
      </c>
      <c r="AE32" s="4">
        <f t="shared" si="20"/>
        <v>301.63858660655023</v>
      </c>
      <c r="AF32" s="4">
        <f t="shared" si="21"/>
        <v>306.42556909672862</v>
      </c>
      <c r="AG32" s="4">
        <f t="shared" si="22"/>
        <v>309.32061490311429</v>
      </c>
      <c r="AI32" s="4">
        <f t="shared" si="23"/>
        <v>3.3028627223575098E-4</v>
      </c>
      <c r="AJ32" s="4">
        <f t="shared" si="24"/>
        <v>2.0777712589368079E-4</v>
      </c>
      <c r="AK32" s="4">
        <f t="shared" si="25"/>
        <v>1.7007250132391837E-4</v>
      </c>
      <c r="AL32" s="4">
        <f t="shared" si="26"/>
        <v>1.5339385122752923E-4</v>
      </c>
      <c r="AM32" s="4">
        <f t="shared" si="27"/>
        <v>1.4487239470875566E-4</v>
      </c>
      <c r="AN32" s="4">
        <f t="shared" si="28"/>
        <v>1.4019856322580745E-4</v>
      </c>
      <c r="AO32" s="4">
        <f t="shared" si="29"/>
        <v>1.3753510967516532E-4</v>
      </c>
      <c r="AP32" s="4">
        <f t="shared" si="30"/>
        <v>1.3598414372649722E-4</v>
      </c>
      <c r="AQ32" s="4">
        <f t="shared" si="31"/>
        <v>1.3506961278192856E-4</v>
      </c>
      <c r="AR32" s="4">
        <f t="shared" si="32"/>
        <v>1.3452637126119094E-4</v>
      </c>
    </row>
    <row r="33" spans="1:44" x14ac:dyDescent="0.25">
      <c r="A33" s="4" t="s">
        <v>81</v>
      </c>
      <c r="B33" s="4">
        <v>9992.3761273008404</v>
      </c>
      <c r="C33" s="4">
        <v>40966.815834351502</v>
      </c>
      <c r="D33" s="4">
        <v>75363.609977611501</v>
      </c>
      <c r="E33" s="4">
        <v>103185.52167913799</v>
      </c>
      <c r="F33" s="4">
        <v>122795.19097446901</v>
      </c>
      <c r="G33" s="4">
        <v>135686.372695681</v>
      </c>
      <c r="H33" s="4">
        <v>143844.70268500299</v>
      </c>
      <c r="I33" s="4">
        <v>148897.428591281</v>
      </c>
      <c r="J33" s="4">
        <v>151987.68617308</v>
      </c>
      <c r="K33" s="4">
        <v>153863.75964535901</v>
      </c>
      <c r="M33" s="4">
        <f t="shared" si="3"/>
        <v>99923.761273008407</v>
      </c>
      <c r="N33" s="4">
        <f t="shared" si="4"/>
        <v>309744.39707050659</v>
      </c>
      <c r="O33" s="4">
        <f t="shared" si="5"/>
        <v>343967.94143259997</v>
      </c>
      <c r="P33" s="4">
        <f t="shared" si="6"/>
        <v>278219.11701526493</v>
      </c>
      <c r="Q33" s="4">
        <f t="shared" si="7"/>
        <v>196096.69295331012</v>
      </c>
      <c r="R33" s="4">
        <f t="shared" si="8"/>
        <v>128911.81721211993</v>
      </c>
      <c r="S33" s="4">
        <f t="shared" si="9"/>
        <v>81583.299893219955</v>
      </c>
      <c r="T33" s="4">
        <f t="shared" si="10"/>
        <v>50527.259062780067</v>
      </c>
      <c r="U33" s="4">
        <f t="shared" si="11"/>
        <v>30902.57581799</v>
      </c>
      <c r="V33" s="4">
        <f t="shared" si="12"/>
        <v>18760.734722790075</v>
      </c>
      <c r="X33" s="4">
        <f t="shared" si="13"/>
        <v>189.18617468018493</v>
      </c>
      <c r="Y33" s="4">
        <f t="shared" si="14"/>
        <v>507.95331783339191</v>
      </c>
      <c r="Z33" s="4">
        <f t="shared" si="15"/>
        <v>778.27743706038893</v>
      </c>
      <c r="AA33" s="4">
        <f t="shared" si="16"/>
        <v>969.73794532648208</v>
      </c>
      <c r="AB33" s="4">
        <f t="shared" si="17"/>
        <v>1095.3381292420158</v>
      </c>
      <c r="AC33" s="4">
        <f t="shared" si="18"/>
        <v>1174.6179075373307</v>
      </c>
      <c r="AD33" s="4">
        <f t="shared" si="19"/>
        <v>1223.6211238252888</v>
      </c>
      <c r="AE33" s="4">
        <f t="shared" si="20"/>
        <v>1253.5518238762434</v>
      </c>
      <c r="AF33" s="4">
        <f t="shared" si="21"/>
        <v>1271.7072204999304</v>
      </c>
      <c r="AG33" s="4">
        <f t="shared" si="22"/>
        <v>1282.6751850171597</v>
      </c>
      <c r="AI33" s="4">
        <f t="shared" si="23"/>
        <v>1.6607940162877681E-4</v>
      </c>
      <c r="AJ33" s="4">
        <f t="shared" si="24"/>
        <v>1.087643930200557E-4</v>
      </c>
      <c r="AK33" s="4">
        <f t="shared" si="25"/>
        <v>9.0587420957692348E-5</v>
      </c>
      <c r="AL33" s="4">
        <f t="shared" si="26"/>
        <v>8.2438631565673415E-5</v>
      </c>
      <c r="AM33" s="4">
        <f t="shared" si="27"/>
        <v>7.8245973051786926E-5</v>
      </c>
      <c r="AN33" s="4">
        <f t="shared" si="28"/>
        <v>7.5937366817961925E-5</v>
      </c>
      <c r="AO33" s="4">
        <f t="shared" si="29"/>
        <v>7.4618796727962179E-5</v>
      </c>
      <c r="AP33" s="4">
        <f t="shared" si="30"/>
        <v>7.3849956540735472E-5</v>
      </c>
      <c r="AQ33" s="4">
        <f t="shared" si="31"/>
        <v>7.3396251870760115E-5</v>
      </c>
      <c r="AR33" s="4">
        <f t="shared" si="32"/>
        <v>7.3126620177555379E-5</v>
      </c>
    </row>
    <row r="34" spans="1:44" x14ac:dyDescent="0.25">
      <c r="A34" s="4" t="s">
        <v>83</v>
      </c>
      <c r="B34" s="4">
        <v>923281.27442013402</v>
      </c>
      <c r="C34" s="4">
        <v>1035129.9149896</v>
      </c>
      <c r="D34" s="4">
        <v>1039648.64540009</v>
      </c>
      <c r="E34" s="4">
        <v>1039824.4712429499</v>
      </c>
      <c r="F34" s="4">
        <v>1039831.30279941</v>
      </c>
      <c r="G34" s="4">
        <v>1039831.56821851</v>
      </c>
      <c r="H34" s="4">
        <v>1039831.57853053</v>
      </c>
      <c r="I34" s="4">
        <v>1039831.5789311701</v>
      </c>
      <c r="J34" s="4">
        <v>1039831.57894674</v>
      </c>
      <c r="K34" s="4">
        <v>1039831.57894734</v>
      </c>
      <c r="M34" s="4">
        <f t="shared" si="3"/>
        <v>9232812.7442013398</v>
      </c>
      <c r="N34" s="4">
        <f t="shared" si="4"/>
        <v>1118486.4056946593</v>
      </c>
      <c r="O34" s="4">
        <f t="shared" si="5"/>
        <v>45187.304104900686</v>
      </c>
      <c r="P34" s="4">
        <f t="shared" si="6"/>
        <v>1758.2584285992198</v>
      </c>
      <c r="Q34" s="4">
        <f t="shared" si="7"/>
        <v>68.315564600052312</v>
      </c>
      <c r="R34" s="4">
        <f t="shared" si="8"/>
        <v>2.6541910006199032</v>
      </c>
      <c r="S34" s="4">
        <f t="shared" si="9"/>
        <v>0.10312019963748753</v>
      </c>
      <c r="T34" s="4">
        <f t="shared" si="10"/>
        <v>4.0064007043838501E-3</v>
      </c>
      <c r="U34" s="4">
        <f t="shared" si="11"/>
        <v>1.5569967217743397E-4</v>
      </c>
      <c r="V34" s="4">
        <f t="shared" si="12"/>
        <v>6.0000456869602203E-6</v>
      </c>
      <c r="X34" s="4">
        <f t="shared" si="13"/>
        <v>4496.2978635206146</v>
      </c>
      <c r="Y34" s="4">
        <f t="shared" si="14"/>
        <v>4870.994694709244</v>
      </c>
      <c r="Z34" s="4">
        <f t="shared" si="15"/>
        <v>4885.8695700142616</v>
      </c>
      <c r="AA34" s="4">
        <f t="shared" si="16"/>
        <v>4886.447965651606</v>
      </c>
      <c r="AB34" s="4">
        <f t="shared" si="17"/>
        <v>4886.4704381065594</v>
      </c>
      <c r="AC34" s="4">
        <f t="shared" si="18"/>
        <v>4886.4713112037307</v>
      </c>
      <c r="AD34" s="4">
        <f t="shared" si="19"/>
        <v>4886.4713451251591</v>
      </c>
      <c r="AE34" s="4">
        <f t="shared" si="20"/>
        <v>4886.4713464430697</v>
      </c>
      <c r="AF34" s="4">
        <f t="shared" si="21"/>
        <v>4886.4713464942906</v>
      </c>
      <c r="AG34" s="4">
        <f t="shared" si="22"/>
        <v>4886.4713464962615</v>
      </c>
      <c r="AI34" s="4">
        <f t="shared" si="23"/>
        <v>4.271851972076355E-5</v>
      </c>
      <c r="AJ34" s="4">
        <f t="shared" si="24"/>
        <v>4.1277933348327273E-5</v>
      </c>
      <c r="AK34" s="4">
        <f t="shared" si="25"/>
        <v>4.1224028126956083E-5</v>
      </c>
      <c r="AL34" s="4">
        <f t="shared" si="26"/>
        <v>4.1221936809036538E-5</v>
      </c>
      <c r="AM34" s="4">
        <f t="shared" si="27"/>
        <v>4.1221855562020187E-5</v>
      </c>
      <c r="AN34" s="4">
        <f t="shared" si="28"/>
        <v>4.122185240543138E-5</v>
      </c>
      <c r="AO34" s="4">
        <f t="shared" si="29"/>
        <v>4.1221852282792129E-5</v>
      </c>
      <c r="AP34" s="4">
        <f t="shared" si="30"/>
        <v>4.1221852278027406E-5</v>
      </c>
      <c r="AQ34" s="4">
        <f t="shared" si="31"/>
        <v>4.1221852277842258E-5</v>
      </c>
      <c r="AR34" s="4">
        <f t="shared" si="32"/>
        <v>4.1221852277835102E-5</v>
      </c>
    </row>
    <row r="35" spans="1:44" x14ac:dyDescent="0.25">
      <c r="A35" s="4" t="s">
        <v>85</v>
      </c>
      <c r="B35" s="4">
        <v>2846612.2070100098</v>
      </c>
      <c r="C35" s="4">
        <v>3045916.3216537698</v>
      </c>
      <c r="D35" s="4">
        <v>3051026.8130290601</v>
      </c>
      <c r="E35" s="4">
        <v>3051154.8906361801</v>
      </c>
      <c r="F35" s="4">
        <v>3051158.0986469602</v>
      </c>
      <c r="G35" s="4">
        <v>3051158.1789981299</v>
      </c>
      <c r="H35" s="4">
        <v>3051158.1810106901</v>
      </c>
      <c r="I35" s="4">
        <v>3051158.1810611002</v>
      </c>
      <c r="J35" s="4">
        <v>3051158.1810623598</v>
      </c>
      <c r="K35" s="4">
        <v>3051158.1810623901</v>
      </c>
      <c r="M35" s="4">
        <f t="shared" si="3"/>
        <v>28466122.070100099</v>
      </c>
      <c r="N35" s="4">
        <f t="shared" si="4"/>
        <v>1993041.1464376003</v>
      </c>
      <c r="O35" s="4">
        <f t="shared" si="5"/>
        <v>51104.91375290323</v>
      </c>
      <c r="P35" s="4">
        <f t="shared" si="6"/>
        <v>1280.7760711992159</v>
      </c>
      <c r="Q35" s="4">
        <f t="shared" si="7"/>
        <v>32.08010780159384</v>
      </c>
      <c r="R35" s="4">
        <f t="shared" si="8"/>
        <v>0.80351169686764479</v>
      </c>
      <c r="S35" s="4">
        <f t="shared" si="9"/>
        <v>2.0125601440668106E-2</v>
      </c>
      <c r="T35" s="4">
        <f t="shared" si="10"/>
        <v>5.0410162657499313E-4</v>
      </c>
      <c r="U35" s="4">
        <f t="shared" si="11"/>
        <v>1.2596137821674347E-5</v>
      </c>
      <c r="V35" s="4">
        <f t="shared" si="12"/>
        <v>3.0267983675003052E-7</v>
      </c>
      <c r="X35" s="4">
        <f t="shared" si="13"/>
        <v>9888.9702393442567</v>
      </c>
      <c r="Y35" s="4">
        <f t="shared" si="14"/>
        <v>10368.688618126294</v>
      </c>
      <c r="Z35" s="4">
        <f t="shared" si="15"/>
        <v>10380.863291807822</v>
      </c>
      <c r="AA35" s="4">
        <f t="shared" si="16"/>
        <v>10381.16833122175</v>
      </c>
      <c r="AB35" s="4">
        <f t="shared" si="17"/>
        <v>10381.17597161601</v>
      </c>
      <c r="AC35" s="4">
        <f t="shared" si="18"/>
        <v>10381.176162985239</v>
      </c>
      <c r="AD35" s="4">
        <f t="shared" si="19"/>
        <v>10381.176167778451</v>
      </c>
      <c r="AE35" s="4">
        <f t="shared" si="20"/>
        <v>10381.176167898519</v>
      </c>
      <c r="AF35" s="4">
        <f t="shared" si="21"/>
        <v>10381.176167901525</v>
      </c>
      <c r="AG35" s="4">
        <f t="shared" si="22"/>
        <v>10381.176167901596</v>
      </c>
      <c r="AI35" s="4">
        <f t="shared" si="23"/>
        <v>3.0473189415504736E-5</v>
      </c>
      <c r="AJ35" s="4">
        <f t="shared" si="24"/>
        <v>2.9860770725818743E-5</v>
      </c>
      <c r="AK35" s="4">
        <f t="shared" si="25"/>
        <v>2.984575682037324E-5</v>
      </c>
      <c r="AL35" s="4">
        <f t="shared" si="26"/>
        <v>2.9845380966368891E-5</v>
      </c>
      <c r="AM35" s="4">
        <f t="shared" si="27"/>
        <v>2.9845371552467453E-5</v>
      </c>
      <c r="AN35" s="4">
        <f t="shared" si="28"/>
        <v>2.9845371316677299E-5</v>
      </c>
      <c r="AO35" s="4">
        <f t="shared" si="29"/>
        <v>2.9845371310771382E-5</v>
      </c>
      <c r="AP35" s="4">
        <f t="shared" si="30"/>
        <v>2.9845371310623473E-5</v>
      </c>
      <c r="AQ35" s="4">
        <f t="shared" si="31"/>
        <v>2.9845371310619797E-5</v>
      </c>
      <c r="AR35" s="4">
        <f t="shared" si="32"/>
        <v>2.9845371310619712E-5</v>
      </c>
    </row>
    <row r="36" spans="1:44" x14ac:dyDescent="0.25">
      <c r="A36" s="4" t="s">
        <v>87</v>
      </c>
      <c r="B36" s="4">
        <v>292.61111455449497</v>
      </c>
      <c r="C36" s="4">
        <v>849.75653617973001</v>
      </c>
      <c r="D36" s="4">
        <v>1362.7238666079299</v>
      </c>
      <c r="E36" s="4">
        <v>1729.4881154068801</v>
      </c>
      <c r="F36" s="4">
        <v>1963.876371518</v>
      </c>
      <c r="G36" s="4">
        <v>2105.5025376393901</v>
      </c>
      <c r="H36" s="4">
        <v>2188.5787984071098</v>
      </c>
      <c r="I36" s="4">
        <v>2236.5292818778398</v>
      </c>
      <c r="J36" s="4">
        <v>2263.9589857086298</v>
      </c>
      <c r="K36" s="4">
        <v>2279.5716017415598</v>
      </c>
      <c r="M36" s="4">
        <f t="shared" si="3"/>
        <v>2926.11114554495</v>
      </c>
      <c r="N36" s="4">
        <f t="shared" si="4"/>
        <v>5571.4542162523503</v>
      </c>
      <c r="O36" s="4">
        <f t="shared" si="5"/>
        <v>5129.6733042819997</v>
      </c>
      <c r="P36" s="4">
        <f t="shared" si="6"/>
        <v>3667.6424879895012</v>
      </c>
      <c r="Q36" s="4">
        <f t="shared" si="7"/>
        <v>2343.8825611111997</v>
      </c>
      <c r="R36" s="4">
        <f t="shared" si="8"/>
        <v>1416.2616612139004</v>
      </c>
      <c r="S36" s="4">
        <f t="shared" si="9"/>
        <v>830.76260767719759</v>
      </c>
      <c r="T36" s="4">
        <f t="shared" si="10"/>
        <v>479.50483470729978</v>
      </c>
      <c r="U36" s="4">
        <f t="shared" si="11"/>
        <v>274.29703830790004</v>
      </c>
      <c r="V36" s="4">
        <f t="shared" si="12"/>
        <v>156.12616032929964</v>
      </c>
      <c r="X36" s="4">
        <f t="shared" si="13"/>
        <v>15.978088693528475</v>
      </c>
      <c r="Y36" s="4">
        <f t="shared" si="14"/>
        <v>33.699807055188039</v>
      </c>
      <c r="Z36" s="4">
        <f t="shared" si="15"/>
        <v>46.903662722884945</v>
      </c>
      <c r="AA36" s="4">
        <f t="shared" si="16"/>
        <v>55.419622363954936</v>
      </c>
      <c r="AB36" s="4">
        <f t="shared" si="17"/>
        <v>60.576078651673328</v>
      </c>
      <c r="AC36" s="4">
        <f t="shared" si="18"/>
        <v>63.601929800768801</v>
      </c>
      <c r="AD36" s="4">
        <f t="shared" si="19"/>
        <v>65.348374031208962</v>
      </c>
      <c r="AE36" s="4">
        <f t="shared" si="20"/>
        <v>66.347332501892339</v>
      </c>
      <c r="AF36" s="4">
        <f t="shared" si="21"/>
        <v>66.915887615954432</v>
      </c>
      <c r="AG36" s="4">
        <f t="shared" si="22"/>
        <v>67.238578182097612</v>
      </c>
      <c r="AI36" s="4">
        <f t="shared" si="23"/>
        <v>4.7899299028214825E-4</v>
      </c>
      <c r="AJ36" s="4">
        <f t="shared" si="24"/>
        <v>3.4787886883266584E-4</v>
      </c>
      <c r="AK36" s="4">
        <f t="shared" si="25"/>
        <v>3.0192150295582789E-4</v>
      </c>
      <c r="AL36" s="4">
        <f t="shared" si="26"/>
        <v>2.8108723844334581E-4</v>
      </c>
      <c r="AM36" s="4">
        <f t="shared" si="27"/>
        <v>2.7057156890627636E-4</v>
      </c>
      <c r="AN36" s="4">
        <f t="shared" si="28"/>
        <v>2.6497791142276848E-4</v>
      </c>
      <c r="AO36" s="4">
        <f t="shared" si="29"/>
        <v>2.6191944816799132E-4</v>
      </c>
      <c r="AP36" s="4">
        <f t="shared" si="30"/>
        <v>2.6022200982085344E-4</v>
      </c>
      <c r="AQ36" s="4">
        <f t="shared" si="31"/>
        <v>2.5927213082071879E-4</v>
      </c>
      <c r="AR36" s="4">
        <f t="shared" si="32"/>
        <v>2.5873812819305074E-4</v>
      </c>
    </row>
    <row r="37" spans="1:44" x14ac:dyDescent="0.25">
      <c r="A37" s="4" t="s">
        <v>89</v>
      </c>
      <c r="B37" s="4">
        <v>1683934.23338946</v>
      </c>
      <c r="C37" s="4">
        <v>1689707.3719358</v>
      </c>
      <c r="D37" s="4">
        <v>1689713.5570684699</v>
      </c>
      <c r="E37" s="4">
        <v>1689713.56368721</v>
      </c>
      <c r="F37" s="4">
        <v>1689713.5636942899</v>
      </c>
      <c r="G37" s="4">
        <v>1689713.5636942999</v>
      </c>
      <c r="H37" s="4">
        <v>1689713.5636942999</v>
      </c>
      <c r="I37" s="4">
        <v>1689713.5636942999</v>
      </c>
      <c r="J37" s="4">
        <v>1689713.5636942999</v>
      </c>
      <c r="K37" s="4">
        <v>1689713.5636942999</v>
      </c>
      <c r="M37" s="4">
        <f t="shared" si="3"/>
        <v>16839342.333894599</v>
      </c>
      <c r="N37" s="4">
        <f t="shared" si="4"/>
        <v>57731.385463399347</v>
      </c>
      <c r="O37" s="4">
        <f t="shared" si="5"/>
        <v>61.851326699834317</v>
      </c>
      <c r="P37" s="4">
        <f t="shared" si="6"/>
        <v>6.6187400370836258E-2</v>
      </c>
      <c r="Q37" s="4">
        <f t="shared" si="7"/>
        <v>7.0799142122268677E-5</v>
      </c>
      <c r="R37" s="4">
        <f t="shared" si="8"/>
        <v>1.0011717677116394E-7</v>
      </c>
      <c r="S37" s="4">
        <f t="shared" si="9"/>
        <v>0</v>
      </c>
      <c r="T37" s="4">
        <f t="shared" si="10"/>
        <v>0</v>
      </c>
      <c r="U37" s="4">
        <f t="shared" si="11"/>
        <v>0</v>
      </c>
      <c r="V37" s="4">
        <f t="shared" si="12"/>
        <v>0</v>
      </c>
      <c r="X37" s="4">
        <f t="shared" si="13"/>
        <v>6847.7649211181097</v>
      </c>
      <c r="Y37" s="4">
        <f t="shared" si="14"/>
        <v>6864.1901213644223</v>
      </c>
      <c r="Z37" s="4">
        <f t="shared" si="15"/>
        <v>6864.2077096952671</v>
      </c>
      <c r="AA37" s="4">
        <f t="shared" si="16"/>
        <v>6864.2077285166106</v>
      </c>
      <c r="AB37" s="4">
        <f t="shared" si="17"/>
        <v>6864.2077285367413</v>
      </c>
      <c r="AC37" s="4">
        <f t="shared" si="18"/>
        <v>6864.2077285367786</v>
      </c>
      <c r="AD37" s="4">
        <f t="shared" si="19"/>
        <v>6864.2077285367786</v>
      </c>
      <c r="AE37" s="4">
        <f t="shared" si="20"/>
        <v>6864.2077285367786</v>
      </c>
      <c r="AF37" s="4">
        <f t="shared" si="21"/>
        <v>6864.2077285367786</v>
      </c>
      <c r="AG37" s="4">
        <f t="shared" si="22"/>
        <v>6864.2077285367786</v>
      </c>
      <c r="AI37" s="4">
        <f t="shared" si="23"/>
        <v>3.5671294134946642E-5</v>
      </c>
      <c r="AJ37" s="4">
        <f t="shared" si="24"/>
        <v>3.5634687429974752E-5</v>
      </c>
      <c r="AK37" s="4">
        <f t="shared" si="25"/>
        <v>3.5634648298096316E-5</v>
      </c>
      <c r="AL37" s="4">
        <f t="shared" si="26"/>
        <v>3.5634648256221203E-5</v>
      </c>
      <c r="AM37" s="4">
        <f t="shared" si="27"/>
        <v>3.5634648256176391E-5</v>
      </c>
      <c r="AN37" s="4">
        <f t="shared" si="28"/>
        <v>3.5634648256176378E-5</v>
      </c>
      <c r="AO37" s="4">
        <f t="shared" si="29"/>
        <v>3.5634648256176378E-5</v>
      </c>
      <c r="AP37" s="4">
        <f t="shared" si="30"/>
        <v>3.5634648256176378E-5</v>
      </c>
      <c r="AQ37" s="4">
        <f t="shared" si="31"/>
        <v>3.5634648256176378E-5</v>
      </c>
      <c r="AR37" s="4">
        <f t="shared" si="32"/>
        <v>3.5634648256176378E-5</v>
      </c>
    </row>
    <row r="38" spans="1:44" x14ac:dyDescent="0.25">
      <c r="A38" s="4" t="s">
        <v>91</v>
      </c>
      <c r="B38" s="4">
        <v>2040.4268738713899</v>
      </c>
      <c r="C38" s="4">
        <v>7828.9121873004697</v>
      </c>
      <c r="D38" s="4">
        <v>13673.9240276193</v>
      </c>
      <c r="E38" s="4">
        <v>17998.842298326301</v>
      </c>
      <c r="F38" s="4">
        <v>20806.3541126329</v>
      </c>
      <c r="G38" s="4">
        <v>22516.183998709999</v>
      </c>
      <c r="H38" s="4">
        <v>23523.3551793117</v>
      </c>
      <c r="I38" s="4">
        <v>24106.009686622001</v>
      </c>
      <c r="J38" s="4">
        <v>24439.7349431935</v>
      </c>
      <c r="K38" s="4">
        <v>24629.8213775613</v>
      </c>
      <c r="M38" s="4">
        <f t="shared" si="3"/>
        <v>20404.268738713901</v>
      </c>
      <c r="N38" s="4">
        <f t="shared" si="4"/>
        <v>57884.853134290795</v>
      </c>
      <c r="O38" s="4">
        <f t="shared" si="5"/>
        <v>58450.118403188302</v>
      </c>
      <c r="P38" s="4">
        <f t="shared" si="6"/>
        <v>43249.182707070009</v>
      </c>
      <c r="Q38" s="4">
        <f t="shared" si="7"/>
        <v>28075.118143065993</v>
      </c>
      <c r="R38" s="4">
        <f t="shared" si="8"/>
        <v>17098.298860770992</v>
      </c>
      <c r="S38" s="4">
        <f t="shared" si="9"/>
        <v>10071.711806017011</v>
      </c>
      <c r="T38" s="4">
        <f t="shared" si="10"/>
        <v>5826.5450731030069</v>
      </c>
      <c r="U38" s="4">
        <f t="shared" si="11"/>
        <v>3337.252565714989</v>
      </c>
      <c r="V38" s="4">
        <f t="shared" si="12"/>
        <v>1900.8643436780039</v>
      </c>
      <c r="X38" s="4">
        <f t="shared" si="13"/>
        <v>62.219422974189555</v>
      </c>
      <c r="Y38" s="4">
        <f t="shared" si="14"/>
        <v>159.48221176639154</v>
      </c>
      <c r="Z38" s="4">
        <f t="shared" si="15"/>
        <v>235.63861886145131</v>
      </c>
      <c r="AA38" s="4">
        <f t="shared" si="16"/>
        <v>285.62252554444871</v>
      </c>
      <c r="AB38" s="4">
        <f t="shared" si="17"/>
        <v>316.1247105369664</v>
      </c>
      <c r="AC38" s="4">
        <f t="shared" si="18"/>
        <v>334.09317749148528</v>
      </c>
      <c r="AD38" s="4">
        <f t="shared" si="19"/>
        <v>344.48533702597223</v>
      </c>
      <c r="AE38" s="4">
        <f t="shared" si="20"/>
        <v>350.43621700792693</v>
      </c>
      <c r="AF38" s="4">
        <f t="shared" si="21"/>
        <v>353.82523093085143</v>
      </c>
      <c r="AG38" s="4">
        <f t="shared" si="22"/>
        <v>355.74936886608941</v>
      </c>
      <c r="AI38" s="4">
        <f t="shared" si="23"/>
        <v>2.6748540662903245E-4</v>
      </c>
      <c r="AJ38" s="4">
        <f t="shared" si="24"/>
        <v>1.7869235679382589E-4</v>
      </c>
      <c r="AK38" s="4">
        <f t="shared" si="25"/>
        <v>1.5116402756327866E-4</v>
      </c>
      <c r="AL38" s="4">
        <f t="shared" si="26"/>
        <v>1.3920121688175923E-4</v>
      </c>
      <c r="AM38" s="4">
        <f t="shared" si="27"/>
        <v>1.332777362928939E-4</v>
      </c>
      <c r="AN38" s="4">
        <f t="shared" si="28"/>
        <v>1.3015713088807362E-4</v>
      </c>
      <c r="AO38" s="4">
        <f t="shared" si="29"/>
        <v>1.2845961721650247E-4</v>
      </c>
      <c r="AP38" s="4">
        <f t="shared" si="30"/>
        <v>1.2752014719733025E-4</v>
      </c>
      <c r="AQ38" s="4">
        <f t="shared" si="31"/>
        <v>1.2699524373315901E-4</v>
      </c>
      <c r="AR38" s="4">
        <f t="shared" si="32"/>
        <v>1.2670041130173759E-4</v>
      </c>
    </row>
    <row r="39" spans="1:44" x14ac:dyDescent="0.25">
      <c r="A39" s="4" t="s">
        <v>93</v>
      </c>
      <c r="B39" s="4">
        <v>593720496.34641802</v>
      </c>
      <c r="C39" s="4">
        <v>593743664.74543095</v>
      </c>
      <c r="D39" s="4">
        <v>593743665.04679406</v>
      </c>
      <c r="E39" s="4">
        <v>593743665.04679799</v>
      </c>
      <c r="F39" s="4">
        <v>593743665.04679799</v>
      </c>
      <c r="G39" s="4">
        <v>593743665.04679799</v>
      </c>
      <c r="H39" s="4">
        <v>593743665.04679799</v>
      </c>
      <c r="I39" s="4">
        <v>593743665.04679799</v>
      </c>
      <c r="J39" s="4">
        <v>593743665.04679799</v>
      </c>
      <c r="K39" s="4">
        <v>593743665.04679799</v>
      </c>
      <c r="M39" s="4">
        <f t="shared" si="3"/>
        <v>5937204963.46418</v>
      </c>
      <c r="N39" s="4">
        <f t="shared" si="4"/>
        <v>231683.99012923241</v>
      </c>
      <c r="O39" s="4">
        <f t="shared" si="5"/>
        <v>3.0136311054229736</v>
      </c>
      <c r="P39" s="4">
        <f t="shared" si="6"/>
        <v>3.9339065551757813E-5</v>
      </c>
      <c r="Q39" s="4">
        <f t="shared" si="7"/>
        <v>0</v>
      </c>
      <c r="R39" s="4">
        <f t="shared" si="8"/>
        <v>0</v>
      </c>
      <c r="S39" s="4">
        <f t="shared" si="9"/>
        <v>0</v>
      </c>
      <c r="T39" s="4">
        <f t="shared" si="10"/>
        <v>0</v>
      </c>
      <c r="U39" s="4">
        <f t="shared" si="11"/>
        <v>0</v>
      </c>
      <c r="V39" s="4">
        <f t="shared" si="12"/>
        <v>0</v>
      </c>
      <c r="X39" s="4">
        <f t="shared" si="13"/>
        <v>415555.164443071</v>
      </c>
      <c r="Y39" s="4">
        <f t="shared" si="14"/>
        <v>415566.51554867835</v>
      </c>
      <c r="Z39" s="4">
        <f t="shared" si="15"/>
        <v>415566.51569632755</v>
      </c>
      <c r="AA39" s="4">
        <f t="shared" si="16"/>
        <v>415566.51569632976</v>
      </c>
      <c r="AB39" s="4">
        <f t="shared" si="17"/>
        <v>415566.51569632976</v>
      </c>
      <c r="AC39" s="4">
        <f t="shared" si="18"/>
        <v>415566.51569632976</v>
      </c>
      <c r="AD39" s="4">
        <f t="shared" si="19"/>
        <v>415566.51569632976</v>
      </c>
      <c r="AE39" s="4">
        <f t="shared" si="20"/>
        <v>415566.51569632976</v>
      </c>
      <c r="AF39" s="4">
        <f t="shared" si="21"/>
        <v>415566.51569632976</v>
      </c>
      <c r="AG39" s="4">
        <f t="shared" si="22"/>
        <v>415566.51569632976</v>
      </c>
      <c r="AI39" s="4">
        <f t="shared" si="23"/>
        <v>6.1396242224418959E-6</v>
      </c>
      <c r="AJ39" s="4">
        <f t="shared" si="24"/>
        <v>6.1395523494022486E-6</v>
      </c>
      <c r="AK39" s="4">
        <f t="shared" si="25"/>
        <v>6.1395523484673911E-6</v>
      </c>
      <c r="AL39" s="4">
        <f t="shared" si="26"/>
        <v>6.1395523484673826E-6</v>
      </c>
      <c r="AM39" s="4">
        <f t="shared" si="27"/>
        <v>6.1395523484673826E-6</v>
      </c>
      <c r="AN39" s="4">
        <f t="shared" si="28"/>
        <v>6.1395523484673826E-6</v>
      </c>
      <c r="AO39" s="4">
        <f t="shared" si="29"/>
        <v>6.1395523484673826E-6</v>
      </c>
      <c r="AP39" s="4">
        <f t="shared" si="30"/>
        <v>6.1395523484673826E-6</v>
      </c>
      <c r="AQ39" s="4">
        <f t="shared" si="31"/>
        <v>6.1395523484673826E-6</v>
      </c>
      <c r="AR39" s="4">
        <f t="shared" si="32"/>
        <v>6.1395523484673826E-6</v>
      </c>
    </row>
    <row r="40" spans="1:44" x14ac:dyDescent="0.25">
      <c r="A40" s="4" t="s">
        <v>95</v>
      </c>
      <c r="B40" s="4">
        <v>20266.8169948715</v>
      </c>
      <c r="C40" s="4">
        <v>75297.638210252699</v>
      </c>
      <c r="D40" s="4">
        <v>128323.10206794699</v>
      </c>
      <c r="E40" s="4">
        <v>165885.23125429</v>
      </c>
      <c r="F40" s="4">
        <v>189310.491634098</v>
      </c>
      <c r="G40" s="4">
        <v>203056.47653361401</v>
      </c>
      <c r="H40" s="4">
        <v>210875.641084551</v>
      </c>
      <c r="I40" s="4">
        <v>215250.96527192701</v>
      </c>
      <c r="J40" s="4">
        <v>217677.71302639801</v>
      </c>
      <c r="K40" s="4">
        <v>219017.25895361599</v>
      </c>
      <c r="M40" s="4">
        <f t="shared" si="3"/>
        <v>202668.16994871502</v>
      </c>
      <c r="N40" s="4">
        <f t="shared" si="4"/>
        <v>550308.21215381194</v>
      </c>
      <c r="O40" s="4">
        <f t="shared" si="5"/>
        <v>530254.63857694296</v>
      </c>
      <c r="P40" s="4">
        <f t="shared" si="6"/>
        <v>375621.29186343006</v>
      </c>
      <c r="Q40" s="4">
        <f t="shared" si="7"/>
        <v>234252.60379807994</v>
      </c>
      <c r="R40" s="4">
        <f t="shared" si="8"/>
        <v>137459.84899516014</v>
      </c>
      <c r="S40" s="4">
        <f t="shared" si="9"/>
        <v>78191.645509369846</v>
      </c>
      <c r="T40" s="4">
        <f t="shared" si="10"/>
        <v>43753.241873760126</v>
      </c>
      <c r="U40" s="4">
        <f t="shared" si="11"/>
        <v>24267.477544709982</v>
      </c>
      <c r="V40" s="4">
        <f t="shared" si="12"/>
        <v>13395.459272179869</v>
      </c>
      <c r="X40" s="4">
        <f t="shared" si="13"/>
        <v>310.36385450470999</v>
      </c>
      <c r="Y40" s="4">
        <f t="shared" si="14"/>
        <v>777.80047267768214</v>
      </c>
      <c r="Z40" s="4">
        <f t="shared" si="15"/>
        <v>1129.6259212619846</v>
      </c>
      <c r="AA40" s="4">
        <f t="shared" si="16"/>
        <v>1352.0310344879922</v>
      </c>
      <c r="AB40" s="4">
        <f t="shared" si="17"/>
        <v>1483.0081340131148</v>
      </c>
      <c r="AC40" s="4">
        <f t="shared" si="18"/>
        <v>1557.5896292460213</v>
      </c>
      <c r="AD40" s="4">
        <f t="shared" si="19"/>
        <v>1599.3361208371527</v>
      </c>
      <c r="AE40" s="4">
        <f t="shared" si="20"/>
        <v>1622.4929937152854</v>
      </c>
      <c r="AF40" s="4">
        <f t="shared" si="21"/>
        <v>1635.2758795496109</v>
      </c>
      <c r="AG40" s="4">
        <f t="shared" si="22"/>
        <v>1642.313611309273</v>
      </c>
      <c r="AI40" s="4">
        <f t="shared" si="23"/>
        <v>1.3433238936753734E-4</v>
      </c>
      <c r="AJ40" s="4">
        <f t="shared" si="24"/>
        <v>9.0611224017253536E-5</v>
      </c>
      <c r="AK40" s="4">
        <f t="shared" si="25"/>
        <v>7.721913786084166E-5</v>
      </c>
      <c r="AL40" s="4">
        <f t="shared" si="26"/>
        <v>7.1494739257272575E-5</v>
      </c>
      <c r="AM40" s="4">
        <f t="shared" si="27"/>
        <v>6.8716969506161724E-5</v>
      </c>
      <c r="AN40" s="4">
        <f t="shared" si="28"/>
        <v>6.7287028497950549E-5</v>
      </c>
      <c r="AO40" s="4">
        <f t="shared" si="29"/>
        <v>6.6528614427517976E-5</v>
      </c>
      <c r="AP40" s="4">
        <f t="shared" si="30"/>
        <v>6.6120003985734591E-5</v>
      </c>
      <c r="AQ40" s="4">
        <f t="shared" si="31"/>
        <v>6.589799690456844E-5</v>
      </c>
      <c r="AR40" s="4">
        <f t="shared" si="32"/>
        <v>6.5776824242777819E-5</v>
      </c>
    </row>
    <row r="41" spans="1:44" x14ac:dyDescent="0.25">
      <c r="A41" s="4" t="s">
        <v>97</v>
      </c>
      <c r="B41" s="4">
        <v>5365.7733613401397</v>
      </c>
      <c r="C41" s="4">
        <v>7247.5261634869603</v>
      </c>
      <c r="D41" s="4">
        <v>7468.2371577720696</v>
      </c>
      <c r="E41" s="4">
        <v>7491.7575760836398</v>
      </c>
      <c r="F41" s="4">
        <v>7494.2394828057704</v>
      </c>
      <c r="G41" s="4">
        <v>7494.5011057768797</v>
      </c>
      <c r="H41" s="4">
        <v>7494.5286809898498</v>
      </c>
      <c r="I41" s="4">
        <v>7494.5315873998597</v>
      </c>
      <c r="J41" s="4">
        <v>7494.5318937332704</v>
      </c>
      <c r="K41" s="4">
        <v>7494.5319260205697</v>
      </c>
      <c r="M41" s="4">
        <f t="shared" si="3"/>
        <v>53657.733613401397</v>
      </c>
      <c r="N41" s="4">
        <f t="shared" si="4"/>
        <v>18817.528021468206</v>
      </c>
      <c r="O41" s="4">
        <f t="shared" si="5"/>
        <v>2207.1099428510934</v>
      </c>
      <c r="P41" s="4">
        <f t="shared" si="6"/>
        <v>235.20418311570211</v>
      </c>
      <c r="Q41" s="4">
        <f t="shared" si="7"/>
        <v>24.819067221305886</v>
      </c>
      <c r="R41" s="4">
        <f t="shared" si="8"/>
        <v>2.6162297110931831</v>
      </c>
      <c r="S41" s="4">
        <f t="shared" si="9"/>
        <v>0.275752129700777</v>
      </c>
      <c r="T41" s="4">
        <f t="shared" si="10"/>
        <v>2.9064100099276402E-2</v>
      </c>
      <c r="U41" s="4">
        <f t="shared" si="11"/>
        <v>3.0633341066277353E-3</v>
      </c>
      <c r="V41" s="4">
        <f t="shared" si="12"/>
        <v>3.2287299291056115E-4</v>
      </c>
      <c r="X41" s="4">
        <f t="shared" si="13"/>
        <v>122.42324369304097</v>
      </c>
      <c r="Y41" s="4">
        <f t="shared" si="14"/>
        <v>151.09639720685129</v>
      </c>
      <c r="Z41" s="4">
        <f t="shared" si="15"/>
        <v>154.30284204495874</v>
      </c>
      <c r="AA41" s="4">
        <f t="shared" si="16"/>
        <v>154.64285383171236</v>
      </c>
      <c r="AB41" s="4">
        <f t="shared" si="17"/>
        <v>154.67871364769479</v>
      </c>
      <c r="AC41" s="4">
        <f t="shared" si="18"/>
        <v>154.68249349820175</v>
      </c>
      <c r="AD41" s="4">
        <f t="shared" si="19"/>
        <v>154.68289189433258</v>
      </c>
      <c r="AE41" s="4">
        <f t="shared" si="20"/>
        <v>154.68293388500734</v>
      </c>
      <c r="AF41" s="4">
        <f t="shared" si="21"/>
        <v>154.6829383107922</v>
      </c>
      <c r="AG41" s="4">
        <f t="shared" si="22"/>
        <v>154.68293877726646</v>
      </c>
      <c r="AI41" s="4">
        <f t="shared" si="23"/>
        <v>2.0013668678364076E-4</v>
      </c>
      <c r="AJ41" s="4">
        <f t="shared" si="24"/>
        <v>1.8287715879108598E-4</v>
      </c>
      <c r="AK41" s="4">
        <f t="shared" si="25"/>
        <v>1.8123871451245505E-4</v>
      </c>
      <c r="AL41" s="4">
        <f t="shared" si="26"/>
        <v>1.8106782659548017E-4</v>
      </c>
      <c r="AM41" s="4">
        <f t="shared" si="27"/>
        <v>1.8104983495443658E-4</v>
      </c>
      <c r="AN41" s="4">
        <f t="shared" si="28"/>
        <v>1.8104793886927431E-4</v>
      </c>
      <c r="AO41" s="4">
        <f t="shared" si="29"/>
        <v>1.8104773902581064E-4</v>
      </c>
      <c r="AP41" s="4">
        <f t="shared" si="30"/>
        <v>1.8104771796249178E-4</v>
      </c>
      <c r="AQ41" s="4">
        <f t="shared" si="31"/>
        <v>1.8104771574243439E-4</v>
      </c>
      <c r="AR41" s="4">
        <f t="shared" si="32"/>
        <v>1.8104771550844217E-4</v>
      </c>
    </row>
    <row r="42" spans="1:44" x14ac:dyDescent="0.25">
      <c r="A42" s="4" t="s">
        <v>99</v>
      </c>
      <c r="B42" s="4">
        <v>848.66734508255297</v>
      </c>
      <c r="C42" s="4">
        <v>3646.92117083622</v>
      </c>
      <c r="D42" s="4">
        <v>6846.6822966777499</v>
      </c>
      <c r="E42" s="4">
        <v>9472.9624511648799</v>
      </c>
      <c r="F42" s="4">
        <v>11338.8017925362</v>
      </c>
      <c r="G42" s="4">
        <v>12570.9239745302</v>
      </c>
      <c r="H42" s="4">
        <v>13352.730844723799</v>
      </c>
      <c r="I42" s="4">
        <v>13837.677257817701</v>
      </c>
      <c r="J42" s="4">
        <v>14134.543163955999</v>
      </c>
      <c r="K42" s="4">
        <v>14314.866792645</v>
      </c>
      <c r="M42" s="4">
        <f t="shared" si="3"/>
        <v>8486.6734508255304</v>
      </c>
      <c r="N42" s="4">
        <f t="shared" si="4"/>
        <v>27982.538257536671</v>
      </c>
      <c r="O42" s="4">
        <f t="shared" si="5"/>
        <v>31997.611258415302</v>
      </c>
      <c r="P42" s="4">
        <f t="shared" si="6"/>
        <v>26262.801544871298</v>
      </c>
      <c r="Q42" s="4">
        <f t="shared" si="7"/>
        <v>18658.393413713202</v>
      </c>
      <c r="R42" s="4">
        <f t="shared" si="8"/>
        <v>12321.221819940001</v>
      </c>
      <c r="S42" s="4">
        <f t="shared" si="9"/>
        <v>7818.0687019359902</v>
      </c>
      <c r="T42" s="4">
        <f t="shared" si="10"/>
        <v>4849.4641309390136</v>
      </c>
      <c r="U42" s="4">
        <f t="shared" si="11"/>
        <v>2968.6590613829867</v>
      </c>
      <c r="V42" s="4">
        <f t="shared" si="12"/>
        <v>1803.2362868900054</v>
      </c>
      <c r="X42" s="4">
        <f t="shared" si="13"/>
        <v>33.669564494448167</v>
      </c>
      <c r="Y42" s="4">
        <f t="shared" si="14"/>
        <v>93.426422252050855</v>
      </c>
      <c r="Z42" s="4">
        <f t="shared" si="15"/>
        <v>145.19691128860208</v>
      </c>
      <c r="AA42" s="4">
        <f t="shared" si="16"/>
        <v>182.24739352480577</v>
      </c>
      <c r="AB42" s="4">
        <f t="shared" si="17"/>
        <v>206.68943082117079</v>
      </c>
      <c r="AC42" s="4">
        <f t="shared" si="18"/>
        <v>222.16635749314645</v>
      </c>
      <c r="AD42" s="4">
        <f t="shared" si="19"/>
        <v>231.75030860422513</v>
      </c>
      <c r="AE42" s="4">
        <f t="shared" si="20"/>
        <v>237.61042588193439</v>
      </c>
      <c r="AF42" s="4">
        <f t="shared" si="21"/>
        <v>241.16734274190003</v>
      </c>
      <c r="AG42" s="4">
        <f t="shared" si="22"/>
        <v>243.31695478572715</v>
      </c>
      <c r="AI42" s="4">
        <f t="shared" si="23"/>
        <v>3.4801275043770425E-4</v>
      </c>
      <c r="AJ42" s="4">
        <f t="shared" si="24"/>
        <v>2.247183257780475E-4</v>
      </c>
      <c r="AK42" s="4">
        <f t="shared" si="25"/>
        <v>1.8602544435057371E-4</v>
      </c>
      <c r="AL42" s="4">
        <f t="shared" si="26"/>
        <v>1.6876044373133103E-4</v>
      </c>
      <c r="AM42" s="4">
        <f t="shared" si="27"/>
        <v>1.5989918651151521E-4</v>
      </c>
      <c r="AN42" s="4">
        <f t="shared" si="28"/>
        <v>1.5502660753153853E-4</v>
      </c>
      <c r="AO42" s="4">
        <f t="shared" si="29"/>
        <v>1.5224581904157763E-4</v>
      </c>
      <c r="AP42" s="4">
        <f t="shared" si="30"/>
        <v>1.5062513329272328E-4</v>
      </c>
      <c r="AQ42" s="4">
        <f t="shared" si="31"/>
        <v>1.4966900464831185E-4</v>
      </c>
      <c r="AR42" s="4">
        <f t="shared" si="32"/>
        <v>1.4910088116244403E-4</v>
      </c>
    </row>
    <row r="43" spans="1:44" x14ac:dyDescent="0.25">
      <c r="A43" s="4" t="s">
        <v>101</v>
      </c>
      <c r="B43" s="4">
        <v>12406.4748920861</v>
      </c>
      <c r="C43" s="4">
        <v>43680.148089164897</v>
      </c>
      <c r="D43" s="4">
        <v>90751.986345082507</v>
      </c>
      <c r="E43" s="4">
        <v>146677.75631139099</v>
      </c>
      <c r="F43" s="4">
        <v>205193.907253671</v>
      </c>
      <c r="G43" s="4">
        <v>261846.636040838</v>
      </c>
      <c r="H43" s="4">
        <v>313955.59851229697</v>
      </c>
      <c r="I43" s="4">
        <v>360210.65144740598</v>
      </c>
      <c r="J43" s="4">
        <v>400233.51703627501</v>
      </c>
      <c r="K43" s="4">
        <v>434218.15112626302</v>
      </c>
      <c r="M43" s="4">
        <f t="shared" si="3"/>
        <v>124064.74892086101</v>
      </c>
      <c r="N43" s="4">
        <f t="shared" si="4"/>
        <v>312736.73197078798</v>
      </c>
      <c r="O43" s="4">
        <f t="shared" si="5"/>
        <v>470718.38255917607</v>
      </c>
      <c r="P43" s="4">
        <f t="shared" si="6"/>
        <v>559257.69966308482</v>
      </c>
      <c r="Q43" s="4">
        <f t="shared" si="7"/>
        <v>585161.50942280015</v>
      </c>
      <c r="R43" s="4">
        <f t="shared" si="8"/>
        <v>566527.28787166998</v>
      </c>
      <c r="S43" s="4">
        <f t="shared" si="9"/>
        <v>521089.62471458974</v>
      </c>
      <c r="T43" s="4">
        <f t="shared" si="10"/>
        <v>462550.52935109008</v>
      </c>
      <c r="U43" s="4">
        <f t="shared" si="11"/>
        <v>400228.65588869026</v>
      </c>
      <c r="V43" s="4">
        <f t="shared" si="12"/>
        <v>339846.34089988016</v>
      </c>
      <c r="X43" s="4">
        <f t="shared" si="13"/>
        <v>220.12792276798004</v>
      </c>
      <c r="Y43" s="4">
        <f t="shared" si="14"/>
        <v>531.27591285452388</v>
      </c>
      <c r="Z43" s="4">
        <f t="shared" si="15"/>
        <v>886.38123304747864</v>
      </c>
      <c r="AA43" s="4">
        <f t="shared" si="16"/>
        <v>1240.4413511041796</v>
      </c>
      <c r="AB43" s="4">
        <f t="shared" si="17"/>
        <v>1569.0485346358487</v>
      </c>
      <c r="AC43" s="4">
        <f t="shared" si="18"/>
        <v>1861.0333418698558</v>
      </c>
      <c r="AD43" s="4">
        <f t="shared" si="19"/>
        <v>2113.1436302960979</v>
      </c>
      <c r="AE43" s="4">
        <f t="shared" si="20"/>
        <v>2326.5416957624743</v>
      </c>
      <c r="AF43" s="4">
        <f t="shared" si="21"/>
        <v>2504.6132478218797</v>
      </c>
      <c r="AG43" s="4">
        <f t="shared" si="22"/>
        <v>2651.6538882684877</v>
      </c>
      <c r="AI43" s="4">
        <f t="shared" si="23"/>
        <v>1.556402368717092E-4</v>
      </c>
      <c r="AJ43" s="4">
        <f t="shared" si="24"/>
        <v>1.0669183207727493E-4</v>
      </c>
      <c r="AK43" s="4">
        <f t="shared" si="25"/>
        <v>8.5676074841330478E-5</v>
      </c>
      <c r="AL43" s="4">
        <f t="shared" si="26"/>
        <v>7.4183466920982433E-5</v>
      </c>
      <c r="AM43" s="4">
        <f t="shared" si="27"/>
        <v>6.7075985936275063E-5</v>
      </c>
      <c r="AN43" s="4">
        <f t="shared" si="28"/>
        <v>6.2345096820359063E-5</v>
      </c>
      <c r="AO43" s="4">
        <f t="shared" si="29"/>
        <v>5.9041303044163635E-5</v>
      </c>
      <c r="AP43" s="4">
        <f t="shared" si="30"/>
        <v>5.6656460343800522E-5</v>
      </c>
      <c r="AQ43" s="4">
        <f t="shared" si="31"/>
        <v>5.4893682593727104E-5</v>
      </c>
      <c r="AR43" s="4">
        <f t="shared" si="32"/>
        <v>5.3567824759478842E-5</v>
      </c>
    </row>
    <row r="44" spans="1:44" x14ac:dyDescent="0.25">
      <c r="A44" s="4" t="s">
        <v>103</v>
      </c>
      <c r="B44" s="4">
        <v>88.637641412462003</v>
      </c>
      <c r="C44" s="4">
        <v>485.26417995757498</v>
      </c>
      <c r="D44" s="4">
        <v>1196.1098215516899</v>
      </c>
      <c r="E44" s="4">
        <v>2135.8558265531501</v>
      </c>
      <c r="F44" s="4">
        <v>3206.9448173893802</v>
      </c>
      <c r="G44" s="4">
        <v>4326.37555368007</v>
      </c>
      <c r="H44" s="4">
        <v>5432.5046132494399</v>
      </c>
      <c r="I44" s="4">
        <v>6483.9555818932304</v>
      </c>
      <c r="J44" s="4">
        <v>7455.8646299087904</v>
      </c>
      <c r="K44" s="4">
        <v>8335.7172299716494</v>
      </c>
      <c r="M44" s="4">
        <f t="shared" si="3"/>
        <v>886.37641412462006</v>
      </c>
      <c r="N44" s="4">
        <f t="shared" si="4"/>
        <v>3966.2653854511295</v>
      </c>
      <c r="O44" s="4">
        <f t="shared" si="5"/>
        <v>7108.4564159411502</v>
      </c>
      <c r="P44" s="4">
        <f t="shared" si="6"/>
        <v>9397.4600500146007</v>
      </c>
      <c r="Q44" s="4">
        <f t="shared" si="7"/>
        <v>10710.8899083623</v>
      </c>
      <c r="R44" s="4">
        <f t="shared" si="8"/>
        <v>11194.307362906897</v>
      </c>
      <c r="S44" s="4">
        <f t="shared" si="9"/>
        <v>11061.290595693699</v>
      </c>
      <c r="T44" s="4">
        <f t="shared" si="10"/>
        <v>10514.509686437905</v>
      </c>
      <c r="U44" s="4">
        <f t="shared" si="11"/>
        <v>9719.0904801556007</v>
      </c>
      <c r="V44" s="4">
        <f t="shared" si="12"/>
        <v>8798.5260006285898</v>
      </c>
      <c r="X44" s="4">
        <f t="shared" si="13"/>
        <v>6.9255455274362836</v>
      </c>
      <c r="Y44" s="4">
        <f t="shared" si="14"/>
        <v>22.767011089668078</v>
      </c>
      <c r="Z44" s="4">
        <f t="shared" si="15"/>
        <v>42.811554183256163</v>
      </c>
      <c r="AA44" s="4">
        <f t="shared" si="16"/>
        <v>64.242377993259609</v>
      </c>
      <c r="AB44" s="4">
        <f t="shared" si="17"/>
        <v>85.385729973870369</v>
      </c>
      <c r="AC44" s="4">
        <f t="shared" si="18"/>
        <v>105.2951107880551</v>
      </c>
      <c r="AD44" s="4">
        <f t="shared" si="19"/>
        <v>123.48702484951741</v>
      </c>
      <c r="AE44" s="4">
        <f t="shared" si="20"/>
        <v>139.76849103270646</v>
      </c>
      <c r="AF44" s="4">
        <f t="shared" si="21"/>
        <v>154.1238555379754</v>
      </c>
      <c r="AG44" s="4">
        <f t="shared" si="22"/>
        <v>166.64079787920465</v>
      </c>
      <c r="AI44" s="4">
        <f t="shared" si="23"/>
        <v>6.8537924064092902E-4</v>
      </c>
      <c r="AJ44" s="4">
        <f t="shared" si="24"/>
        <v>4.115503097942231E-4</v>
      </c>
      <c r="AK44" s="4">
        <f t="shared" si="25"/>
        <v>3.1396778306589821E-4</v>
      </c>
      <c r="AL44" s="4">
        <f t="shared" si="26"/>
        <v>2.6384254241975063E-4</v>
      </c>
      <c r="AM44" s="4">
        <f t="shared" si="27"/>
        <v>2.3355488603619411E-4</v>
      </c>
      <c r="AN44" s="4">
        <f t="shared" si="28"/>
        <v>2.134907872056037E-4</v>
      </c>
      <c r="AO44" s="4">
        <f t="shared" si="29"/>
        <v>1.9939596803690733E-4</v>
      </c>
      <c r="AP44" s="4">
        <f t="shared" si="30"/>
        <v>1.8908818537368102E-4</v>
      </c>
      <c r="AQ44" s="4">
        <f t="shared" si="31"/>
        <v>1.8132888835543392E-4</v>
      </c>
      <c r="AR44" s="4">
        <f t="shared" si="32"/>
        <v>1.7536120103132092E-4</v>
      </c>
    </row>
    <row r="45" spans="1:44" x14ac:dyDescent="0.25">
      <c r="A45" s="4" t="s">
        <v>105</v>
      </c>
      <c r="B45" s="4">
        <v>62967.6709126489</v>
      </c>
      <c r="C45" s="4">
        <v>146616.143648261</v>
      </c>
      <c r="D45" s="4">
        <v>196176.93978118501</v>
      </c>
      <c r="E45" s="4">
        <v>219566.60736839601</v>
      </c>
      <c r="F45" s="4">
        <v>229746.34928982001</v>
      </c>
      <c r="G45" s="4">
        <v>234039.22426235399</v>
      </c>
      <c r="H45" s="4">
        <v>235826.68057619399</v>
      </c>
      <c r="I45" s="4">
        <v>236567.077051706</v>
      </c>
      <c r="J45" s="4">
        <v>236873.10766434899</v>
      </c>
      <c r="K45" s="4">
        <v>236999.488978012</v>
      </c>
      <c r="M45" s="4">
        <f t="shared" si="3"/>
        <v>629676.709126489</v>
      </c>
      <c r="N45" s="4">
        <f t="shared" si="4"/>
        <v>836484.72735612094</v>
      </c>
      <c r="O45" s="4">
        <f t="shared" si="5"/>
        <v>495607.96132924006</v>
      </c>
      <c r="P45" s="4">
        <f t="shared" si="6"/>
        <v>233896.67587211006</v>
      </c>
      <c r="Q45" s="4">
        <f t="shared" si="7"/>
        <v>101797.41921423993</v>
      </c>
      <c r="R45" s="4">
        <f t="shared" si="8"/>
        <v>42928.749725339876</v>
      </c>
      <c r="S45" s="4">
        <f t="shared" si="9"/>
        <v>17874.563138399972</v>
      </c>
      <c r="T45" s="4">
        <f t="shared" si="10"/>
        <v>7403.9647551201051</v>
      </c>
      <c r="U45" s="4">
        <f t="shared" si="11"/>
        <v>3060.3061264299322</v>
      </c>
      <c r="V45" s="4">
        <f t="shared" si="12"/>
        <v>1263.8131366300513</v>
      </c>
      <c r="X45" s="4">
        <f t="shared" si="13"/>
        <v>686.28356004591944</v>
      </c>
      <c r="Y45" s="4">
        <f t="shared" si="14"/>
        <v>1240.0765909701822</v>
      </c>
      <c r="Z45" s="4">
        <f t="shared" si="15"/>
        <v>1520.4593849910564</v>
      </c>
      <c r="AA45" s="4">
        <f t="shared" si="16"/>
        <v>1645.1960522511852</v>
      </c>
      <c r="AB45" s="4">
        <f t="shared" si="17"/>
        <v>1698.2252273317499</v>
      </c>
      <c r="AC45" s="4">
        <f t="shared" si="18"/>
        <v>1720.3757399608917</v>
      </c>
      <c r="AD45" s="4">
        <f t="shared" si="19"/>
        <v>1729.5627027766698</v>
      </c>
      <c r="AE45" s="4">
        <f t="shared" si="20"/>
        <v>1733.3619841679886</v>
      </c>
      <c r="AF45" s="4">
        <f t="shared" si="21"/>
        <v>1734.9313118725429</v>
      </c>
      <c r="AG45" s="4">
        <f t="shared" si="22"/>
        <v>1735.5792188877574</v>
      </c>
      <c r="AI45" s="4">
        <f t="shared" si="23"/>
        <v>9.5605111976020026E-5</v>
      </c>
      <c r="AJ45" s="4">
        <f t="shared" si="24"/>
        <v>7.4192817805713689E-5</v>
      </c>
      <c r="AK45" s="4">
        <f t="shared" si="25"/>
        <v>6.7986395552473082E-5</v>
      </c>
      <c r="AL45" s="4">
        <f t="shared" si="26"/>
        <v>6.5727409513501915E-5</v>
      </c>
      <c r="AM45" s="4">
        <f t="shared" si="27"/>
        <v>6.4839822554316496E-5</v>
      </c>
      <c r="AN45" s="4">
        <f t="shared" si="28"/>
        <v>6.4480709634800649E-5</v>
      </c>
      <c r="AO45" s="4">
        <f t="shared" si="29"/>
        <v>6.4333698879477967E-5</v>
      </c>
      <c r="AP45" s="4">
        <f t="shared" si="30"/>
        <v>6.4273228021331118E-5</v>
      </c>
      <c r="AQ45" s="4">
        <f t="shared" si="31"/>
        <v>6.4248305213883585E-5</v>
      </c>
      <c r="AR45" s="4">
        <f t="shared" si="32"/>
        <v>6.4238025063686821E-5</v>
      </c>
    </row>
    <row r="46" spans="1:44" x14ac:dyDescent="0.25">
      <c r="A46" s="4" t="s">
        <v>107</v>
      </c>
      <c r="B46" s="4">
        <v>19400.182847872598</v>
      </c>
      <c r="C46" s="4">
        <v>47857.0419475706</v>
      </c>
      <c r="D46" s="4">
        <v>70998.638704610305</v>
      </c>
      <c r="E46" s="4">
        <v>86152.093370381801</v>
      </c>
      <c r="F46" s="4">
        <v>95176.206080602104</v>
      </c>
      <c r="G46" s="4">
        <v>100307.425297024</v>
      </c>
      <c r="H46" s="4">
        <v>103156.83085746699</v>
      </c>
      <c r="I46" s="4">
        <v>104719.56738180701</v>
      </c>
      <c r="J46" s="4">
        <v>105570.98166355</v>
      </c>
      <c r="K46" s="4">
        <v>106033.207016377</v>
      </c>
      <c r="M46" s="4">
        <f t="shared" si="3"/>
        <v>194001.82847872598</v>
      </c>
      <c r="N46" s="4">
        <f t="shared" si="4"/>
        <v>284568.59099698003</v>
      </c>
      <c r="O46" s="4">
        <f t="shared" si="5"/>
        <v>231415.96757039704</v>
      </c>
      <c r="P46" s="4">
        <f t="shared" si="6"/>
        <v>151534.54665771496</v>
      </c>
      <c r="Q46" s="4">
        <f t="shared" si="7"/>
        <v>90241.127102203027</v>
      </c>
      <c r="R46" s="4">
        <f t="shared" si="8"/>
        <v>51312.192164219014</v>
      </c>
      <c r="S46" s="4">
        <f t="shared" si="9"/>
        <v>28494.055604429886</v>
      </c>
      <c r="T46" s="4">
        <f t="shared" si="10"/>
        <v>15627.365243400127</v>
      </c>
      <c r="U46" s="4">
        <f t="shared" si="11"/>
        <v>8514.1428174299654</v>
      </c>
      <c r="V46" s="4">
        <f t="shared" si="12"/>
        <v>4622.2535282699391</v>
      </c>
      <c r="X46" s="4">
        <f t="shared" si="13"/>
        <v>301.01305466324453</v>
      </c>
      <c r="Y46" s="4">
        <f t="shared" si="14"/>
        <v>566.34797318499216</v>
      </c>
      <c r="Z46" s="4">
        <f t="shared" si="15"/>
        <v>746.44234746373274</v>
      </c>
      <c r="AA46" s="4">
        <f t="shared" si="16"/>
        <v>854.6874736584989</v>
      </c>
      <c r="AB46" s="4">
        <f t="shared" si="17"/>
        <v>916.41275865240607</v>
      </c>
      <c r="AC46" s="4">
        <f t="shared" si="18"/>
        <v>950.72390258151563</v>
      </c>
      <c r="AD46" s="4">
        <f t="shared" si="19"/>
        <v>969.54919193365708</v>
      </c>
      <c r="AE46" s="4">
        <f t="shared" si="20"/>
        <v>979.80746124403549</v>
      </c>
      <c r="AF46" s="4">
        <f t="shared" si="21"/>
        <v>985.37705809673571</v>
      </c>
      <c r="AG46" s="4">
        <f t="shared" si="22"/>
        <v>988.39509754929986</v>
      </c>
      <c r="AI46" s="4">
        <f t="shared" si="23"/>
        <v>1.3610518068247988E-4</v>
      </c>
      <c r="AJ46" s="4">
        <f t="shared" si="24"/>
        <v>1.0380843601875662E-4</v>
      </c>
      <c r="AK46" s="4">
        <f t="shared" si="25"/>
        <v>9.2223456808441105E-5</v>
      </c>
      <c r="AL46" s="4">
        <f t="shared" si="26"/>
        <v>8.7023521397583417E-5</v>
      </c>
      <c r="AM46" s="4">
        <f t="shared" si="27"/>
        <v>8.4461324319062183E-5</v>
      </c>
      <c r="AN46" s="4">
        <f t="shared" si="28"/>
        <v>8.3141236366931598E-5</v>
      </c>
      <c r="AO46" s="4">
        <f t="shared" si="29"/>
        <v>8.2445509448166948E-5</v>
      </c>
      <c r="AP46" s="4">
        <f t="shared" si="30"/>
        <v>8.2074463316657339E-5</v>
      </c>
      <c r="AQ46" s="4">
        <f t="shared" si="31"/>
        <v>8.1875324716637406E-5</v>
      </c>
      <c r="AR46" s="4">
        <f t="shared" si="32"/>
        <v>8.1768086419416376E-5</v>
      </c>
    </row>
    <row r="47" spans="1:44" x14ac:dyDescent="0.25">
      <c r="A47" s="4" t="s">
        <v>109</v>
      </c>
      <c r="B47" s="4">
        <v>97118.966806838202</v>
      </c>
      <c r="C47" s="4">
        <v>216087.490237074</v>
      </c>
      <c r="D47" s="4">
        <v>302022.38119936897</v>
      </c>
      <c r="E47" s="4">
        <v>352741.02904570999</v>
      </c>
      <c r="F47" s="4">
        <v>380224.81513911497</v>
      </c>
      <c r="G47" s="4">
        <v>394540.68276330602</v>
      </c>
      <c r="H47" s="4">
        <v>401856.74301673798</v>
      </c>
      <c r="I47" s="4">
        <v>405560.66907746199</v>
      </c>
      <c r="J47" s="4">
        <v>407427.148206577</v>
      </c>
      <c r="K47" s="4">
        <v>408365.51693437801</v>
      </c>
      <c r="M47" s="4">
        <f t="shared" si="3"/>
        <v>971189.66806838196</v>
      </c>
      <c r="N47" s="4">
        <f t="shared" si="4"/>
        <v>1189685.234302358</v>
      </c>
      <c r="O47" s="4">
        <f t="shared" si="5"/>
        <v>859348.90962294978</v>
      </c>
      <c r="P47" s="4">
        <f t="shared" si="6"/>
        <v>507186.47846341017</v>
      </c>
      <c r="Q47" s="4">
        <f t="shared" si="7"/>
        <v>274837.86093404982</v>
      </c>
      <c r="R47" s="4">
        <f t="shared" si="8"/>
        <v>143158.67624191043</v>
      </c>
      <c r="S47" s="4">
        <f t="shared" si="9"/>
        <v>73160.602534319623</v>
      </c>
      <c r="T47" s="4">
        <f t="shared" si="10"/>
        <v>37039.26060724014</v>
      </c>
      <c r="U47" s="4">
        <f t="shared" si="11"/>
        <v>18664.791291150032</v>
      </c>
      <c r="V47" s="4">
        <f t="shared" si="12"/>
        <v>9383.6872780101839</v>
      </c>
      <c r="X47" s="4">
        <f t="shared" si="13"/>
        <v>929.46725062759526</v>
      </c>
      <c r="Y47" s="4">
        <f t="shared" si="14"/>
        <v>1626.9042455546139</v>
      </c>
      <c r="Z47" s="4">
        <f t="shared" si="15"/>
        <v>2056.5943759447091</v>
      </c>
      <c r="AA47" s="4">
        <f t="shared" si="16"/>
        <v>2292.6641444795223</v>
      </c>
      <c r="AB47" s="4">
        <f t="shared" si="17"/>
        <v>2416.2928840777095</v>
      </c>
      <c r="AC47" s="4">
        <f t="shared" si="18"/>
        <v>2479.6221603455979</v>
      </c>
      <c r="AD47" s="4">
        <f t="shared" si="19"/>
        <v>2511.7194968299914</v>
      </c>
      <c r="AE47" s="4">
        <f t="shared" si="20"/>
        <v>2527.9025985074063</v>
      </c>
      <c r="AF47" s="4">
        <f t="shared" si="21"/>
        <v>2536.0407612229069</v>
      </c>
      <c r="AG47" s="4">
        <f t="shared" si="22"/>
        <v>2540.1279803109323</v>
      </c>
      <c r="AI47" s="4">
        <f t="shared" si="23"/>
        <v>8.3950867320792166E-5</v>
      </c>
      <c r="AJ47" s="4">
        <f t="shared" si="24"/>
        <v>6.6043109934910992E-5</v>
      </c>
      <c r="AK47" s="4">
        <f t="shared" si="25"/>
        <v>5.9731671115678012E-5</v>
      </c>
      <c r="AL47" s="4">
        <f t="shared" si="26"/>
        <v>5.7013750402299751E-5</v>
      </c>
      <c r="AM47" s="4">
        <f t="shared" si="27"/>
        <v>5.5744787743434929E-5</v>
      </c>
      <c r="AN47" s="4">
        <f t="shared" si="28"/>
        <v>5.5130110866229468E-5</v>
      </c>
      <c r="AO47" s="4">
        <f t="shared" si="29"/>
        <v>5.4827068471656E-5</v>
      </c>
      <c r="AP47" s="4">
        <f t="shared" si="30"/>
        <v>5.4676367528129427E-5</v>
      </c>
      <c r="AQ47" s="4">
        <f t="shared" si="31"/>
        <v>5.4601102767936543E-5</v>
      </c>
      <c r="AR47" s="4">
        <f t="shared" si="32"/>
        <v>5.4563432671698741E-5</v>
      </c>
    </row>
    <row r="48" spans="1:44" x14ac:dyDescent="0.25">
      <c r="A48" s="4" t="s">
        <v>111</v>
      </c>
      <c r="B48" s="4">
        <v>15505.607336429301</v>
      </c>
      <c r="C48" s="4">
        <v>29023.595266329001</v>
      </c>
      <c r="D48" s="4">
        <v>40423.020306731203</v>
      </c>
      <c r="E48" s="4">
        <v>48814.0073793435</v>
      </c>
      <c r="F48" s="4">
        <v>54572.212755207802</v>
      </c>
      <c r="G48" s="4">
        <v>58371.880887629202</v>
      </c>
      <c r="H48" s="4">
        <v>60822.476664833703</v>
      </c>
      <c r="I48" s="4">
        <v>62381.493799892298</v>
      </c>
      <c r="J48" s="4">
        <v>63365.086778471697</v>
      </c>
      <c r="K48" s="4">
        <v>63982.481083165098</v>
      </c>
      <c r="M48" s="4">
        <f t="shared" si="3"/>
        <v>155056.073364293</v>
      </c>
      <c r="N48" s="4">
        <f t="shared" si="4"/>
        <v>135179.879298997</v>
      </c>
      <c r="O48" s="4">
        <f t="shared" si="5"/>
        <v>113994.25040402202</v>
      </c>
      <c r="P48" s="4">
        <f t="shared" si="6"/>
        <v>83909.870726122972</v>
      </c>
      <c r="Q48" s="4">
        <f t="shared" si="7"/>
        <v>57582.053758643015</v>
      </c>
      <c r="R48" s="4">
        <f t="shared" si="8"/>
        <v>37996.681324214005</v>
      </c>
      <c r="S48" s="4">
        <f t="shared" si="9"/>
        <v>24505.957772045003</v>
      </c>
      <c r="T48" s="4">
        <f t="shared" si="10"/>
        <v>15590.171350585952</v>
      </c>
      <c r="U48" s="4">
        <f t="shared" si="11"/>
        <v>9835.9297857939964</v>
      </c>
      <c r="V48" s="4">
        <f t="shared" si="12"/>
        <v>6173.9430469340004</v>
      </c>
      <c r="X48" s="4">
        <f t="shared" si="13"/>
        <v>257.31399162764961</v>
      </c>
      <c r="Y48" s="4">
        <f t="shared" si="14"/>
        <v>399.06818072084872</v>
      </c>
      <c r="Z48" s="4">
        <f t="shared" si="15"/>
        <v>503.22404757529699</v>
      </c>
      <c r="AA48" s="4">
        <f t="shared" si="16"/>
        <v>574.25181755358869</v>
      </c>
      <c r="AB48" s="4">
        <f t="shared" si="17"/>
        <v>620.87096311462972</v>
      </c>
      <c r="AC48" s="4">
        <f t="shared" si="18"/>
        <v>650.82441403380301</v>
      </c>
      <c r="AD48" s="4">
        <f t="shared" si="19"/>
        <v>669.83236046220622</v>
      </c>
      <c r="AE48" s="4">
        <f t="shared" si="20"/>
        <v>681.80517599030384</v>
      </c>
      <c r="AF48" s="4">
        <f t="shared" si="21"/>
        <v>689.31269750150614</v>
      </c>
      <c r="AG48" s="4">
        <f t="shared" si="22"/>
        <v>694.00725193774758</v>
      </c>
      <c r="AI48" s="4">
        <f t="shared" si="23"/>
        <v>1.4556929170600981E-4</v>
      </c>
      <c r="AJ48" s="4">
        <f t="shared" si="24"/>
        <v>1.2061214485580304E-4</v>
      </c>
      <c r="AK48" s="4">
        <f t="shared" si="25"/>
        <v>1.0920129168644031E-4</v>
      </c>
      <c r="AL48" s="4">
        <f t="shared" si="26"/>
        <v>1.0319367156359586E-4</v>
      </c>
      <c r="AM48" s="4">
        <f t="shared" si="27"/>
        <v>9.9798711534372446E-5</v>
      </c>
      <c r="AN48" s="4">
        <f t="shared" si="28"/>
        <v>9.7803702762398471E-5</v>
      </c>
      <c r="AO48" s="4">
        <f t="shared" si="29"/>
        <v>9.6604459114240791E-5</v>
      </c>
      <c r="AP48" s="4">
        <f t="shared" si="30"/>
        <v>9.5873740648063925E-5</v>
      </c>
      <c r="AQ48" s="4">
        <f t="shared" si="31"/>
        <v>9.542482961952904E-5</v>
      </c>
      <c r="AR48" s="4">
        <f t="shared" si="32"/>
        <v>9.5147653055555368E-5</v>
      </c>
    </row>
    <row r="49" spans="1:44" x14ac:dyDescent="0.25">
      <c r="A49" s="4" t="s">
        <v>113</v>
      </c>
      <c r="B49" s="4">
        <v>8626.0458867698799</v>
      </c>
      <c r="C49" s="4">
        <v>31224.223194037</v>
      </c>
      <c r="D49" s="4">
        <v>51801.679261118901</v>
      </c>
      <c r="E49" s="4">
        <v>65550.950443385504</v>
      </c>
      <c r="F49" s="4">
        <v>73657.967758645696</v>
      </c>
      <c r="G49" s="4">
        <v>78168.966191863903</v>
      </c>
      <c r="H49" s="4">
        <v>80608.300161523599</v>
      </c>
      <c r="I49" s="4">
        <v>81908.350770004006</v>
      </c>
      <c r="J49" s="4">
        <v>82596.040767459606</v>
      </c>
      <c r="K49" s="4">
        <v>82958.393142586094</v>
      </c>
      <c r="M49" s="4">
        <f t="shared" si="3"/>
        <v>86260.458867698791</v>
      </c>
      <c r="N49" s="4">
        <f t="shared" si="4"/>
        <v>225981.7730726712</v>
      </c>
      <c r="O49" s="4">
        <f t="shared" si="5"/>
        <v>205774.56067081902</v>
      </c>
      <c r="P49" s="4">
        <f t="shared" si="6"/>
        <v>137492.71182266602</v>
      </c>
      <c r="Q49" s="4">
        <f t="shared" si="7"/>
        <v>81070.173152601928</v>
      </c>
      <c r="R49" s="4">
        <f t="shared" si="8"/>
        <v>45109.984332182066</v>
      </c>
      <c r="S49" s="4">
        <f t="shared" si="9"/>
        <v>24393.339696596959</v>
      </c>
      <c r="T49" s="4">
        <f t="shared" si="10"/>
        <v>13000.506084804074</v>
      </c>
      <c r="U49" s="4">
        <f t="shared" si="11"/>
        <v>6876.8999745559995</v>
      </c>
      <c r="V49" s="4">
        <f t="shared" si="12"/>
        <v>3623.5237512648746</v>
      </c>
      <c r="X49" s="4">
        <f t="shared" si="13"/>
        <v>170.68269422242582</v>
      </c>
      <c r="Y49" s="4">
        <f t="shared" si="14"/>
        <v>420.01558409116689</v>
      </c>
      <c r="Z49" s="4">
        <f t="shared" si="15"/>
        <v>598.63477510800647</v>
      </c>
      <c r="AA49" s="4">
        <f t="shared" si="16"/>
        <v>705.87296687410628</v>
      </c>
      <c r="AB49" s="4">
        <f t="shared" si="17"/>
        <v>765.9052869133526</v>
      </c>
      <c r="AC49" s="4">
        <f t="shared" si="18"/>
        <v>798.44556429321392</v>
      </c>
      <c r="AD49" s="4">
        <f t="shared" si="19"/>
        <v>815.80636391381961</v>
      </c>
      <c r="AE49" s="4">
        <f t="shared" si="20"/>
        <v>824.99436419038261</v>
      </c>
      <c r="AF49" s="4">
        <f t="shared" si="21"/>
        <v>829.83684875873621</v>
      </c>
      <c r="AG49" s="4">
        <f t="shared" si="22"/>
        <v>832.38354587210131</v>
      </c>
      <c r="AI49" s="4">
        <f t="shared" si="23"/>
        <v>1.7356928488898186E-4</v>
      </c>
      <c r="AJ49" s="4">
        <f t="shared" si="24"/>
        <v>1.1799644160798523E-4</v>
      </c>
      <c r="AK49" s="4">
        <f t="shared" si="25"/>
        <v>1.0137088821618456E-4</v>
      </c>
      <c r="AL49" s="4">
        <f t="shared" si="26"/>
        <v>9.445886121548087E-5</v>
      </c>
      <c r="AM49" s="4">
        <f t="shared" si="27"/>
        <v>9.1211686033462519E-5</v>
      </c>
      <c r="AN49" s="4">
        <f t="shared" si="28"/>
        <v>8.9599604547941351E-5</v>
      </c>
      <c r="AO49" s="4">
        <f t="shared" si="29"/>
        <v>8.8777410767166409E-5</v>
      </c>
      <c r="AP49" s="4">
        <f t="shared" si="30"/>
        <v>8.8352318173971908E-5</v>
      </c>
      <c r="AQ49" s="4">
        <f t="shared" si="31"/>
        <v>8.813098709707919E-5</v>
      </c>
      <c r="AR49" s="4">
        <f t="shared" si="32"/>
        <v>8.8015326417423476E-5</v>
      </c>
    </row>
    <row r="50" spans="1:44" x14ac:dyDescent="0.25">
      <c r="A50" s="4" t="s">
        <v>115</v>
      </c>
      <c r="B50" s="4">
        <v>2634209.2636789</v>
      </c>
      <c r="C50" s="4">
        <v>2641422.1007014001</v>
      </c>
      <c r="D50" s="4">
        <v>2641428.6839587302</v>
      </c>
      <c r="E50" s="4">
        <v>2641428.6899618902</v>
      </c>
      <c r="F50" s="4">
        <v>2641428.6899673599</v>
      </c>
      <c r="G50" s="4">
        <v>2641428.6899673701</v>
      </c>
      <c r="H50" s="4">
        <v>2641428.6899673701</v>
      </c>
      <c r="I50" s="4">
        <v>2641428.6899673701</v>
      </c>
      <c r="J50" s="4">
        <v>2641428.6899673701</v>
      </c>
      <c r="K50" s="4">
        <v>2641428.6899673701</v>
      </c>
      <c r="M50" s="4">
        <f t="shared" si="3"/>
        <v>26342092.636789002</v>
      </c>
      <c r="N50" s="4">
        <f t="shared" si="4"/>
        <v>72128.370225001127</v>
      </c>
      <c r="O50" s="4">
        <f t="shared" si="5"/>
        <v>65.832573301158845</v>
      </c>
      <c r="P50" s="4">
        <f t="shared" si="6"/>
        <v>6.0031600296497345E-2</v>
      </c>
      <c r="Q50" s="4">
        <f t="shared" si="7"/>
        <v>5.4696574807167053E-5</v>
      </c>
      <c r="R50" s="4">
        <f t="shared" si="8"/>
        <v>1.0244548320770264E-7</v>
      </c>
      <c r="S50" s="4">
        <f t="shared" si="9"/>
        <v>0</v>
      </c>
      <c r="T50" s="4">
        <f t="shared" si="10"/>
        <v>0</v>
      </c>
      <c r="U50" s="4">
        <f t="shared" si="11"/>
        <v>0</v>
      </c>
      <c r="V50" s="4">
        <f t="shared" si="12"/>
        <v>0</v>
      </c>
      <c r="X50" s="4">
        <f t="shared" si="13"/>
        <v>9366.4807653343341</v>
      </c>
      <c r="Y50" s="4">
        <f t="shared" si="14"/>
        <v>9384.4261235929171</v>
      </c>
      <c r="Z50" s="4">
        <f t="shared" si="15"/>
        <v>9384.4424958524869</v>
      </c>
      <c r="AA50" s="4">
        <f t="shared" si="16"/>
        <v>9384.4425107820625</v>
      </c>
      <c r="AB50" s="4">
        <f t="shared" si="17"/>
        <v>9384.4425107956649</v>
      </c>
      <c r="AC50" s="4">
        <f t="shared" si="18"/>
        <v>9384.4425107956977</v>
      </c>
      <c r="AD50" s="4">
        <f t="shared" si="19"/>
        <v>9384.4425107956977</v>
      </c>
      <c r="AE50" s="4">
        <f t="shared" si="20"/>
        <v>9384.4425107956977</v>
      </c>
      <c r="AF50" s="4">
        <f t="shared" si="21"/>
        <v>9384.4425107956977</v>
      </c>
      <c r="AG50" s="4">
        <f t="shared" si="22"/>
        <v>9384.4425107956977</v>
      </c>
      <c r="AI50" s="4">
        <f t="shared" si="23"/>
        <v>3.1190427089255053E-5</v>
      </c>
      <c r="AJ50" s="4">
        <f t="shared" si="24"/>
        <v>3.1164851455615082E-5</v>
      </c>
      <c r="AK50" s="4">
        <f t="shared" si="25"/>
        <v>3.1164828153859801E-5</v>
      </c>
      <c r="AL50" s="4">
        <f t="shared" si="26"/>
        <v>3.1164828132611356E-5</v>
      </c>
      <c r="AM50" s="4">
        <f t="shared" si="27"/>
        <v>3.1164828132591997E-5</v>
      </c>
      <c r="AN50" s="4">
        <f t="shared" si="28"/>
        <v>3.1164828132591976E-5</v>
      </c>
      <c r="AO50" s="4">
        <f t="shared" si="29"/>
        <v>3.1164828132591976E-5</v>
      </c>
      <c r="AP50" s="4">
        <f t="shared" si="30"/>
        <v>3.1164828132591976E-5</v>
      </c>
      <c r="AQ50" s="4">
        <f t="shared" si="31"/>
        <v>3.1164828132591976E-5</v>
      </c>
      <c r="AR50" s="4">
        <f t="shared" si="32"/>
        <v>3.1164828132591976E-5</v>
      </c>
    </row>
    <row r="51" spans="1:44" x14ac:dyDescent="0.25">
      <c r="A51" s="4" t="s">
        <v>117</v>
      </c>
      <c r="B51" s="4">
        <v>898.53097267463602</v>
      </c>
      <c r="C51" s="4">
        <v>4740.1635132982401</v>
      </c>
      <c r="D51" s="4">
        <v>10785.2170833128</v>
      </c>
      <c r="E51" s="4">
        <v>17611.2073924627</v>
      </c>
      <c r="F51" s="4">
        <v>24197.162152263802</v>
      </c>
      <c r="G51" s="4">
        <v>30013.222426079399</v>
      </c>
      <c r="H51" s="4">
        <v>34875.923680057604</v>
      </c>
      <c r="I51" s="4">
        <v>38798.550398200299</v>
      </c>
      <c r="J51" s="4">
        <v>41886.836662318899</v>
      </c>
      <c r="K51" s="4">
        <v>44277.435640514101</v>
      </c>
      <c r="M51" s="4">
        <f t="shared" si="3"/>
        <v>8985.30972674636</v>
      </c>
      <c r="N51" s="4">
        <f t="shared" si="4"/>
        <v>38416.325406236043</v>
      </c>
      <c r="O51" s="4">
        <f t="shared" si="5"/>
        <v>60450.5357001456</v>
      </c>
      <c r="P51" s="4">
        <f t="shared" si="6"/>
        <v>68259.903091499</v>
      </c>
      <c r="Q51" s="4">
        <f t="shared" si="7"/>
        <v>65859.547598011006</v>
      </c>
      <c r="R51" s="4">
        <f t="shared" si="8"/>
        <v>58160.602738155976</v>
      </c>
      <c r="S51" s="4">
        <f t="shared" si="9"/>
        <v>48627.012539782045</v>
      </c>
      <c r="T51" s="4">
        <f t="shared" si="10"/>
        <v>39226.267181426956</v>
      </c>
      <c r="U51" s="4">
        <f t="shared" si="11"/>
        <v>30882.862641186002</v>
      </c>
      <c r="V51" s="4">
        <f t="shared" si="12"/>
        <v>23905.989781952012</v>
      </c>
      <c r="X51" s="4">
        <f t="shared" si="13"/>
        <v>35.042444252138957</v>
      </c>
      <c r="Y51" s="4">
        <f t="shared" si="14"/>
        <v>112.24747512753146</v>
      </c>
      <c r="Z51" s="4">
        <f t="shared" si="15"/>
        <v>199.57285876343727</v>
      </c>
      <c r="AA51" s="4">
        <f t="shared" si="16"/>
        <v>281.30253553654421</v>
      </c>
      <c r="AB51" s="4">
        <f t="shared" si="17"/>
        <v>351.36326906027057</v>
      </c>
      <c r="AC51" s="4">
        <f t="shared" si="18"/>
        <v>408.54518224300705</v>
      </c>
      <c r="AD51" s="4">
        <f t="shared" si="19"/>
        <v>453.82587926564031</v>
      </c>
      <c r="AE51" s="4">
        <f t="shared" si="20"/>
        <v>488.98113524697885</v>
      </c>
      <c r="AF51" s="4">
        <f t="shared" si="21"/>
        <v>515.9119042444139</v>
      </c>
      <c r="AG51" s="4">
        <f t="shared" si="22"/>
        <v>536.35085471603236</v>
      </c>
      <c r="AI51" s="4">
        <f t="shared" si="23"/>
        <v>3.4210268895446959E-4</v>
      </c>
      <c r="AJ51" s="4">
        <f t="shared" si="24"/>
        <v>2.0772004426442177E-4</v>
      </c>
      <c r="AK51" s="4">
        <f t="shared" si="25"/>
        <v>1.6231839363424732E-4</v>
      </c>
      <c r="AL51" s="4">
        <f t="shared" si="26"/>
        <v>1.4011339746381233E-4</v>
      </c>
      <c r="AM51" s="4">
        <f t="shared" si="27"/>
        <v>1.2737584348653988E-4</v>
      </c>
      <c r="AN51" s="4">
        <f t="shared" si="28"/>
        <v>1.1940502815466745E-4</v>
      </c>
      <c r="AO51" s="4">
        <f t="shared" si="29"/>
        <v>1.141454718736068E-4</v>
      </c>
      <c r="AP51" s="4">
        <f t="shared" si="30"/>
        <v>1.1055331088142483E-4</v>
      </c>
      <c r="AQ51" s="4">
        <f t="shared" si="31"/>
        <v>1.0804212922956265E-4</v>
      </c>
      <c r="AR51" s="4">
        <f t="shared" si="32"/>
        <v>1.0625800683469611E-4</v>
      </c>
    </row>
    <row r="52" spans="1:44" x14ac:dyDescent="0.25">
      <c r="A52" s="4" t="s">
        <v>119</v>
      </c>
      <c r="B52" s="4">
        <v>216386.64683242</v>
      </c>
      <c r="C52" s="4">
        <v>330512.95076568599</v>
      </c>
      <c r="D52" s="4">
        <v>360475.29975597397</v>
      </c>
      <c r="E52" s="4">
        <v>367397.29936266597</v>
      </c>
      <c r="F52" s="4">
        <v>368953.72026880301</v>
      </c>
      <c r="G52" s="4">
        <v>369301.59942935902</v>
      </c>
      <c r="H52" s="4">
        <v>369379.25138847699</v>
      </c>
      <c r="I52" s="4">
        <v>369396.57935774903</v>
      </c>
      <c r="J52" s="4">
        <v>369400.445823755</v>
      </c>
      <c r="K52" s="4">
        <v>369401.308552592</v>
      </c>
      <c r="M52" s="4">
        <f t="shared" si="3"/>
        <v>2163866.4683241998</v>
      </c>
      <c r="N52" s="4">
        <f t="shared" si="4"/>
        <v>1141263.0393326599</v>
      </c>
      <c r="O52" s="4">
        <f t="shared" si="5"/>
        <v>299623.48990287981</v>
      </c>
      <c r="P52" s="4">
        <f t="shared" si="6"/>
        <v>69219.996066919994</v>
      </c>
      <c r="Q52" s="4">
        <f t="shared" si="7"/>
        <v>15564.209061370348</v>
      </c>
      <c r="R52" s="4">
        <f t="shared" si="8"/>
        <v>3478.791605560109</v>
      </c>
      <c r="S52" s="4">
        <f t="shared" si="9"/>
        <v>776.51959117967635</v>
      </c>
      <c r="T52" s="4">
        <f t="shared" si="10"/>
        <v>173.27969272038899</v>
      </c>
      <c r="U52" s="4">
        <f t="shared" si="11"/>
        <v>38.664660059730522</v>
      </c>
      <c r="V52" s="4">
        <f t="shared" si="12"/>
        <v>8.6272883700439706</v>
      </c>
      <c r="X52" s="4">
        <f t="shared" si="13"/>
        <v>1628.4805454496898</v>
      </c>
      <c r="Y52" s="4">
        <f t="shared" si="14"/>
        <v>2190.5501070236614</v>
      </c>
      <c r="Z52" s="4">
        <f t="shared" si="15"/>
        <v>2327.7380880454093</v>
      </c>
      <c r="AA52" s="4">
        <f t="shared" si="16"/>
        <v>2358.9374566867609</v>
      </c>
      <c r="AB52" s="4">
        <f t="shared" si="17"/>
        <v>2365.9283070691017</v>
      </c>
      <c r="AC52" s="4">
        <f t="shared" si="18"/>
        <v>2367.4896371881823</v>
      </c>
      <c r="AD52" s="4">
        <f t="shared" si="19"/>
        <v>2367.8380897475531</v>
      </c>
      <c r="AE52" s="4">
        <f t="shared" si="20"/>
        <v>2367.9158436434727</v>
      </c>
      <c r="AF52" s="4">
        <f t="shared" si="21"/>
        <v>2367.933193062976</v>
      </c>
      <c r="AG52" s="4">
        <f t="shared" si="22"/>
        <v>2367.9370642507065</v>
      </c>
      <c r="AI52" s="4">
        <f t="shared" si="23"/>
        <v>6.6015705102224123E-5</v>
      </c>
      <c r="AJ52" s="4">
        <f t="shared" si="24"/>
        <v>5.8137969394184407E-5</v>
      </c>
      <c r="AK52" s="4">
        <f t="shared" si="25"/>
        <v>5.6643978580822792E-5</v>
      </c>
      <c r="AL52" s="4">
        <f t="shared" si="26"/>
        <v>5.6321681913507112E-5</v>
      </c>
      <c r="AM52" s="4">
        <f t="shared" si="27"/>
        <v>5.6250298992603393E-5</v>
      </c>
      <c r="AN52" s="4">
        <f t="shared" si="28"/>
        <v>5.6234397548997144E-5</v>
      </c>
      <c r="AO52" s="4">
        <f t="shared" si="29"/>
        <v>5.6230850761416131E-5</v>
      </c>
      <c r="AP52" s="4">
        <f t="shared" si="30"/>
        <v>5.6230059431036049E-5</v>
      </c>
      <c r="AQ52" s="4">
        <f t="shared" si="31"/>
        <v>5.622988286459261E-5</v>
      </c>
      <c r="AR52" s="4">
        <f t="shared" si="32"/>
        <v>5.6229843467454593E-5</v>
      </c>
    </row>
    <row r="53" spans="1:44" x14ac:dyDescent="0.25">
      <c r="A53" s="4" t="s">
        <v>121</v>
      </c>
      <c r="B53" s="4">
        <v>156566994.05971</v>
      </c>
      <c r="C53" s="4">
        <v>156995696.603136</v>
      </c>
      <c r="D53" s="4">
        <v>156996087.88594899</v>
      </c>
      <c r="E53" s="4">
        <v>156996088.242753</v>
      </c>
      <c r="F53" s="4">
        <v>156996088.24307799</v>
      </c>
      <c r="G53" s="4">
        <v>156996088.24307901</v>
      </c>
      <c r="H53" s="4">
        <v>156996088.24307901</v>
      </c>
      <c r="I53" s="4">
        <v>156996088.24307901</v>
      </c>
      <c r="J53" s="4">
        <v>156996088.24307901</v>
      </c>
      <c r="K53" s="4">
        <v>156996088.24307901</v>
      </c>
      <c r="M53" s="4">
        <f t="shared" si="3"/>
        <v>1565669940.5971</v>
      </c>
      <c r="N53" s="4">
        <f t="shared" si="4"/>
        <v>4287025.4342600703</v>
      </c>
      <c r="O53" s="4">
        <f t="shared" si="5"/>
        <v>3912.8281298279762</v>
      </c>
      <c r="P53" s="4">
        <f t="shared" si="6"/>
        <v>3.568040132522583</v>
      </c>
      <c r="Q53" s="4">
        <f t="shared" si="7"/>
        <v>3.2499432563781738E-3</v>
      </c>
      <c r="R53" s="4">
        <f t="shared" si="8"/>
        <v>1.0132789611816406E-5</v>
      </c>
      <c r="S53" s="4">
        <f t="shared" si="9"/>
        <v>0</v>
      </c>
      <c r="T53" s="4">
        <f t="shared" si="10"/>
        <v>0</v>
      </c>
      <c r="U53" s="4">
        <f t="shared" si="11"/>
        <v>0</v>
      </c>
      <c r="V53" s="4">
        <f t="shared" si="12"/>
        <v>0</v>
      </c>
      <c r="X53" s="4">
        <f t="shared" si="13"/>
        <v>163459.96599821231</v>
      </c>
      <c r="Y53" s="4">
        <f t="shared" si="14"/>
        <v>163773.14100217191</v>
      </c>
      <c r="Z53" s="4">
        <f t="shared" si="15"/>
        <v>163773.42672410523</v>
      </c>
      <c r="AA53" s="4">
        <f t="shared" si="16"/>
        <v>163773.42698465</v>
      </c>
      <c r="AB53" s="4">
        <f t="shared" si="17"/>
        <v>163773.4269848871</v>
      </c>
      <c r="AC53" s="4">
        <f t="shared" si="18"/>
        <v>163773.42698488798</v>
      </c>
      <c r="AD53" s="4">
        <f t="shared" si="19"/>
        <v>163773.42698488798</v>
      </c>
      <c r="AE53" s="4">
        <f t="shared" si="20"/>
        <v>163773.42698488798</v>
      </c>
      <c r="AF53" s="4">
        <f t="shared" si="21"/>
        <v>163773.42698488798</v>
      </c>
      <c r="AG53" s="4">
        <f t="shared" si="22"/>
        <v>163773.42698488798</v>
      </c>
      <c r="AI53" s="4">
        <f t="shared" si="23"/>
        <v>9.1581201994251738E-6</v>
      </c>
      <c r="AJ53" s="4">
        <f t="shared" si="24"/>
        <v>9.1506106925376401E-6</v>
      </c>
      <c r="AK53" s="4">
        <f t="shared" si="25"/>
        <v>9.1506038506859852E-6</v>
      </c>
      <c r="AL53" s="4">
        <f t="shared" si="26"/>
        <v>9.1506038444470285E-6</v>
      </c>
      <c r="AM53" s="4">
        <f t="shared" si="27"/>
        <v>9.1506038444413347E-6</v>
      </c>
      <c r="AN53" s="4">
        <f t="shared" si="28"/>
        <v>9.1506038444413246E-6</v>
      </c>
      <c r="AO53" s="4">
        <f t="shared" si="29"/>
        <v>9.1506038444413246E-6</v>
      </c>
      <c r="AP53" s="4">
        <f t="shared" si="30"/>
        <v>9.1506038444413246E-6</v>
      </c>
      <c r="AQ53" s="4">
        <f t="shared" si="31"/>
        <v>9.1506038444413246E-6</v>
      </c>
      <c r="AR53" s="4">
        <f t="shared" si="32"/>
        <v>9.1506038444413246E-6</v>
      </c>
    </row>
    <row r="54" spans="1:44" x14ac:dyDescent="0.25">
      <c r="A54" s="4" t="s">
        <v>123</v>
      </c>
      <c r="B54" s="4">
        <v>4519.8424263449597</v>
      </c>
      <c r="C54" s="4">
        <v>25248.486490962699</v>
      </c>
      <c r="D54" s="4">
        <v>55378.503731220699</v>
      </c>
      <c r="E54" s="4">
        <v>85763.0212247296</v>
      </c>
      <c r="F54" s="4">
        <v>111739.241960086</v>
      </c>
      <c r="G54" s="4">
        <v>132063.851184197</v>
      </c>
      <c r="H54" s="4">
        <v>147160.81813901299</v>
      </c>
      <c r="I54" s="4">
        <v>158020.128050967</v>
      </c>
      <c r="J54" s="4">
        <v>165672.76479473099</v>
      </c>
      <c r="K54" s="4">
        <v>170994.13373377</v>
      </c>
      <c r="M54" s="4">
        <f t="shared" si="3"/>
        <v>45198.424263449597</v>
      </c>
      <c r="N54" s="4">
        <f t="shared" si="4"/>
        <v>207286.44064617739</v>
      </c>
      <c r="O54" s="4">
        <f t="shared" si="5"/>
        <v>301300.17240257998</v>
      </c>
      <c r="P54" s="4">
        <f t="shared" si="6"/>
        <v>303845.17493508902</v>
      </c>
      <c r="Q54" s="4">
        <f t="shared" si="7"/>
        <v>259762.20735356401</v>
      </c>
      <c r="R54" s="4">
        <f t="shared" si="8"/>
        <v>203246.09224111002</v>
      </c>
      <c r="S54" s="4">
        <f t="shared" si="9"/>
        <v>150969.66954815987</v>
      </c>
      <c r="T54" s="4">
        <f t="shared" si="10"/>
        <v>108593.09911954013</v>
      </c>
      <c r="U54" s="4">
        <f t="shared" si="11"/>
        <v>76526.367437639856</v>
      </c>
      <c r="V54" s="4">
        <f t="shared" si="12"/>
        <v>53213.689390390064</v>
      </c>
      <c r="X54" s="4">
        <f t="shared" si="13"/>
        <v>108.56943076720721</v>
      </c>
      <c r="Y54" s="4">
        <f t="shared" si="14"/>
        <v>361.98118670336407</v>
      </c>
      <c r="Z54" s="4">
        <f t="shared" si="15"/>
        <v>627.27807328261338</v>
      </c>
      <c r="AA54" s="4">
        <f t="shared" si="16"/>
        <v>851.9837371850216</v>
      </c>
      <c r="AB54" s="4">
        <f t="shared" si="17"/>
        <v>1025.3337650360056</v>
      </c>
      <c r="AC54" s="4">
        <f t="shared" si="18"/>
        <v>1152.5772025644007</v>
      </c>
      <c r="AD54" s="4">
        <f t="shared" si="19"/>
        <v>1243.2995894893716</v>
      </c>
      <c r="AE54" s="4">
        <f t="shared" si="20"/>
        <v>1306.8325444078046</v>
      </c>
      <c r="AF54" s="4">
        <f t="shared" si="21"/>
        <v>1350.8186207904309</v>
      </c>
      <c r="AG54" s="4">
        <f t="shared" si="22"/>
        <v>1381.0458675513266</v>
      </c>
      <c r="AI54" s="4">
        <f t="shared" si="23"/>
        <v>2.1070721895777742E-4</v>
      </c>
      <c r="AJ54" s="4">
        <f t="shared" si="24"/>
        <v>1.2576094684764208E-4</v>
      </c>
      <c r="AK54" s="4">
        <f t="shared" si="25"/>
        <v>9.9360561744810428E-5</v>
      </c>
      <c r="AL54" s="4">
        <f t="shared" si="26"/>
        <v>8.7141770981589373E-5</v>
      </c>
      <c r="AM54" s="4">
        <f t="shared" si="27"/>
        <v>8.049236486553171E-5</v>
      </c>
      <c r="AN54" s="4">
        <f t="shared" si="28"/>
        <v>7.6556349429661615E-5</v>
      </c>
      <c r="AO54" s="4">
        <f t="shared" si="29"/>
        <v>7.4110329691184977E-5</v>
      </c>
      <c r="AP54" s="4">
        <f t="shared" si="30"/>
        <v>7.2544197460091452E-5</v>
      </c>
      <c r="AQ54" s="4">
        <f t="shared" si="31"/>
        <v>7.1522233373516649E-5</v>
      </c>
      <c r="AR54" s="4">
        <f t="shared" si="32"/>
        <v>7.0847093816226361E-5</v>
      </c>
    </row>
    <row r="55" spans="1:44" x14ac:dyDescent="0.25">
      <c r="A55" s="4" t="s">
        <v>125</v>
      </c>
      <c r="B55" s="4">
        <v>220.80111943928901</v>
      </c>
      <c r="C55" s="4">
        <v>1430.8338976887901</v>
      </c>
      <c r="D55" s="4">
        <v>4035.5450179274499</v>
      </c>
      <c r="E55" s="4">
        <v>8108.0722601354</v>
      </c>
      <c r="F55" s="4">
        <v>13542.2505232481</v>
      </c>
      <c r="G55" s="4">
        <v>20141.282694313799</v>
      </c>
      <c r="H55" s="4">
        <v>27671.603257784001</v>
      </c>
      <c r="I55" s="4">
        <v>35895.228389256299</v>
      </c>
      <c r="J55" s="4">
        <v>44588.360869866097</v>
      </c>
      <c r="K55" s="4">
        <v>53551.174034706899</v>
      </c>
      <c r="M55" s="4">
        <f t="shared" si="3"/>
        <v>2208.01119439289</v>
      </c>
      <c r="N55" s="4">
        <f t="shared" si="4"/>
        <v>12100.327782495009</v>
      </c>
      <c r="O55" s="4">
        <f t="shared" si="5"/>
        <v>26047.111202386594</v>
      </c>
      <c r="P55" s="4">
        <f t="shared" si="6"/>
        <v>40725.272422079499</v>
      </c>
      <c r="Q55" s="4">
        <f t="shared" si="7"/>
        <v>54341.782631126996</v>
      </c>
      <c r="R55" s="4">
        <f t="shared" si="8"/>
        <v>65990.321710656994</v>
      </c>
      <c r="S55" s="4">
        <f t="shared" si="9"/>
        <v>75303.205634702026</v>
      </c>
      <c r="T55" s="4">
        <f t="shared" si="10"/>
        <v>82236.251314722977</v>
      </c>
      <c r="U55" s="4">
        <f t="shared" si="11"/>
        <v>86931.324806097982</v>
      </c>
      <c r="V55" s="4">
        <f t="shared" si="12"/>
        <v>89628.131648408016</v>
      </c>
      <c r="X55" s="4">
        <f t="shared" si="13"/>
        <v>13.11964682981152</v>
      </c>
      <c r="Y55" s="4">
        <f t="shared" si="14"/>
        <v>48.532616867667407</v>
      </c>
      <c r="Z55" s="4">
        <f t="shared" si="15"/>
        <v>100.28888252483992</v>
      </c>
      <c r="AA55" s="4">
        <f t="shared" si="16"/>
        <v>163.44196766253259</v>
      </c>
      <c r="AB55" s="4">
        <f t="shared" si="17"/>
        <v>234.04795203545746</v>
      </c>
      <c r="AC55" s="4">
        <f t="shared" si="18"/>
        <v>309.01690769817463</v>
      </c>
      <c r="AD55" s="4">
        <f t="shared" si="19"/>
        <v>385.96265068992346</v>
      </c>
      <c r="AE55" s="4">
        <f t="shared" si="20"/>
        <v>463.07033401092144</v>
      </c>
      <c r="AF55" s="4">
        <f t="shared" si="21"/>
        <v>538.98454202503387</v>
      </c>
      <c r="AG55" s="4">
        <f t="shared" si="22"/>
        <v>612.71646699101689</v>
      </c>
      <c r="AI55" s="4">
        <f t="shared" si="23"/>
        <v>5.2121393952343417E-4</v>
      </c>
      <c r="AJ55" s="4">
        <f t="shared" si="24"/>
        <v>2.975360802208921E-4</v>
      </c>
      <c r="AK55" s="4">
        <f t="shared" si="25"/>
        <v>2.1799460439258906E-4</v>
      </c>
      <c r="AL55" s="4">
        <f t="shared" si="26"/>
        <v>1.7682396317223102E-4</v>
      </c>
      <c r="AM55" s="4">
        <f t="shared" si="27"/>
        <v>1.5160347294660171E-4</v>
      </c>
      <c r="AN55" s="4">
        <f t="shared" si="28"/>
        <v>1.345830188708201E-4</v>
      </c>
      <c r="AO55" s="4">
        <f t="shared" si="29"/>
        <v>1.2235060091074908E-4</v>
      </c>
      <c r="AP55" s="4">
        <f t="shared" si="30"/>
        <v>1.1316324358576319E-4</v>
      </c>
      <c r="AQ55" s="4">
        <f t="shared" si="31"/>
        <v>1.0603517346075436E-4</v>
      </c>
      <c r="AR55" s="4">
        <f t="shared" si="32"/>
        <v>1.0036578931612234E-4</v>
      </c>
    </row>
    <row r="56" spans="1:44" x14ac:dyDescent="0.25">
      <c r="A56" s="4" t="s">
        <v>127</v>
      </c>
      <c r="B56" s="4">
        <v>6757.95173532033</v>
      </c>
      <c r="C56" s="4">
        <v>17939.750373434599</v>
      </c>
      <c r="D56" s="4">
        <v>24508.528992723201</v>
      </c>
      <c r="E56" s="4">
        <v>27487.105880127401</v>
      </c>
      <c r="F56" s="4">
        <v>28725.6712447307</v>
      </c>
      <c r="G56" s="4">
        <v>29224.407357794302</v>
      </c>
      <c r="H56" s="4">
        <v>29422.762747819099</v>
      </c>
      <c r="I56" s="4">
        <v>29501.2708574711</v>
      </c>
      <c r="J56" s="4">
        <v>29532.284903157401</v>
      </c>
      <c r="K56" s="4">
        <v>29544.5275873715</v>
      </c>
      <c r="M56" s="4">
        <f t="shared" si="3"/>
        <v>67579.517353203293</v>
      </c>
      <c r="N56" s="4">
        <f t="shared" si="4"/>
        <v>111817.98638114269</v>
      </c>
      <c r="O56" s="4">
        <f t="shared" si="5"/>
        <v>65687.786192886007</v>
      </c>
      <c r="P56" s="4">
        <f t="shared" si="6"/>
        <v>29785.768874042005</v>
      </c>
      <c r="Q56" s="4">
        <f t="shared" si="7"/>
        <v>12385.653646032988</v>
      </c>
      <c r="R56" s="4">
        <f t="shared" si="8"/>
        <v>4987.3611306360181</v>
      </c>
      <c r="S56" s="4">
        <f t="shared" si="9"/>
        <v>1983.5539002479709</v>
      </c>
      <c r="T56" s="4">
        <f t="shared" si="10"/>
        <v>785.08109652000712</v>
      </c>
      <c r="U56" s="4">
        <f t="shared" si="11"/>
        <v>310.1404568630096</v>
      </c>
      <c r="V56" s="4">
        <f t="shared" si="12"/>
        <v>122.42684214099427</v>
      </c>
      <c r="X56" s="4">
        <f t="shared" si="13"/>
        <v>143.87714611380241</v>
      </c>
      <c r="Y56" s="4">
        <f t="shared" si="14"/>
        <v>284.96579353132933</v>
      </c>
      <c r="Z56" s="4">
        <f t="shared" si="15"/>
        <v>354.52211098743396</v>
      </c>
      <c r="AA56" s="4">
        <f t="shared" si="16"/>
        <v>384.15948938598018</v>
      </c>
      <c r="AB56" s="4">
        <f t="shared" si="17"/>
        <v>396.19627205062289</v>
      </c>
      <c r="AC56" s="4">
        <f t="shared" si="18"/>
        <v>400.99896688051427</v>
      </c>
      <c r="AD56" s="4">
        <f t="shared" si="19"/>
        <v>402.90222856353296</v>
      </c>
      <c r="AE56" s="4">
        <f t="shared" si="20"/>
        <v>403.65446631226956</v>
      </c>
      <c r="AF56" s="4">
        <f t="shared" si="21"/>
        <v>403.95146671668732</v>
      </c>
      <c r="AG56" s="4">
        <f t="shared" si="22"/>
        <v>404.06868080817196</v>
      </c>
      <c r="AI56" s="4">
        <f t="shared" si="23"/>
        <v>1.8675484503273375E-4</v>
      </c>
      <c r="AJ56" s="4">
        <f t="shared" si="24"/>
        <v>1.3933861348254105E-4</v>
      </c>
      <c r="AK56" s="4">
        <f t="shared" si="25"/>
        <v>1.2688819797224385E-4</v>
      </c>
      <c r="AL56" s="4">
        <f t="shared" si="26"/>
        <v>1.2259639472518891E-4</v>
      </c>
      <c r="AM56" s="4">
        <f t="shared" si="27"/>
        <v>1.2098606384414477E-4</v>
      </c>
      <c r="AN56" s="4">
        <f t="shared" si="28"/>
        <v>1.2036291289442859E-4</v>
      </c>
      <c r="AO56" s="4">
        <f t="shared" si="29"/>
        <v>1.2011890607997638E-4</v>
      </c>
      <c r="AP56" s="4">
        <f t="shared" si="30"/>
        <v>1.2002291931655245E-4</v>
      </c>
      <c r="AQ56" s="4">
        <f t="shared" si="31"/>
        <v>1.1998509191507196E-4</v>
      </c>
      <c r="AR56" s="4">
        <f t="shared" si="32"/>
        <v>1.1997017389668564E-4</v>
      </c>
    </row>
    <row r="57" spans="1:44" x14ac:dyDescent="0.25">
      <c r="A57" s="4" t="s">
        <v>129</v>
      </c>
      <c r="B57" s="4">
        <v>538.05729742165795</v>
      </c>
      <c r="C57" s="4">
        <v>3309.1794788228899</v>
      </c>
      <c r="D57" s="4">
        <v>8923.1268325139208</v>
      </c>
      <c r="E57" s="4">
        <v>17207.425728166301</v>
      </c>
      <c r="F57" s="4">
        <v>27663.265511045902</v>
      </c>
      <c r="G57" s="4">
        <v>39694.554313706198</v>
      </c>
      <c r="H57" s="4">
        <v>52723.803181051502</v>
      </c>
      <c r="I57" s="4">
        <v>66245.807331790798</v>
      </c>
      <c r="J57" s="4">
        <v>79846.932793252301</v>
      </c>
      <c r="K57" s="4">
        <v>93205.982649984406</v>
      </c>
      <c r="M57" s="4">
        <f t="shared" si="3"/>
        <v>5380.5729742165795</v>
      </c>
      <c r="N57" s="4">
        <f t="shared" si="4"/>
        <v>27711.221814012319</v>
      </c>
      <c r="O57" s="4">
        <f t="shared" si="5"/>
        <v>56139.473536910307</v>
      </c>
      <c r="P57" s="4">
        <f t="shared" si="6"/>
        <v>82842.988956523797</v>
      </c>
      <c r="Q57" s="4">
        <f t="shared" si="7"/>
        <v>104558.39782879601</v>
      </c>
      <c r="R57" s="4">
        <f t="shared" si="8"/>
        <v>120312.88802660296</v>
      </c>
      <c r="S57" s="4">
        <f t="shared" si="9"/>
        <v>130292.48867345304</v>
      </c>
      <c r="T57" s="4">
        <f t="shared" si="10"/>
        <v>135220.04150739295</v>
      </c>
      <c r="U57" s="4">
        <f t="shared" si="11"/>
        <v>136011.25461461503</v>
      </c>
      <c r="V57" s="4">
        <f t="shared" si="12"/>
        <v>133590.49856732105</v>
      </c>
      <c r="X57" s="4">
        <f t="shared" si="13"/>
        <v>24.473789642050161</v>
      </c>
      <c r="Y57" s="4">
        <f t="shared" si="14"/>
        <v>87.282159018113461</v>
      </c>
      <c r="Z57" s="4">
        <f t="shared" si="15"/>
        <v>174.77656553890736</v>
      </c>
      <c r="AA57" s="4">
        <f t="shared" si="16"/>
        <v>276.77214993499717</v>
      </c>
      <c r="AB57" s="4">
        <f t="shared" si="17"/>
        <v>385.88124076993114</v>
      </c>
      <c r="AC57" s="4">
        <f t="shared" si="18"/>
        <v>496.85870808089959</v>
      </c>
      <c r="AD57" s="4">
        <f t="shared" si="19"/>
        <v>606.07443572068507</v>
      </c>
      <c r="AE57" s="4">
        <f t="shared" si="20"/>
        <v>711.10238089917527</v>
      </c>
      <c r="AF57" s="4">
        <f t="shared" si="21"/>
        <v>810.40483105065016</v>
      </c>
      <c r="AG57" s="4">
        <f t="shared" si="22"/>
        <v>903.09181751140625</v>
      </c>
      <c r="AI57" s="4">
        <f t="shared" si="23"/>
        <v>3.9899536036382794E-4</v>
      </c>
      <c r="AJ57" s="4">
        <f t="shared" si="24"/>
        <v>2.3136640932979683E-4</v>
      </c>
      <c r="AK57" s="4">
        <f t="shared" si="25"/>
        <v>1.7181508193952485E-4</v>
      </c>
      <c r="AL57" s="4">
        <f t="shared" si="26"/>
        <v>1.4109175393090608E-4</v>
      </c>
      <c r="AM57" s="4">
        <f t="shared" si="27"/>
        <v>1.223616627363434E-4</v>
      </c>
      <c r="AN57" s="4">
        <f t="shared" si="28"/>
        <v>1.0979868133959546E-4</v>
      </c>
      <c r="AO57" s="4">
        <f t="shared" si="29"/>
        <v>1.0083571551820803E-4</v>
      </c>
      <c r="AP57" s="4">
        <f t="shared" si="30"/>
        <v>9.4160527806454256E-5</v>
      </c>
      <c r="AQ57" s="4">
        <f t="shared" si="31"/>
        <v>8.903052451455712E-5</v>
      </c>
      <c r="AR57" s="4">
        <f t="shared" si="32"/>
        <v>8.4993021082075285E-5</v>
      </c>
    </row>
    <row r="58" spans="1:44" x14ac:dyDescent="0.25">
      <c r="A58" s="4" t="s">
        <v>131</v>
      </c>
      <c r="B58" s="4">
        <v>795.45945372142205</v>
      </c>
      <c r="C58" s="4">
        <v>2828.87655088887</v>
      </c>
      <c r="D58" s="4">
        <v>4736.0910308448001</v>
      </c>
      <c r="E58" s="4">
        <v>6070.2440466015296</v>
      </c>
      <c r="F58" s="4">
        <v>6897.0103935530096</v>
      </c>
      <c r="G58" s="4">
        <v>7380.5428215457096</v>
      </c>
      <c r="H58" s="4">
        <v>7655.1003570959001</v>
      </c>
      <c r="I58" s="4">
        <v>7808.5840740630701</v>
      </c>
      <c r="J58" s="4">
        <v>7893.6679500363498</v>
      </c>
      <c r="K58" s="4">
        <v>7940.6200248245004</v>
      </c>
      <c r="M58" s="4">
        <f t="shared" si="3"/>
        <v>7954.5945372142205</v>
      </c>
      <c r="N58" s="4">
        <f t="shared" si="4"/>
        <v>20334.170971674481</v>
      </c>
      <c r="O58" s="4">
        <f t="shared" si="5"/>
        <v>19072.144799559301</v>
      </c>
      <c r="P58" s="4">
        <f t="shared" si="6"/>
        <v>13341.530157567295</v>
      </c>
      <c r="Q58" s="4">
        <f t="shared" si="7"/>
        <v>8267.6634695148005</v>
      </c>
      <c r="R58" s="4">
        <f t="shared" si="8"/>
        <v>4835.3242799269992</v>
      </c>
      <c r="S58" s="4">
        <f t="shared" si="9"/>
        <v>2745.5753555019055</v>
      </c>
      <c r="T58" s="4">
        <f t="shared" si="10"/>
        <v>1534.8371696717004</v>
      </c>
      <c r="U58" s="4">
        <f t="shared" si="11"/>
        <v>850.83875973279646</v>
      </c>
      <c r="V58" s="4">
        <f t="shared" si="12"/>
        <v>469.5207478815064</v>
      </c>
      <c r="X58" s="4">
        <f t="shared" si="13"/>
        <v>32.177617737092483</v>
      </c>
      <c r="Y58" s="4">
        <f t="shared" si="14"/>
        <v>78.207976920835506</v>
      </c>
      <c r="Z58" s="4">
        <f t="shared" si="15"/>
        <v>112.17996071313064</v>
      </c>
      <c r="AA58" s="4">
        <f t="shared" si="16"/>
        <v>133.46443764946963</v>
      </c>
      <c r="AB58" s="4">
        <f t="shared" si="17"/>
        <v>145.94320219438896</v>
      </c>
      <c r="AC58" s="4">
        <f t="shared" si="18"/>
        <v>153.03228668811138</v>
      </c>
      <c r="AD58" s="4">
        <f t="shared" si="19"/>
        <v>156.9953815885757</v>
      </c>
      <c r="AE58" s="4">
        <f t="shared" si="20"/>
        <v>159.19222695806243</v>
      </c>
      <c r="AF58" s="4">
        <f t="shared" si="21"/>
        <v>160.40446471059769</v>
      </c>
      <c r="AG58" s="4">
        <f t="shared" si="22"/>
        <v>161.07173804235484</v>
      </c>
      <c r="AI58" s="4">
        <f t="shared" si="23"/>
        <v>3.5483870785724272E-4</v>
      </c>
      <c r="AJ58" s="4">
        <f t="shared" si="24"/>
        <v>2.4251142562404352E-4</v>
      </c>
      <c r="AK58" s="4">
        <f t="shared" si="25"/>
        <v>2.0777361260349548E-4</v>
      </c>
      <c r="AL58" s="4">
        <f t="shared" si="26"/>
        <v>1.9286550460704234E-4</v>
      </c>
      <c r="AM58" s="4">
        <f t="shared" si="27"/>
        <v>1.8561716671003251E-4</v>
      </c>
      <c r="AN58" s="4">
        <f t="shared" si="28"/>
        <v>1.818820799740497E-4</v>
      </c>
      <c r="AO58" s="4">
        <f t="shared" si="29"/>
        <v>1.7989998900519615E-4</v>
      </c>
      <c r="AP58" s="4">
        <f t="shared" si="30"/>
        <v>1.7883178694715261E-4</v>
      </c>
      <c r="AQ58" s="4">
        <f t="shared" si="31"/>
        <v>1.7825131699151592E-4</v>
      </c>
      <c r="AR58" s="4">
        <f t="shared" si="32"/>
        <v>1.7793446587426924E-4</v>
      </c>
    </row>
    <row r="59" spans="1:44" x14ac:dyDescent="0.25">
      <c r="A59" s="4" t="s">
        <v>133</v>
      </c>
      <c r="B59" s="4">
        <v>22480.883238831299</v>
      </c>
      <c r="C59" s="4">
        <v>87258.760310178201</v>
      </c>
      <c r="D59" s="4">
        <v>151373.545730713</v>
      </c>
      <c r="E59" s="4">
        <v>197364.76378915901</v>
      </c>
      <c r="F59" s="4">
        <v>226229.279301551</v>
      </c>
      <c r="G59" s="4">
        <v>243223.60061692199</v>
      </c>
      <c r="H59" s="4">
        <v>252907.826328847</v>
      </c>
      <c r="I59" s="4">
        <v>258332.02629485301</v>
      </c>
      <c r="J59" s="4">
        <v>261342.116566362</v>
      </c>
      <c r="K59" s="4">
        <v>263004.14304252103</v>
      </c>
      <c r="M59" s="4">
        <f t="shared" si="3"/>
        <v>224808.83238831299</v>
      </c>
      <c r="N59" s="4">
        <f t="shared" si="4"/>
        <v>647778.77071346901</v>
      </c>
      <c r="O59" s="4">
        <f t="shared" si="5"/>
        <v>641147.85420534795</v>
      </c>
      <c r="P59" s="4">
        <f t="shared" si="6"/>
        <v>459912.18058446015</v>
      </c>
      <c r="Q59" s="4">
        <f t="shared" si="7"/>
        <v>288645.15512391983</v>
      </c>
      <c r="R59" s="4">
        <f t="shared" si="8"/>
        <v>169943.21315370995</v>
      </c>
      <c r="S59" s="4">
        <f t="shared" si="9"/>
        <v>96842.257119250135</v>
      </c>
      <c r="T59" s="4">
        <f t="shared" si="10"/>
        <v>54241.999660060101</v>
      </c>
      <c r="U59" s="4">
        <f t="shared" si="11"/>
        <v>30100.902715089906</v>
      </c>
      <c r="V59" s="4">
        <f t="shared" si="12"/>
        <v>16620.264761590224</v>
      </c>
      <c r="X59" s="4">
        <f t="shared" si="13"/>
        <v>333.72643848661602</v>
      </c>
      <c r="Y59" s="4">
        <f t="shared" si="14"/>
        <v>862.35797051764303</v>
      </c>
      <c r="Z59" s="4">
        <f t="shared" si="15"/>
        <v>1268.1080030741009</v>
      </c>
      <c r="AA59" s="4">
        <f t="shared" si="16"/>
        <v>1526.8978660305954</v>
      </c>
      <c r="AB59" s="4">
        <f t="shared" si="17"/>
        <v>1679.9850735959008</v>
      </c>
      <c r="AC59" s="4">
        <f t="shared" si="18"/>
        <v>1767.3609462882985</v>
      </c>
      <c r="AD59" s="4">
        <f t="shared" si="19"/>
        <v>1816.3303631240819</v>
      </c>
      <c r="AE59" s="4">
        <f t="shared" si="20"/>
        <v>1843.5122595100884</v>
      </c>
      <c r="AF59" s="4">
        <f t="shared" si="21"/>
        <v>1858.5225614414728</v>
      </c>
      <c r="AG59" s="4">
        <f t="shared" si="22"/>
        <v>1866.7882885415818</v>
      </c>
      <c r="AI59" s="4">
        <f t="shared" si="23"/>
        <v>1.3021841125658505E-4</v>
      </c>
      <c r="AJ59" s="4">
        <f t="shared" si="24"/>
        <v>8.669093594892154E-5</v>
      </c>
      <c r="AK59" s="4">
        <f t="shared" si="25"/>
        <v>7.3485458500915273E-5</v>
      </c>
      <c r="AL59" s="4">
        <f t="shared" si="26"/>
        <v>6.7863384896816348E-5</v>
      </c>
      <c r="AM59" s="4">
        <f t="shared" si="27"/>
        <v>6.5140600798407948E-5</v>
      </c>
      <c r="AN59" s="4">
        <f t="shared" si="28"/>
        <v>6.3740386032393818E-5</v>
      </c>
      <c r="AO59" s="4">
        <f t="shared" si="29"/>
        <v>6.2998139341199463E-5</v>
      </c>
      <c r="AP59" s="4">
        <f t="shared" si="30"/>
        <v>6.2598356088779366E-5</v>
      </c>
      <c r="AQ59" s="4">
        <f t="shared" si="31"/>
        <v>6.2381179507241683E-5</v>
      </c>
      <c r="AR59" s="4">
        <f t="shared" si="32"/>
        <v>6.226265364098225E-5</v>
      </c>
    </row>
    <row r="60" spans="1:44" x14ac:dyDescent="0.25">
      <c r="A60" s="4" t="s">
        <v>135</v>
      </c>
      <c r="B60" s="4">
        <v>395.47473629006703</v>
      </c>
      <c r="C60" s="4">
        <v>2094.3236888731499</v>
      </c>
      <c r="D60" s="4">
        <v>4781.4183684439104</v>
      </c>
      <c r="E60" s="4">
        <v>7830.9597755895302</v>
      </c>
      <c r="F60" s="4">
        <v>10787.468240972599</v>
      </c>
      <c r="G60" s="4">
        <v>13410.369081398199</v>
      </c>
      <c r="H60" s="4">
        <v>15612.9322270211</v>
      </c>
      <c r="I60" s="4">
        <v>17397.109934644199</v>
      </c>
      <c r="J60" s="4">
        <v>18807.4057025722</v>
      </c>
      <c r="K60" s="4">
        <v>19903.2809848172</v>
      </c>
      <c r="M60" s="4">
        <f t="shared" si="3"/>
        <v>3954.7473629006704</v>
      </c>
      <c r="N60" s="4">
        <f t="shared" si="4"/>
        <v>16988.489525830828</v>
      </c>
      <c r="O60" s="4">
        <f t="shared" si="5"/>
        <v>26870.946795707605</v>
      </c>
      <c r="P60" s="4">
        <f t="shared" si="6"/>
        <v>30495.414071456198</v>
      </c>
      <c r="Q60" s="4">
        <f t="shared" si="7"/>
        <v>29565.084653830691</v>
      </c>
      <c r="R60" s="4">
        <f t="shared" si="8"/>
        <v>26229.008404256001</v>
      </c>
      <c r="S60" s="4">
        <f t="shared" si="9"/>
        <v>22025.631456229003</v>
      </c>
      <c r="T60" s="4">
        <f t="shared" si="10"/>
        <v>17841.777076230992</v>
      </c>
      <c r="U60" s="4">
        <f t="shared" si="11"/>
        <v>14102.957679280007</v>
      </c>
      <c r="V60" s="4">
        <f t="shared" si="12"/>
        <v>10958.752822450006</v>
      </c>
      <c r="X60" s="4">
        <f t="shared" si="13"/>
        <v>19.728968359593797</v>
      </c>
      <c r="Y60" s="4">
        <f t="shared" si="14"/>
        <v>63.365361702934806</v>
      </c>
      <c r="Z60" s="4">
        <f t="shared" si="15"/>
        <v>112.93042866360366</v>
      </c>
      <c r="AA60" s="4">
        <f t="shared" si="16"/>
        <v>159.51140851354447</v>
      </c>
      <c r="AB60" s="4">
        <f t="shared" si="17"/>
        <v>199.60201711332783</v>
      </c>
      <c r="AC60" s="4">
        <f t="shared" si="18"/>
        <v>232.45011544848145</v>
      </c>
      <c r="AD60" s="4">
        <f t="shared" si="19"/>
        <v>258.55943309508251</v>
      </c>
      <c r="AE60" s="4">
        <f t="shared" si="20"/>
        <v>278.90431295092094</v>
      </c>
      <c r="AF60" s="4">
        <f t="shared" si="21"/>
        <v>294.54488130371658</v>
      </c>
      <c r="AG60" s="4">
        <f t="shared" si="22"/>
        <v>306.45628083502919</v>
      </c>
      <c r="AI60" s="4">
        <f t="shared" si="23"/>
        <v>4.3760349291797684E-4</v>
      </c>
      <c r="AJ60" s="4">
        <f t="shared" si="24"/>
        <v>2.6540143203229602E-4</v>
      </c>
      <c r="AK60" s="4">
        <f t="shared" si="25"/>
        <v>2.0718073988935644E-4</v>
      </c>
      <c r="AL60" s="4">
        <f t="shared" si="26"/>
        <v>1.7867833851725057E-4</v>
      </c>
      <c r="AM60" s="4">
        <f t="shared" si="27"/>
        <v>1.623082309812812E-4</v>
      </c>
      <c r="AN60" s="4">
        <f t="shared" si="28"/>
        <v>1.5204921565161583E-4</v>
      </c>
      <c r="AO60" s="4">
        <f t="shared" si="29"/>
        <v>1.4526836917047085E-4</v>
      </c>
      <c r="AP60" s="4">
        <f t="shared" si="30"/>
        <v>1.4062847623334435E-4</v>
      </c>
      <c r="AQ60" s="4">
        <f t="shared" si="31"/>
        <v>1.3737817271770799E-4</v>
      </c>
      <c r="AR60" s="4">
        <f t="shared" si="32"/>
        <v>1.3506381143046738E-4</v>
      </c>
    </row>
    <row r="61" spans="1:44" x14ac:dyDescent="0.25">
      <c r="A61" s="4" t="s">
        <v>137</v>
      </c>
      <c r="B61" s="4">
        <v>196.02406093989299</v>
      </c>
      <c r="C61" s="4">
        <v>897.79177458818799</v>
      </c>
      <c r="D61" s="4">
        <v>1874.58896491428</v>
      </c>
      <c r="E61" s="4">
        <v>2879.2249717896598</v>
      </c>
      <c r="F61" s="4">
        <v>3776.51818377069</v>
      </c>
      <c r="G61" s="4">
        <v>4517.6964395548202</v>
      </c>
      <c r="H61" s="4">
        <v>5101.5545640243299</v>
      </c>
      <c r="I61" s="4">
        <v>5547.7029745345098</v>
      </c>
      <c r="J61" s="4">
        <v>5881.8047356925499</v>
      </c>
      <c r="K61" s="4">
        <v>6128.5895529147801</v>
      </c>
      <c r="M61" s="4">
        <f t="shared" si="3"/>
        <v>1960.2406093989298</v>
      </c>
      <c r="N61" s="4">
        <f t="shared" si="4"/>
        <v>7017.677136482951</v>
      </c>
      <c r="O61" s="4">
        <f t="shared" si="5"/>
        <v>9767.971903260921</v>
      </c>
      <c r="P61" s="4">
        <f t="shared" si="6"/>
        <v>10046.360068753798</v>
      </c>
      <c r="Q61" s="4">
        <f t="shared" si="7"/>
        <v>8972.9321198103025</v>
      </c>
      <c r="R61" s="4">
        <f t="shared" si="8"/>
        <v>7411.7825578413022</v>
      </c>
      <c r="S61" s="4">
        <f t="shared" si="9"/>
        <v>5838.5812446950968</v>
      </c>
      <c r="T61" s="4">
        <f t="shared" si="10"/>
        <v>4461.4841051017993</v>
      </c>
      <c r="U61" s="4">
        <f t="shared" si="11"/>
        <v>3341.0176115804006</v>
      </c>
      <c r="V61" s="4">
        <f t="shared" si="12"/>
        <v>2467.8481722223023</v>
      </c>
      <c r="X61" s="4">
        <f t="shared" si="13"/>
        <v>12.070849138436452</v>
      </c>
      <c r="Y61" s="4">
        <f t="shared" si="14"/>
        <v>35.022261805109068</v>
      </c>
      <c r="Z61" s="4">
        <f t="shared" si="15"/>
        <v>58.634806195413418</v>
      </c>
      <c r="AA61" s="4">
        <f t="shared" si="16"/>
        <v>79.179758891232339</v>
      </c>
      <c r="AB61" s="4">
        <f t="shared" si="17"/>
        <v>95.738222681406327</v>
      </c>
      <c r="AC61" s="4">
        <f t="shared" si="18"/>
        <v>108.53334463915263</v>
      </c>
      <c r="AD61" s="4">
        <f t="shared" si="19"/>
        <v>118.17157665139199</v>
      </c>
      <c r="AE61" s="4">
        <f t="shared" si="20"/>
        <v>125.314260402115</v>
      </c>
      <c r="AF61" s="4">
        <f t="shared" si="21"/>
        <v>130.55054121913744</v>
      </c>
      <c r="AG61" s="4">
        <f t="shared" si="22"/>
        <v>134.3611246215419</v>
      </c>
      <c r="AI61" s="4">
        <f t="shared" si="23"/>
        <v>5.4016145292337117E-4</v>
      </c>
      <c r="AJ61" s="4">
        <f t="shared" si="24"/>
        <v>3.4218716583001745E-4</v>
      </c>
      <c r="AK61" s="4">
        <f t="shared" si="25"/>
        <v>2.7437503092654983E-4</v>
      </c>
      <c r="AL61" s="4">
        <f t="shared" si="26"/>
        <v>2.4123133667038873E-4</v>
      </c>
      <c r="AM61" s="4">
        <f t="shared" si="27"/>
        <v>2.2237651985856883E-4</v>
      </c>
      <c r="AN61" s="4">
        <f t="shared" si="28"/>
        <v>2.1073724087876085E-4</v>
      </c>
      <c r="AO61" s="4">
        <f t="shared" si="29"/>
        <v>2.0319154968051142E-4</v>
      </c>
      <c r="AP61" s="4">
        <f t="shared" si="30"/>
        <v>1.9814469219242963E-4</v>
      </c>
      <c r="AQ61" s="4">
        <f t="shared" si="31"/>
        <v>1.946987765818693E-4</v>
      </c>
      <c r="AR61" s="4">
        <f t="shared" si="32"/>
        <v>1.923128227389229E-4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B1" workbookViewId="0">
      <selection activeCell="C8" sqref="C8"/>
    </sheetView>
  </sheetViews>
  <sheetFormatPr defaultRowHeight="12.75" x14ac:dyDescent="0.2"/>
  <cols>
    <col min="1" max="1" width="16.42578125" style="15" customWidth="1"/>
    <col min="2" max="2" width="9.140625" style="15"/>
    <col min="3" max="3" width="31" style="15" customWidth="1"/>
    <col min="4" max="4" width="14.28515625" style="15" customWidth="1"/>
    <col min="5" max="5" width="18.140625" style="15" customWidth="1"/>
    <col min="6" max="6" width="14.7109375" style="15" customWidth="1"/>
    <col min="7" max="7" width="12.140625" style="15" customWidth="1"/>
    <col min="8" max="16384" width="9.140625" style="15"/>
  </cols>
  <sheetData>
    <row r="1" spans="1:16" x14ac:dyDescent="0.2">
      <c r="F1" s="16" t="s">
        <v>942</v>
      </c>
    </row>
    <row r="2" spans="1:16" x14ac:dyDescent="0.2">
      <c r="C2" s="17" t="s">
        <v>943</v>
      </c>
      <c r="D2" s="18">
        <v>0.7</v>
      </c>
      <c r="F2" s="16" t="s">
        <v>944</v>
      </c>
    </row>
    <row r="3" spans="1:16" x14ac:dyDescent="0.2">
      <c r="A3" s="19" t="s">
        <v>945</v>
      </c>
      <c r="B3" s="20" t="s">
        <v>946</v>
      </c>
      <c r="C3" s="17" t="s">
        <v>947</v>
      </c>
      <c r="D3" s="18">
        <v>6</v>
      </c>
      <c r="F3" s="21" t="s">
        <v>948</v>
      </c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2">
      <c r="A4" s="19" t="s">
        <v>945</v>
      </c>
      <c r="B4" s="20" t="s">
        <v>949</v>
      </c>
      <c r="C4" s="17" t="s">
        <v>950</v>
      </c>
      <c r="D4" s="18">
        <f>85*0.7</f>
        <v>59.499999999999993</v>
      </c>
      <c r="E4" s="15">
        <f>D4^0.33</f>
        <v>3.851151456297166</v>
      </c>
      <c r="F4" s="21" t="s">
        <v>951</v>
      </c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2">
      <c r="C5" s="17" t="s">
        <v>149</v>
      </c>
      <c r="D5" s="18">
        <v>1</v>
      </c>
      <c r="F5" s="21" t="s">
        <v>952</v>
      </c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2">
      <c r="C6" s="22" t="s">
        <v>953</v>
      </c>
      <c r="D6" s="23">
        <f>D4/D3/D2/D5</f>
        <v>14.166666666666666</v>
      </c>
      <c r="F6" s="21" t="s">
        <v>954</v>
      </c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x14ac:dyDescent="0.2">
      <c r="C7" s="22" t="s">
        <v>955</v>
      </c>
      <c r="D7" s="23">
        <f>D4/D2</f>
        <v>85</v>
      </c>
      <c r="F7" s="21" t="s">
        <v>956</v>
      </c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16" x14ac:dyDescent="0.2">
      <c r="C8" s="22"/>
      <c r="D8" s="23"/>
      <c r="F8" s="21" t="s">
        <v>957</v>
      </c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1:16" x14ac:dyDescent="0.2">
      <c r="F9" s="21" t="s">
        <v>958</v>
      </c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x14ac:dyDescent="0.2">
      <c r="C10" s="16" t="s">
        <v>959</v>
      </c>
      <c r="D10" s="16" t="s">
        <v>960</v>
      </c>
      <c r="E10" s="16" t="s">
        <v>961</v>
      </c>
      <c r="F10" s="16" t="s">
        <v>962</v>
      </c>
      <c r="G10" s="16" t="s">
        <v>963</v>
      </c>
    </row>
    <row r="11" spans="1:16" x14ac:dyDescent="0.2">
      <c r="B11" s="15">
        <v>1</v>
      </c>
      <c r="C11" s="15">
        <f>$B$11</f>
        <v>1</v>
      </c>
      <c r="D11" s="15">
        <v>1</v>
      </c>
      <c r="E11" s="15">
        <f>(D11*C11*$D$5*$D$3)/(1+($D$3/$D$4)*$D$2*D11*$D$5)</f>
        <v>5.6043956043956049</v>
      </c>
      <c r="F11" s="15">
        <f t="shared" ref="F11:F61" si="0">(D11*C11*$D$5*$D$3)</f>
        <v>6</v>
      </c>
      <c r="G11" s="15">
        <f>(1+($D$3/$D$4)*$D$2*D11*$D$5)</f>
        <v>1.0705882352941176</v>
      </c>
      <c r="H11" s="15">
        <f>F11/G11</f>
        <v>5.6043956043956049</v>
      </c>
    </row>
    <row r="12" spans="1:16" x14ac:dyDescent="0.2">
      <c r="C12" s="15">
        <f t="shared" ref="C12:C61" si="1">$B$11</f>
        <v>1</v>
      </c>
      <c r="D12" s="15">
        <v>10</v>
      </c>
      <c r="E12" s="15">
        <f t="shared" ref="E12:E61" si="2">(D12*C12*$D$5*$D$3)/(1+($D$3/$D$4)*$D$2*D12*$D$5)</f>
        <v>35.172413793103445</v>
      </c>
      <c r="F12" s="15">
        <f t="shared" si="0"/>
        <v>60</v>
      </c>
      <c r="G12" s="15">
        <f t="shared" ref="G12:G61" si="3">(1+($D$3/$D$4)*$D$2*D12*$D$5)</f>
        <v>1.7058823529411766</v>
      </c>
      <c r="H12" s="15">
        <f t="shared" ref="H12:H61" si="4">F12/G12</f>
        <v>35.172413793103445</v>
      </c>
    </row>
    <row r="13" spans="1:16" x14ac:dyDescent="0.2">
      <c r="C13" s="15">
        <f t="shared" si="1"/>
        <v>1</v>
      </c>
      <c r="D13" s="15">
        <v>20</v>
      </c>
      <c r="E13" s="15">
        <f t="shared" si="2"/>
        <v>49.756097560975604</v>
      </c>
      <c r="F13" s="15">
        <f t="shared" si="0"/>
        <v>120</v>
      </c>
      <c r="G13" s="15">
        <f t="shared" si="3"/>
        <v>2.4117647058823533</v>
      </c>
      <c r="H13" s="15">
        <f t="shared" si="4"/>
        <v>49.756097560975604</v>
      </c>
    </row>
    <row r="14" spans="1:16" x14ac:dyDescent="0.2">
      <c r="C14" s="15">
        <f t="shared" si="1"/>
        <v>1</v>
      </c>
      <c r="D14" s="15">
        <v>30</v>
      </c>
      <c r="E14" s="15">
        <f t="shared" si="2"/>
        <v>57.735849056603762</v>
      </c>
      <c r="F14" s="15">
        <f t="shared" si="0"/>
        <v>180</v>
      </c>
      <c r="G14" s="15">
        <f t="shared" si="3"/>
        <v>3.1176470588235299</v>
      </c>
      <c r="H14" s="15">
        <f t="shared" si="4"/>
        <v>57.735849056603762</v>
      </c>
    </row>
    <row r="15" spans="1:16" x14ac:dyDescent="0.2">
      <c r="C15" s="15">
        <f t="shared" si="1"/>
        <v>1</v>
      </c>
      <c r="D15" s="15">
        <v>40</v>
      </c>
      <c r="E15" s="15">
        <f t="shared" si="2"/>
        <v>62.769230769230759</v>
      </c>
      <c r="F15" s="15">
        <f t="shared" si="0"/>
        <v>240</v>
      </c>
      <c r="G15" s="15">
        <f t="shared" si="3"/>
        <v>3.8235294117647065</v>
      </c>
      <c r="H15" s="15">
        <f t="shared" si="4"/>
        <v>62.769230769230759</v>
      </c>
    </row>
    <row r="16" spans="1:16" x14ac:dyDescent="0.2">
      <c r="C16" s="15">
        <f t="shared" si="1"/>
        <v>1</v>
      </c>
      <c r="D16" s="15">
        <v>50</v>
      </c>
      <c r="E16" s="15">
        <f t="shared" si="2"/>
        <v>66.233766233766218</v>
      </c>
      <c r="F16" s="15">
        <f t="shared" si="0"/>
        <v>300</v>
      </c>
      <c r="G16" s="15">
        <f t="shared" si="3"/>
        <v>4.5294117647058831</v>
      </c>
      <c r="H16" s="15">
        <f t="shared" si="4"/>
        <v>66.233766233766218</v>
      </c>
    </row>
    <row r="17" spans="3:8" x14ac:dyDescent="0.2">
      <c r="C17" s="15">
        <f t="shared" si="1"/>
        <v>1</v>
      </c>
      <c r="D17" s="15">
        <v>60</v>
      </c>
      <c r="E17" s="15">
        <f t="shared" si="2"/>
        <v>68.76404494382021</v>
      </c>
      <c r="F17" s="15">
        <f t="shared" si="0"/>
        <v>360</v>
      </c>
      <c r="G17" s="15">
        <f t="shared" si="3"/>
        <v>5.2352941176470598</v>
      </c>
      <c r="H17" s="15">
        <f t="shared" si="4"/>
        <v>68.76404494382021</v>
      </c>
    </row>
    <row r="18" spans="3:8" x14ac:dyDescent="0.2">
      <c r="C18" s="15">
        <f t="shared" si="1"/>
        <v>1</v>
      </c>
      <c r="D18" s="15">
        <v>70</v>
      </c>
      <c r="E18" s="15">
        <f t="shared" si="2"/>
        <v>70.693069306930681</v>
      </c>
      <c r="F18" s="15">
        <f t="shared" si="0"/>
        <v>420</v>
      </c>
      <c r="G18" s="15">
        <f t="shared" si="3"/>
        <v>5.9411764705882364</v>
      </c>
      <c r="H18" s="15">
        <f t="shared" si="4"/>
        <v>70.693069306930681</v>
      </c>
    </row>
    <row r="19" spans="3:8" x14ac:dyDescent="0.2">
      <c r="C19" s="15">
        <f t="shared" si="1"/>
        <v>1</v>
      </c>
      <c r="D19" s="15">
        <v>80</v>
      </c>
      <c r="E19" s="15">
        <f t="shared" si="2"/>
        <v>72.212389380530965</v>
      </c>
      <c r="F19" s="15">
        <f t="shared" si="0"/>
        <v>480</v>
      </c>
      <c r="G19" s="15">
        <f t="shared" si="3"/>
        <v>6.647058823529413</v>
      </c>
      <c r="H19" s="15">
        <f t="shared" si="4"/>
        <v>72.212389380530965</v>
      </c>
    </row>
    <row r="20" spans="3:8" x14ac:dyDescent="0.2">
      <c r="C20" s="15">
        <f t="shared" si="1"/>
        <v>1</v>
      </c>
      <c r="D20" s="15">
        <v>90</v>
      </c>
      <c r="E20" s="15">
        <f t="shared" si="2"/>
        <v>73.439999999999984</v>
      </c>
      <c r="F20" s="15">
        <f t="shared" si="0"/>
        <v>540</v>
      </c>
      <c r="G20" s="15">
        <f t="shared" si="3"/>
        <v>7.3529411764705896</v>
      </c>
      <c r="H20" s="15">
        <f t="shared" si="4"/>
        <v>73.439999999999984</v>
      </c>
    </row>
    <row r="21" spans="3:8" x14ac:dyDescent="0.2">
      <c r="C21" s="15">
        <f t="shared" si="1"/>
        <v>1</v>
      </c>
      <c r="D21" s="15">
        <v>100</v>
      </c>
      <c r="E21" s="15">
        <f t="shared" si="2"/>
        <v>74.452554744525528</v>
      </c>
      <c r="F21" s="15">
        <f t="shared" si="0"/>
        <v>600</v>
      </c>
      <c r="G21" s="15">
        <f t="shared" si="3"/>
        <v>8.0588235294117663</v>
      </c>
      <c r="H21" s="15">
        <f t="shared" si="4"/>
        <v>74.452554744525528</v>
      </c>
    </row>
    <row r="22" spans="3:8" x14ac:dyDescent="0.2">
      <c r="C22" s="15">
        <f t="shared" si="1"/>
        <v>1</v>
      </c>
      <c r="D22" s="15">
        <v>110</v>
      </c>
      <c r="E22" s="15">
        <f t="shared" si="2"/>
        <v>75.302013422818789</v>
      </c>
      <c r="F22" s="15">
        <f t="shared" si="0"/>
        <v>660</v>
      </c>
      <c r="G22" s="15">
        <f t="shared" si="3"/>
        <v>8.764705882352942</v>
      </c>
      <c r="H22" s="15">
        <f t="shared" si="4"/>
        <v>75.302013422818789</v>
      </c>
    </row>
    <row r="23" spans="3:8" x14ac:dyDescent="0.2">
      <c r="C23" s="15">
        <f t="shared" si="1"/>
        <v>1</v>
      </c>
      <c r="D23" s="15">
        <v>120</v>
      </c>
      <c r="E23" s="15">
        <f t="shared" si="2"/>
        <v>76.024844720496873</v>
      </c>
      <c r="F23" s="15">
        <f t="shared" si="0"/>
        <v>720</v>
      </c>
      <c r="G23" s="15">
        <f t="shared" si="3"/>
        <v>9.4705882352941195</v>
      </c>
      <c r="H23" s="15">
        <f t="shared" si="4"/>
        <v>76.024844720496873</v>
      </c>
    </row>
    <row r="24" spans="3:8" x14ac:dyDescent="0.2">
      <c r="C24" s="15">
        <f t="shared" si="1"/>
        <v>1</v>
      </c>
      <c r="D24" s="15">
        <v>130</v>
      </c>
      <c r="E24" s="15">
        <f t="shared" si="2"/>
        <v>76.647398843930631</v>
      </c>
      <c r="F24" s="15">
        <f t="shared" si="0"/>
        <v>780</v>
      </c>
      <c r="G24" s="15">
        <f t="shared" si="3"/>
        <v>10.176470588235295</v>
      </c>
      <c r="H24" s="15">
        <f t="shared" si="4"/>
        <v>76.647398843930631</v>
      </c>
    </row>
    <row r="25" spans="3:8" x14ac:dyDescent="0.2">
      <c r="C25" s="15">
        <f t="shared" si="1"/>
        <v>1</v>
      </c>
      <c r="D25" s="15">
        <v>140</v>
      </c>
      <c r="E25" s="15">
        <f t="shared" si="2"/>
        <v>77.189189189189179</v>
      </c>
      <c r="F25" s="15">
        <f t="shared" si="0"/>
        <v>840</v>
      </c>
      <c r="G25" s="15">
        <f t="shared" si="3"/>
        <v>10.882352941176473</v>
      </c>
      <c r="H25" s="15">
        <f t="shared" si="4"/>
        <v>77.189189189189179</v>
      </c>
    </row>
    <row r="26" spans="3:8" x14ac:dyDescent="0.2">
      <c r="C26" s="15">
        <f t="shared" si="1"/>
        <v>1</v>
      </c>
      <c r="D26" s="15">
        <v>150</v>
      </c>
      <c r="E26" s="15">
        <f t="shared" si="2"/>
        <v>77.664974619289325</v>
      </c>
      <c r="F26" s="15">
        <f t="shared" si="0"/>
        <v>900</v>
      </c>
      <c r="G26" s="15">
        <f t="shared" si="3"/>
        <v>11.588235294117649</v>
      </c>
      <c r="H26" s="15">
        <f t="shared" si="4"/>
        <v>77.664974619289325</v>
      </c>
    </row>
    <row r="27" spans="3:8" x14ac:dyDescent="0.2">
      <c r="C27" s="15">
        <f t="shared" si="1"/>
        <v>1</v>
      </c>
      <c r="D27" s="15">
        <v>160</v>
      </c>
      <c r="E27" s="15">
        <f t="shared" si="2"/>
        <v>78.086124401913864</v>
      </c>
      <c r="F27" s="15">
        <f t="shared" si="0"/>
        <v>960</v>
      </c>
      <c r="G27" s="15">
        <f t="shared" si="3"/>
        <v>12.294117647058826</v>
      </c>
      <c r="H27" s="15">
        <f t="shared" si="4"/>
        <v>78.086124401913864</v>
      </c>
    </row>
    <row r="28" spans="3:8" x14ac:dyDescent="0.2">
      <c r="C28" s="15">
        <f t="shared" si="1"/>
        <v>1</v>
      </c>
      <c r="D28" s="15">
        <v>170</v>
      </c>
      <c r="E28" s="15">
        <f t="shared" si="2"/>
        <v>78.461538461538453</v>
      </c>
      <c r="F28" s="15">
        <f t="shared" si="0"/>
        <v>1020</v>
      </c>
      <c r="G28" s="15">
        <f t="shared" si="3"/>
        <v>13.000000000000002</v>
      </c>
      <c r="H28" s="15">
        <f t="shared" si="4"/>
        <v>78.461538461538453</v>
      </c>
    </row>
    <row r="29" spans="3:8" x14ac:dyDescent="0.2">
      <c r="C29" s="15">
        <f t="shared" si="1"/>
        <v>1</v>
      </c>
      <c r="D29" s="15">
        <v>180</v>
      </c>
      <c r="E29" s="15">
        <f t="shared" si="2"/>
        <v>78.798283261802553</v>
      </c>
      <c r="F29" s="15">
        <f t="shared" si="0"/>
        <v>1080</v>
      </c>
      <c r="G29" s="15">
        <f t="shared" si="3"/>
        <v>13.705882352941179</v>
      </c>
      <c r="H29" s="15">
        <f t="shared" si="4"/>
        <v>78.798283261802553</v>
      </c>
    </row>
    <row r="30" spans="3:8" x14ac:dyDescent="0.2">
      <c r="C30" s="15">
        <f t="shared" si="1"/>
        <v>1</v>
      </c>
      <c r="D30" s="15">
        <v>190</v>
      </c>
      <c r="E30" s="15">
        <f t="shared" si="2"/>
        <v>79.102040816326522</v>
      </c>
      <c r="F30" s="15">
        <f t="shared" si="0"/>
        <v>1140</v>
      </c>
      <c r="G30" s="15">
        <f t="shared" si="3"/>
        <v>14.411764705882355</v>
      </c>
      <c r="H30" s="15">
        <f t="shared" si="4"/>
        <v>79.102040816326522</v>
      </c>
    </row>
    <row r="31" spans="3:8" x14ac:dyDescent="0.2">
      <c r="C31" s="15">
        <f t="shared" si="1"/>
        <v>1</v>
      </c>
      <c r="D31" s="15">
        <v>200</v>
      </c>
      <c r="E31" s="15">
        <f t="shared" si="2"/>
        <v>79.377431906614774</v>
      </c>
      <c r="F31" s="15">
        <f t="shared" si="0"/>
        <v>1200</v>
      </c>
      <c r="G31" s="15">
        <f t="shared" si="3"/>
        <v>15.117647058823533</v>
      </c>
      <c r="H31" s="15">
        <f t="shared" si="4"/>
        <v>79.377431906614774</v>
      </c>
    </row>
    <row r="32" spans="3:8" x14ac:dyDescent="0.2">
      <c r="C32" s="15">
        <f t="shared" si="1"/>
        <v>1</v>
      </c>
      <c r="D32" s="15">
        <v>210</v>
      </c>
      <c r="E32" s="15">
        <f t="shared" si="2"/>
        <v>79.628252788104078</v>
      </c>
      <c r="F32" s="15">
        <f t="shared" si="0"/>
        <v>1260</v>
      </c>
      <c r="G32" s="15">
        <f t="shared" si="3"/>
        <v>15.823529411764708</v>
      </c>
      <c r="H32" s="15">
        <f t="shared" si="4"/>
        <v>79.628252788104078</v>
      </c>
    </row>
    <row r="33" spans="3:21" x14ac:dyDescent="0.2">
      <c r="C33" s="15">
        <f t="shared" si="1"/>
        <v>1</v>
      </c>
      <c r="D33" s="15">
        <v>220</v>
      </c>
      <c r="E33" s="15">
        <f t="shared" si="2"/>
        <v>79.857651245551594</v>
      </c>
      <c r="F33" s="15">
        <f t="shared" si="0"/>
        <v>1320</v>
      </c>
      <c r="G33" s="15">
        <f t="shared" si="3"/>
        <v>16.529411764705884</v>
      </c>
      <c r="H33" s="15">
        <f t="shared" si="4"/>
        <v>79.857651245551594</v>
      </c>
    </row>
    <row r="34" spans="3:21" x14ac:dyDescent="0.2">
      <c r="C34" s="15">
        <f t="shared" si="1"/>
        <v>1</v>
      </c>
      <c r="D34" s="15">
        <v>230</v>
      </c>
      <c r="E34" s="15">
        <f t="shared" si="2"/>
        <v>80.068259385665513</v>
      </c>
      <c r="F34" s="15">
        <f t="shared" si="0"/>
        <v>1380</v>
      </c>
      <c r="G34" s="15">
        <f t="shared" si="3"/>
        <v>17.235294117647062</v>
      </c>
      <c r="H34" s="15">
        <f t="shared" si="4"/>
        <v>80.068259385665513</v>
      </c>
    </row>
    <row r="35" spans="3:21" x14ac:dyDescent="0.2">
      <c r="C35" s="15">
        <f t="shared" si="1"/>
        <v>1</v>
      </c>
      <c r="D35" s="15">
        <v>240</v>
      </c>
      <c r="E35" s="15">
        <f t="shared" si="2"/>
        <v>80.262295081967196</v>
      </c>
      <c r="F35" s="15">
        <f t="shared" si="0"/>
        <v>1440</v>
      </c>
      <c r="G35" s="15">
        <f t="shared" si="3"/>
        <v>17.941176470588239</v>
      </c>
      <c r="H35" s="15">
        <f t="shared" si="4"/>
        <v>80.262295081967196</v>
      </c>
    </row>
    <row r="36" spans="3:21" x14ac:dyDescent="0.2">
      <c r="C36" s="15">
        <f t="shared" si="1"/>
        <v>1</v>
      </c>
      <c r="D36" s="15">
        <v>250</v>
      </c>
      <c r="E36" s="15">
        <f t="shared" si="2"/>
        <v>80.441640378548868</v>
      </c>
      <c r="F36" s="15">
        <f t="shared" si="0"/>
        <v>1500</v>
      </c>
      <c r="G36" s="15">
        <f t="shared" si="3"/>
        <v>18.647058823529417</v>
      </c>
      <c r="H36" s="15">
        <f t="shared" si="4"/>
        <v>80.441640378548868</v>
      </c>
    </row>
    <row r="37" spans="3:21" x14ac:dyDescent="0.2">
      <c r="C37" s="15">
        <f t="shared" si="1"/>
        <v>1</v>
      </c>
      <c r="D37" s="15">
        <v>260</v>
      </c>
      <c r="E37" s="15">
        <f t="shared" si="2"/>
        <v>80.607902735562305</v>
      </c>
      <c r="F37" s="15">
        <f t="shared" si="0"/>
        <v>1560</v>
      </c>
      <c r="G37" s="15">
        <f t="shared" si="3"/>
        <v>19.352941176470591</v>
      </c>
      <c r="H37" s="15">
        <f t="shared" si="4"/>
        <v>80.607902735562305</v>
      </c>
    </row>
    <row r="38" spans="3:21" x14ac:dyDescent="0.2">
      <c r="C38" s="15">
        <f t="shared" si="1"/>
        <v>1</v>
      </c>
      <c r="D38" s="15">
        <v>270</v>
      </c>
      <c r="E38" s="15">
        <f t="shared" si="2"/>
        <v>80.762463343108493</v>
      </c>
      <c r="F38" s="15">
        <f t="shared" si="0"/>
        <v>1620</v>
      </c>
      <c r="G38" s="15">
        <f t="shared" si="3"/>
        <v>20.058823529411768</v>
      </c>
      <c r="H38" s="15">
        <f t="shared" si="4"/>
        <v>80.762463343108493</v>
      </c>
    </row>
    <row r="39" spans="3:21" x14ac:dyDescent="0.2">
      <c r="C39" s="15">
        <f t="shared" si="1"/>
        <v>1</v>
      </c>
      <c r="D39" s="15">
        <v>280</v>
      </c>
      <c r="E39" s="15">
        <f t="shared" si="2"/>
        <v>80.906515580736524</v>
      </c>
      <c r="F39" s="15">
        <f t="shared" si="0"/>
        <v>1680</v>
      </c>
      <c r="G39" s="15">
        <f t="shared" si="3"/>
        <v>20.764705882352946</v>
      </c>
      <c r="H39" s="15">
        <f t="shared" si="4"/>
        <v>80.906515580736524</v>
      </c>
    </row>
    <row r="40" spans="3:21" x14ac:dyDescent="0.2">
      <c r="C40" s="15">
        <f t="shared" si="1"/>
        <v>1</v>
      </c>
      <c r="D40" s="15">
        <v>290</v>
      </c>
      <c r="E40" s="15">
        <f t="shared" si="2"/>
        <v>81.041095890410944</v>
      </c>
      <c r="F40" s="15">
        <f t="shared" si="0"/>
        <v>1740</v>
      </c>
      <c r="G40" s="15">
        <f t="shared" si="3"/>
        <v>21.470588235294123</v>
      </c>
      <c r="H40" s="15">
        <f t="shared" si="4"/>
        <v>81.041095890410944</v>
      </c>
    </row>
    <row r="41" spans="3:21" x14ac:dyDescent="0.2">
      <c r="C41" s="15">
        <f t="shared" si="1"/>
        <v>1</v>
      </c>
      <c r="D41" s="15">
        <v>300</v>
      </c>
      <c r="E41" s="15">
        <f t="shared" si="2"/>
        <v>81.167108753315645</v>
      </c>
      <c r="F41" s="15">
        <f t="shared" si="0"/>
        <v>1800</v>
      </c>
      <c r="G41" s="15">
        <f t="shared" si="3"/>
        <v>22.176470588235297</v>
      </c>
      <c r="H41" s="15">
        <f t="shared" si="4"/>
        <v>81.167108753315645</v>
      </c>
    </row>
    <row r="42" spans="3:21" x14ac:dyDescent="0.2">
      <c r="C42" s="15">
        <f t="shared" si="1"/>
        <v>1</v>
      </c>
      <c r="D42" s="15">
        <v>310</v>
      </c>
      <c r="E42" s="15">
        <f t="shared" si="2"/>
        <v>81.28534704370179</v>
      </c>
      <c r="F42" s="15">
        <f t="shared" si="0"/>
        <v>1860</v>
      </c>
      <c r="G42" s="15">
        <f t="shared" si="3"/>
        <v>22.882352941176475</v>
      </c>
      <c r="H42" s="15">
        <f t="shared" si="4"/>
        <v>81.28534704370179</v>
      </c>
      <c r="L42" s="15" t="s">
        <v>964</v>
      </c>
      <c r="M42" s="15" t="s">
        <v>965</v>
      </c>
      <c r="O42" s="15" t="s">
        <v>966</v>
      </c>
      <c r="R42" s="15" t="s">
        <v>967</v>
      </c>
      <c r="T42" s="15" t="s">
        <v>968</v>
      </c>
      <c r="U42" s="15" t="s">
        <v>947</v>
      </c>
    </row>
    <row r="43" spans="3:21" x14ac:dyDescent="0.2">
      <c r="C43" s="15">
        <f t="shared" si="1"/>
        <v>1</v>
      </c>
      <c r="D43" s="15">
        <v>320</v>
      </c>
      <c r="E43" s="15">
        <f t="shared" si="2"/>
        <v>81.396508728179541</v>
      </c>
      <c r="F43" s="15">
        <f t="shared" si="0"/>
        <v>1920</v>
      </c>
      <c r="G43" s="15">
        <f t="shared" si="3"/>
        <v>23.588235294117652</v>
      </c>
      <c r="H43" s="15">
        <f t="shared" si="4"/>
        <v>81.396508728179541</v>
      </c>
    </row>
    <row r="44" spans="3:21" x14ac:dyDescent="0.2">
      <c r="C44" s="15">
        <f t="shared" si="1"/>
        <v>1</v>
      </c>
      <c r="D44" s="15">
        <v>330</v>
      </c>
      <c r="E44" s="15">
        <f t="shared" si="2"/>
        <v>81.50121065375302</v>
      </c>
      <c r="F44" s="15">
        <f t="shared" si="0"/>
        <v>1980</v>
      </c>
      <c r="G44" s="15">
        <f t="shared" si="3"/>
        <v>24.294117647058826</v>
      </c>
      <c r="H44" s="15">
        <f t="shared" si="4"/>
        <v>81.50121065375302</v>
      </c>
      <c r="L44" s="15">
        <v>20</v>
      </c>
      <c r="M44" s="15">
        <v>30</v>
      </c>
      <c r="O44" s="15">
        <f>(0.3*SUM(L44:M44))^0.7</f>
        <v>6.6567750514751243</v>
      </c>
      <c r="R44" s="15">
        <f>3.3*O44</f>
        <v>21.967357669867908</v>
      </c>
      <c r="T44" s="15">
        <f>0.8*R44</f>
        <v>17.573886135894327</v>
      </c>
      <c r="U44" s="15">
        <f>0.1*T44</f>
        <v>1.7573886135894328</v>
      </c>
    </row>
    <row r="45" spans="3:21" x14ac:dyDescent="0.2">
      <c r="C45" s="15">
        <f t="shared" si="1"/>
        <v>1</v>
      </c>
      <c r="D45" s="15">
        <v>340</v>
      </c>
      <c r="E45" s="15">
        <f t="shared" si="2"/>
        <v>81.599999999999994</v>
      </c>
      <c r="F45" s="15">
        <f t="shared" si="0"/>
        <v>2040</v>
      </c>
      <c r="G45" s="15">
        <f t="shared" si="3"/>
        <v>25.000000000000004</v>
      </c>
      <c r="H45" s="15">
        <f t="shared" si="4"/>
        <v>81.599999999999994</v>
      </c>
      <c r="L45" s="15">
        <v>2</v>
      </c>
      <c r="M45" s="15">
        <v>3</v>
      </c>
      <c r="O45" s="15">
        <f t="shared" ref="O45:O52" si="5">(0.3*SUM(L45:M45))^0.7</f>
        <v>1.3282012399433341</v>
      </c>
      <c r="R45" s="15">
        <f t="shared" ref="R45:R52" si="6">3.3*O45</f>
        <v>4.3830640918130017</v>
      </c>
      <c r="T45" s="15">
        <f t="shared" ref="T45:T52" si="7">0.8*R45</f>
        <v>3.5064512734504016</v>
      </c>
      <c r="U45" s="15">
        <f t="shared" ref="U45:U52" si="8">0.1*T45</f>
        <v>0.35064512734504016</v>
      </c>
    </row>
    <row r="46" spans="3:21" x14ac:dyDescent="0.2">
      <c r="C46" s="15">
        <f t="shared" si="1"/>
        <v>1</v>
      </c>
      <c r="D46" s="15">
        <v>350</v>
      </c>
      <c r="E46" s="15">
        <f t="shared" si="2"/>
        <v>81.693363844393573</v>
      </c>
      <c r="F46" s="15">
        <f t="shared" si="0"/>
        <v>2100</v>
      </c>
      <c r="G46" s="15">
        <f t="shared" si="3"/>
        <v>25.705882352941181</v>
      </c>
      <c r="H46" s="15">
        <f t="shared" si="4"/>
        <v>81.693363844393573</v>
      </c>
      <c r="L46" s="15">
        <v>0.5</v>
      </c>
      <c r="M46" s="15">
        <v>0.3</v>
      </c>
      <c r="O46" s="15">
        <f t="shared" si="5"/>
        <v>0.36825433605559732</v>
      </c>
      <c r="R46" s="15">
        <f t="shared" si="6"/>
        <v>1.215239308983471</v>
      </c>
      <c r="T46" s="15">
        <f t="shared" si="7"/>
        <v>0.97219144718677686</v>
      </c>
      <c r="U46" s="15">
        <f t="shared" si="8"/>
        <v>9.7219144718677694E-2</v>
      </c>
    </row>
    <row r="47" spans="3:21" x14ac:dyDescent="0.2">
      <c r="C47" s="15">
        <f t="shared" si="1"/>
        <v>1</v>
      </c>
      <c r="D47" s="15">
        <v>360</v>
      </c>
      <c r="E47" s="15">
        <f t="shared" si="2"/>
        <v>81.781737193763902</v>
      </c>
      <c r="F47" s="15">
        <f t="shared" si="0"/>
        <v>2160</v>
      </c>
      <c r="G47" s="15">
        <f t="shared" si="3"/>
        <v>26.411764705882359</v>
      </c>
      <c r="H47" s="15">
        <f t="shared" si="4"/>
        <v>81.781737193763902</v>
      </c>
      <c r="L47" s="15">
        <v>200</v>
      </c>
      <c r="M47" s="15">
        <v>100</v>
      </c>
      <c r="O47" s="15">
        <f t="shared" si="5"/>
        <v>23.332955706220968</v>
      </c>
      <c r="R47" s="15">
        <f t="shared" si="6"/>
        <v>76.998753830529196</v>
      </c>
      <c r="T47" s="15">
        <f t="shared" si="7"/>
        <v>61.599003064423357</v>
      </c>
      <c r="U47" s="15">
        <f t="shared" si="8"/>
        <v>6.1599003064423359</v>
      </c>
    </row>
    <row r="48" spans="3:21" x14ac:dyDescent="0.2">
      <c r="C48" s="15">
        <f t="shared" si="1"/>
        <v>1</v>
      </c>
      <c r="D48" s="15">
        <v>370</v>
      </c>
      <c r="E48" s="15">
        <f t="shared" si="2"/>
        <v>81.865509761388282</v>
      </c>
      <c r="F48" s="15">
        <f t="shared" si="0"/>
        <v>2220</v>
      </c>
      <c r="G48" s="15">
        <f t="shared" si="3"/>
        <v>27.117647058823533</v>
      </c>
      <c r="H48" s="15">
        <f t="shared" si="4"/>
        <v>81.865509761388282</v>
      </c>
      <c r="L48" s="15">
        <v>200</v>
      </c>
      <c r="M48" s="15">
        <v>2</v>
      </c>
      <c r="O48" s="15">
        <f t="shared" si="5"/>
        <v>17.690122361816961</v>
      </c>
      <c r="R48" s="15">
        <f t="shared" si="6"/>
        <v>58.377403793995967</v>
      </c>
      <c r="T48" s="15">
        <f t="shared" si="7"/>
        <v>46.701923035196778</v>
      </c>
      <c r="U48" s="15">
        <f t="shared" si="8"/>
        <v>4.670192303519678</v>
      </c>
    </row>
    <row r="49" spans="3:21" x14ac:dyDescent="0.2">
      <c r="C49" s="15">
        <f t="shared" si="1"/>
        <v>1</v>
      </c>
      <c r="D49" s="15">
        <v>380</v>
      </c>
      <c r="E49" s="15">
        <f t="shared" si="2"/>
        <v>81.945031712473565</v>
      </c>
      <c r="F49" s="15">
        <f t="shared" si="0"/>
        <v>2280</v>
      </c>
      <c r="G49" s="15">
        <f t="shared" si="3"/>
        <v>27.82352941176471</v>
      </c>
      <c r="H49" s="15">
        <f t="shared" si="4"/>
        <v>81.945031712473565</v>
      </c>
      <c r="O49" s="15">
        <f t="shared" si="5"/>
        <v>0</v>
      </c>
      <c r="R49" s="15">
        <f t="shared" si="6"/>
        <v>0</v>
      </c>
      <c r="T49" s="15">
        <f t="shared" si="7"/>
        <v>0</v>
      </c>
      <c r="U49" s="15">
        <f t="shared" si="8"/>
        <v>0</v>
      </c>
    </row>
    <row r="50" spans="3:21" x14ac:dyDescent="0.2">
      <c r="C50" s="15">
        <f t="shared" si="1"/>
        <v>1</v>
      </c>
      <c r="D50" s="15">
        <v>390</v>
      </c>
      <c r="E50" s="15">
        <f t="shared" si="2"/>
        <v>82.02061855670101</v>
      </c>
      <c r="F50" s="15">
        <f t="shared" si="0"/>
        <v>2340</v>
      </c>
      <c r="G50" s="15">
        <f t="shared" si="3"/>
        <v>28.529411764705888</v>
      </c>
      <c r="H50" s="15">
        <f t="shared" si="4"/>
        <v>82.02061855670101</v>
      </c>
      <c r="O50" s="15">
        <f t="shared" si="5"/>
        <v>0</v>
      </c>
      <c r="R50" s="15">
        <f t="shared" si="6"/>
        <v>0</v>
      </c>
      <c r="T50" s="15">
        <f t="shared" si="7"/>
        <v>0</v>
      </c>
      <c r="U50" s="15">
        <f t="shared" si="8"/>
        <v>0</v>
      </c>
    </row>
    <row r="51" spans="3:21" x14ac:dyDescent="0.2">
      <c r="C51" s="15">
        <f t="shared" si="1"/>
        <v>1</v>
      </c>
      <c r="D51" s="15">
        <v>400</v>
      </c>
      <c r="E51" s="15">
        <f t="shared" si="2"/>
        <v>82.092555331991932</v>
      </c>
      <c r="F51" s="15">
        <f t="shared" si="0"/>
        <v>2400</v>
      </c>
      <c r="G51" s="15">
        <f t="shared" si="3"/>
        <v>29.235294117647065</v>
      </c>
      <c r="H51" s="15">
        <f t="shared" si="4"/>
        <v>82.092555331991932</v>
      </c>
      <c r="O51" s="15">
        <f t="shared" si="5"/>
        <v>0</v>
      </c>
      <c r="R51" s="15">
        <f t="shared" si="6"/>
        <v>0</v>
      </c>
      <c r="T51" s="15">
        <f t="shared" si="7"/>
        <v>0</v>
      </c>
      <c r="U51" s="15">
        <f t="shared" si="8"/>
        <v>0</v>
      </c>
    </row>
    <row r="52" spans="3:21" x14ac:dyDescent="0.2">
      <c r="C52" s="15">
        <f t="shared" si="1"/>
        <v>1</v>
      </c>
      <c r="D52" s="15">
        <v>410</v>
      </c>
      <c r="E52" s="15">
        <f t="shared" si="2"/>
        <v>82.16110019646365</v>
      </c>
      <c r="F52" s="15">
        <f t="shared" si="0"/>
        <v>2460</v>
      </c>
      <c r="G52" s="15">
        <f t="shared" si="3"/>
        <v>29.941176470588239</v>
      </c>
      <c r="H52" s="15">
        <f t="shared" si="4"/>
        <v>82.16110019646365</v>
      </c>
      <c r="O52" s="15">
        <f t="shared" si="5"/>
        <v>0</v>
      </c>
      <c r="R52" s="15">
        <f t="shared" si="6"/>
        <v>0</v>
      </c>
      <c r="T52" s="15">
        <f t="shared" si="7"/>
        <v>0</v>
      </c>
      <c r="U52" s="15">
        <f t="shared" si="8"/>
        <v>0</v>
      </c>
    </row>
    <row r="53" spans="3:21" x14ac:dyDescent="0.2">
      <c r="C53" s="15">
        <f t="shared" si="1"/>
        <v>1</v>
      </c>
      <c r="D53" s="15">
        <v>420</v>
      </c>
      <c r="E53" s="15">
        <f t="shared" si="2"/>
        <v>82.226487523992304</v>
      </c>
      <c r="F53" s="15">
        <f t="shared" si="0"/>
        <v>2520</v>
      </c>
      <c r="G53" s="15">
        <f t="shared" si="3"/>
        <v>30.647058823529417</v>
      </c>
      <c r="H53" s="15">
        <f t="shared" si="4"/>
        <v>82.226487523992304</v>
      </c>
    </row>
    <row r="54" spans="3:21" x14ac:dyDescent="0.2">
      <c r="C54" s="15">
        <f t="shared" si="1"/>
        <v>1</v>
      </c>
      <c r="D54" s="15">
        <v>430</v>
      </c>
      <c r="E54" s="15">
        <f t="shared" si="2"/>
        <v>82.288930581613499</v>
      </c>
      <c r="F54" s="15">
        <f t="shared" si="0"/>
        <v>2580</v>
      </c>
      <c r="G54" s="15">
        <f t="shared" si="3"/>
        <v>31.352941176470594</v>
      </c>
      <c r="H54" s="15">
        <f t="shared" si="4"/>
        <v>82.288930581613499</v>
      </c>
    </row>
    <row r="55" spans="3:21" x14ac:dyDescent="0.2">
      <c r="C55" s="15">
        <f t="shared" si="1"/>
        <v>1</v>
      </c>
      <c r="D55" s="15">
        <v>440</v>
      </c>
      <c r="E55" s="15">
        <f t="shared" si="2"/>
        <v>82.348623853210995</v>
      </c>
      <c r="F55" s="15">
        <f t="shared" si="0"/>
        <v>2640</v>
      </c>
      <c r="G55" s="15">
        <f t="shared" si="3"/>
        <v>32.058823529411768</v>
      </c>
      <c r="H55" s="15">
        <f t="shared" si="4"/>
        <v>82.348623853210995</v>
      </c>
    </row>
    <row r="56" spans="3:21" x14ac:dyDescent="0.2">
      <c r="C56" s="15">
        <f t="shared" si="1"/>
        <v>1</v>
      </c>
      <c r="D56" s="15">
        <v>450</v>
      </c>
      <c r="E56" s="15">
        <f t="shared" si="2"/>
        <v>82.40574506283663</v>
      </c>
      <c r="F56" s="15">
        <f t="shared" si="0"/>
        <v>2700</v>
      </c>
      <c r="G56" s="15">
        <f t="shared" si="3"/>
        <v>32.764705882352942</v>
      </c>
      <c r="H56" s="15">
        <f t="shared" si="4"/>
        <v>82.40574506283663</v>
      </c>
    </row>
    <row r="57" spans="3:21" x14ac:dyDescent="0.2">
      <c r="C57" s="15">
        <f t="shared" si="1"/>
        <v>1</v>
      </c>
      <c r="D57" s="15">
        <v>460</v>
      </c>
      <c r="E57" s="15">
        <f t="shared" si="2"/>
        <v>82.460456942003503</v>
      </c>
      <c r="F57" s="15">
        <f t="shared" si="0"/>
        <v>2760</v>
      </c>
      <c r="G57" s="15">
        <f t="shared" si="3"/>
        <v>33.470588235294123</v>
      </c>
      <c r="H57" s="15">
        <f t="shared" si="4"/>
        <v>82.460456942003503</v>
      </c>
    </row>
    <row r="58" spans="3:21" x14ac:dyDescent="0.2">
      <c r="C58" s="15">
        <f t="shared" si="1"/>
        <v>1</v>
      </c>
      <c r="D58" s="15">
        <v>470</v>
      </c>
      <c r="E58" s="15">
        <f t="shared" si="2"/>
        <v>82.512908777969017</v>
      </c>
      <c r="F58" s="15">
        <f t="shared" si="0"/>
        <v>2820</v>
      </c>
      <c r="G58" s="15">
        <f t="shared" si="3"/>
        <v>34.176470588235297</v>
      </c>
      <c r="H58" s="15">
        <f t="shared" si="4"/>
        <v>82.512908777969017</v>
      </c>
    </row>
    <row r="59" spans="3:21" x14ac:dyDescent="0.2">
      <c r="C59" s="15">
        <f t="shared" si="1"/>
        <v>1</v>
      </c>
      <c r="D59" s="15">
        <v>480</v>
      </c>
      <c r="E59" s="15">
        <f t="shared" si="2"/>
        <v>82.563237774030341</v>
      </c>
      <c r="F59" s="15">
        <f t="shared" si="0"/>
        <v>2880</v>
      </c>
      <c r="G59" s="15">
        <f t="shared" si="3"/>
        <v>34.882352941176478</v>
      </c>
      <c r="H59" s="15">
        <f t="shared" si="4"/>
        <v>82.563237774030341</v>
      </c>
    </row>
    <row r="60" spans="3:21" x14ac:dyDescent="0.2">
      <c r="C60" s="15">
        <f t="shared" si="1"/>
        <v>1</v>
      </c>
      <c r="D60" s="15">
        <v>490</v>
      </c>
      <c r="E60" s="15">
        <f t="shared" si="2"/>
        <v>82.611570247933869</v>
      </c>
      <c r="F60" s="15">
        <f t="shared" si="0"/>
        <v>2940</v>
      </c>
      <c r="G60" s="15">
        <f t="shared" si="3"/>
        <v>35.588235294117652</v>
      </c>
      <c r="H60" s="15">
        <f t="shared" si="4"/>
        <v>82.611570247933869</v>
      </c>
    </row>
    <row r="61" spans="3:21" x14ac:dyDescent="0.2">
      <c r="C61" s="15">
        <f t="shared" si="1"/>
        <v>1</v>
      </c>
      <c r="D61" s="15">
        <v>500</v>
      </c>
      <c r="E61" s="15">
        <f t="shared" si="2"/>
        <v>82.658022690437576</v>
      </c>
      <c r="F61" s="15">
        <f t="shared" si="0"/>
        <v>3000</v>
      </c>
      <c r="G61" s="15">
        <f t="shared" si="3"/>
        <v>36.294117647058833</v>
      </c>
      <c r="H61" s="15">
        <f t="shared" si="4"/>
        <v>82.658022690437576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1"/>
  <sheetViews>
    <sheetView tabSelected="1" topLeftCell="A49" workbookViewId="0">
      <selection activeCell="Y63" sqref="Y63:Y121"/>
    </sheetView>
  </sheetViews>
  <sheetFormatPr defaultRowHeight="15" x14ac:dyDescent="0.25"/>
  <sheetData>
    <row r="1" spans="1:2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400</v>
      </c>
      <c r="P1" s="1" t="s">
        <v>401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8" x14ac:dyDescent="0.25">
      <c r="A2" t="s">
        <v>21</v>
      </c>
      <c r="B2" t="s">
        <v>22</v>
      </c>
      <c r="C2">
        <v>5</v>
      </c>
      <c r="D2">
        <v>1</v>
      </c>
      <c r="E2">
        <v>5</v>
      </c>
      <c r="F2">
        <v>206.1043018</v>
      </c>
      <c r="G2">
        <v>546.17639980000001</v>
      </c>
      <c r="H2">
        <v>85.759999980000003</v>
      </c>
      <c r="I2">
        <v>8.5760000000000003E-2</v>
      </c>
      <c r="J2">
        <v>8.5799999999999998E-5</v>
      </c>
      <c r="K2">
        <v>0.18906821100000001</v>
      </c>
      <c r="L2">
        <v>1.6E-2</v>
      </c>
      <c r="M2">
        <v>3</v>
      </c>
      <c r="N2">
        <v>17.500680240000001</v>
      </c>
      <c r="O2">
        <v>4.0280475686274811E-2</v>
      </c>
      <c r="P2">
        <v>4.1150953732100373</v>
      </c>
      <c r="Q2">
        <v>10.452342247953496</v>
      </c>
      <c r="R2">
        <v>18.270938159988937</v>
      </c>
      <c r="S2">
        <v>43.909969142006574</v>
      </c>
      <c r="T2">
        <v>116.36141822631741</v>
      </c>
      <c r="U2">
        <v>11</v>
      </c>
      <c r="V2">
        <v>0.6</v>
      </c>
      <c r="W2">
        <v>0</v>
      </c>
      <c r="Y2">
        <f>0.01*SUM(S2:T2)</f>
        <v>1.6027138736832398</v>
      </c>
      <c r="Z2" s="4" t="s">
        <v>21</v>
      </c>
      <c r="AA2" t="str">
        <f>"KSPA_"&amp;Z2</f>
        <v>KSPA_ANC</v>
      </c>
      <c r="AB2">
        <v>11.636141822631743</v>
      </c>
    </row>
    <row r="3" spans="1:28" x14ac:dyDescent="0.25">
      <c r="A3" t="s">
        <v>23</v>
      </c>
      <c r="B3" t="s">
        <v>24</v>
      </c>
      <c r="C3">
        <v>5</v>
      </c>
      <c r="D3">
        <v>3</v>
      </c>
      <c r="E3">
        <v>15</v>
      </c>
      <c r="F3">
        <v>174502.53330000001</v>
      </c>
      <c r="G3">
        <v>462431.7133</v>
      </c>
      <c r="H3">
        <v>72610.504109999994</v>
      </c>
      <c r="I3">
        <v>72.610504109999994</v>
      </c>
      <c r="J3">
        <v>7.2610504000000006E-2</v>
      </c>
      <c r="K3">
        <v>160.07856960000001</v>
      </c>
      <c r="L3">
        <v>2.5999999999999999E-2</v>
      </c>
      <c r="M3">
        <v>3</v>
      </c>
      <c r="N3">
        <v>204.3636362</v>
      </c>
      <c r="O3">
        <v>965.81444043025897</v>
      </c>
      <c r="P3">
        <v>100.93190832717249</v>
      </c>
      <c r="Q3">
        <v>256.36704715101814</v>
      </c>
      <c r="R3">
        <v>438086.58200971549</v>
      </c>
      <c r="S3">
        <v>1052839.6587592296</v>
      </c>
      <c r="T3">
        <v>2790025.0957119581</v>
      </c>
      <c r="U3">
        <v>330</v>
      </c>
      <c r="V3">
        <v>0.1</v>
      </c>
      <c r="W3">
        <v>0</v>
      </c>
      <c r="Y3" s="4">
        <f t="shared" ref="Y3:Y60" si="0">0.01*SUM(S3:T3)</f>
        <v>38428.647544711879</v>
      </c>
      <c r="Z3" s="4" t="s">
        <v>23</v>
      </c>
      <c r="AA3" s="4" t="str">
        <f t="shared" ref="AA3:AA60" si="1">"KSPA_"&amp;Z3</f>
        <v>KSPA_BFT</v>
      </c>
      <c r="AB3">
        <v>279002.50957119581</v>
      </c>
    </row>
    <row r="4" spans="1:28" x14ac:dyDescent="0.25">
      <c r="A4" t="s">
        <v>25</v>
      </c>
      <c r="B4" t="s">
        <v>26</v>
      </c>
      <c r="C4">
        <v>5</v>
      </c>
      <c r="D4">
        <v>3</v>
      </c>
      <c r="E4">
        <v>15</v>
      </c>
      <c r="F4">
        <v>174502.53330000001</v>
      </c>
      <c r="G4">
        <v>462431.7133</v>
      </c>
      <c r="H4">
        <v>72610.504109999994</v>
      </c>
      <c r="I4">
        <v>72.610504109999994</v>
      </c>
      <c r="J4">
        <v>7.2610504000000006E-2</v>
      </c>
      <c r="K4">
        <v>160.07856960000001</v>
      </c>
      <c r="L4">
        <v>2.1399999999999999E-2</v>
      </c>
      <c r="M4">
        <v>2.96</v>
      </c>
      <c r="N4">
        <v>160.79737159999999</v>
      </c>
      <c r="O4">
        <v>729.83588810113429</v>
      </c>
      <c r="P4">
        <v>105.69243032183674</v>
      </c>
      <c r="Q4">
        <v>268.45877301746532</v>
      </c>
      <c r="R4">
        <v>331048.38389433746</v>
      </c>
      <c r="S4">
        <v>795598.13480975106</v>
      </c>
      <c r="T4">
        <v>2108335.0572458403</v>
      </c>
      <c r="U4">
        <v>358.7</v>
      </c>
      <c r="V4">
        <v>9.1999999999999998E-2</v>
      </c>
      <c r="W4">
        <v>0</v>
      </c>
      <c r="Y4" s="4">
        <f t="shared" si="0"/>
        <v>29039.331920555913</v>
      </c>
      <c r="Z4" s="4" t="s">
        <v>25</v>
      </c>
      <c r="AA4" s="4" t="str">
        <f t="shared" si="1"/>
        <v>KSPA_BIL</v>
      </c>
      <c r="AB4">
        <v>210833.50572458404</v>
      </c>
    </row>
    <row r="5" spans="1:28" x14ac:dyDescent="0.25">
      <c r="A5" t="s">
        <v>27</v>
      </c>
      <c r="B5" t="s">
        <v>28</v>
      </c>
      <c r="C5">
        <v>5</v>
      </c>
      <c r="D5">
        <v>1</v>
      </c>
      <c r="E5">
        <v>5</v>
      </c>
      <c r="F5">
        <v>7692.14131</v>
      </c>
      <c r="G5">
        <v>20384.174470000002</v>
      </c>
      <c r="H5">
        <v>3200.6999989999999</v>
      </c>
      <c r="I5">
        <v>3.2006999989999998</v>
      </c>
      <c r="J5">
        <v>3.2006999999999999E-3</v>
      </c>
      <c r="K5">
        <v>7.0563272320000001</v>
      </c>
      <c r="L5">
        <v>1.0999999999999999E-2</v>
      </c>
      <c r="M5">
        <v>2.9</v>
      </c>
      <c r="N5">
        <v>76.574998100000002</v>
      </c>
      <c r="O5">
        <v>3.4445340186513107</v>
      </c>
      <c r="P5">
        <v>23.54275782093762</v>
      </c>
      <c r="Q5">
        <v>59.798604865181552</v>
      </c>
      <c r="R5">
        <v>1562.4162071700841</v>
      </c>
      <c r="S5">
        <v>3754.9055687817449</v>
      </c>
      <c r="T5">
        <v>9950.4997572716238</v>
      </c>
      <c r="U5">
        <v>94.6</v>
      </c>
      <c r="V5">
        <v>0.2</v>
      </c>
      <c r="W5">
        <v>0</v>
      </c>
      <c r="Y5" s="4">
        <f t="shared" si="0"/>
        <v>137.05405326053369</v>
      </c>
      <c r="Z5" s="4" t="s">
        <v>27</v>
      </c>
      <c r="AA5" s="4" t="str">
        <f t="shared" si="1"/>
        <v>KSPA_BLF</v>
      </c>
      <c r="AB5">
        <v>995.0499757271624</v>
      </c>
    </row>
    <row r="6" spans="1:28" x14ac:dyDescent="0.25">
      <c r="A6" t="s">
        <v>29</v>
      </c>
      <c r="B6" t="s">
        <v>30</v>
      </c>
      <c r="C6">
        <v>5</v>
      </c>
      <c r="D6">
        <v>7</v>
      </c>
      <c r="E6">
        <v>35</v>
      </c>
      <c r="F6">
        <v>43204.537799999998</v>
      </c>
      <c r="G6">
        <v>114492.325</v>
      </c>
      <c r="H6">
        <v>17977.408179999999</v>
      </c>
      <c r="I6">
        <v>17.977408180000001</v>
      </c>
      <c r="J6">
        <v>1.7977408E-2</v>
      </c>
      <c r="K6">
        <v>39.633353620000001</v>
      </c>
      <c r="L6">
        <v>3.2499999999999999E-3</v>
      </c>
      <c r="M6">
        <v>3</v>
      </c>
      <c r="N6">
        <v>176.85387209999999</v>
      </c>
      <c r="O6">
        <v>196.58407150030726</v>
      </c>
      <c r="P6">
        <v>118.74354872270037</v>
      </c>
      <c r="Q6">
        <v>301.60861375565895</v>
      </c>
      <c r="R6">
        <v>89169.140940528188</v>
      </c>
      <c r="S6">
        <v>214297.38269773658</v>
      </c>
      <c r="T6">
        <v>567888.06414900196</v>
      </c>
      <c r="U6">
        <v>311</v>
      </c>
      <c r="V6">
        <v>0.1</v>
      </c>
      <c r="W6">
        <v>0</v>
      </c>
      <c r="Y6" s="4">
        <f t="shared" si="0"/>
        <v>7821.8544684673861</v>
      </c>
      <c r="Z6" s="4" t="s">
        <v>29</v>
      </c>
      <c r="AA6" s="4" t="str">
        <f t="shared" si="1"/>
        <v>KSPA_BLS</v>
      </c>
      <c r="AB6">
        <v>56788.806414900202</v>
      </c>
    </row>
    <row r="7" spans="1:28" x14ac:dyDescent="0.25">
      <c r="A7" t="s">
        <v>31</v>
      </c>
      <c r="B7" t="s">
        <v>32</v>
      </c>
      <c r="C7">
        <v>5</v>
      </c>
      <c r="D7">
        <v>1</v>
      </c>
      <c r="E7">
        <v>5</v>
      </c>
      <c r="F7">
        <v>206.1043018</v>
      </c>
      <c r="G7">
        <v>546.17639980000001</v>
      </c>
      <c r="H7">
        <v>85.759999978980019</v>
      </c>
      <c r="I7">
        <v>8.5759999978980025E-2</v>
      </c>
      <c r="J7">
        <v>8.5759999978980022E-5</v>
      </c>
      <c r="K7">
        <v>0.18906821115365893</v>
      </c>
      <c r="L7">
        <v>1.1599999999999999E-2</v>
      </c>
      <c r="M7">
        <v>3</v>
      </c>
      <c r="N7">
        <v>19.480895992192735</v>
      </c>
      <c r="O7">
        <v>0.61656422900631602</v>
      </c>
      <c r="P7">
        <v>11.373526598035458</v>
      </c>
      <c r="Q7">
        <v>28.888757559010063</v>
      </c>
      <c r="R7">
        <v>279.66916248891692</v>
      </c>
      <c r="S7">
        <v>672.12007327305196</v>
      </c>
      <c r="T7">
        <v>1781.1181941735877</v>
      </c>
      <c r="U7">
        <v>29.172666666666665</v>
      </c>
      <c r="V7">
        <v>0.92646666666666677</v>
      </c>
      <c r="W7">
        <v>0</v>
      </c>
      <c r="Y7" s="4">
        <f t="shared" si="0"/>
        <v>24.532382674466398</v>
      </c>
      <c r="Z7" s="4" t="s">
        <v>31</v>
      </c>
      <c r="AA7" s="4" t="str">
        <f t="shared" si="1"/>
        <v>KSPA_BPF</v>
      </c>
      <c r="AB7">
        <v>178.11181941735879</v>
      </c>
    </row>
    <row r="8" spans="1:28" x14ac:dyDescent="0.25">
      <c r="A8" t="s">
        <v>33</v>
      </c>
      <c r="B8" t="s">
        <v>34</v>
      </c>
      <c r="C8">
        <v>5</v>
      </c>
      <c r="D8">
        <v>2</v>
      </c>
      <c r="E8">
        <v>10</v>
      </c>
      <c r="F8">
        <v>1550.4325879999999</v>
      </c>
      <c r="G8">
        <v>4108.6463590000003</v>
      </c>
      <c r="H8">
        <v>645.13499990000003</v>
      </c>
      <c r="I8">
        <v>0.64513500000000001</v>
      </c>
      <c r="J8">
        <v>6.4513500000000002E-4</v>
      </c>
      <c r="K8">
        <v>1.422277523</v>
      </c>
      <c r="L8">
        <v>1.4999999999999999E-2</v>
      </c>
      <c r="M8">
        <v>3</v>
      </c>
      <c r="N8">
        <v>35.036424660000002</v>
      </c>
      <c r="O8">
        <v>4.668507847038887</v>
      </c>
      <c r="P8">
        <v>20.499848291538999</v>
      </c>
      <c r="Q8">
        <v>52.06961466050906</v>
      </c>
      <c r="R8">
        <v>2117.6020570614833</v>
      </c>
      <c r="S8">
        <v>5089.166202983617</v>
      </c>
      <c r="T8">
        <v>13486.290437906584</v>
      </c>
      <c r="U8">
        <v>58.9</v>
      </c>
      <c r="V8">
        <v>0.22</v>
      </c>
      <c r="W8">
        <v>0.20699999999999999</v>
      </c>
      <c r="Y8" s="4">
        <f t="shared" si="0"/>
        <v>185.75456640890204</v>
      </c>
      <c r="Z8" s="4" t="s">
        <v>33</v>
      </c>
      <c r="AA8" s="4" t="str">
        <f t="shared" si="1"/>
        <v>KSPA_BSB</v>
      </c>
      <c r="AB8">
        <v>1348.6290437906584</v>
      </c>
    </row>
    <row r="9" spans="1:28" x14ac:dyDescent="0.25">
      <c r="A9" t="s">
        <v>35</v>
      </c>
      <c r="B9" t="s">
        <v>36</v>
      </c>
      <c r="C9">
        <v>5</v>
      </c>
      <c r="D9">
        <v>1</v>
      </c>
      <c r="E9">
        <v>5</v>
      </c>
      <c r="F9">
        <v>206.1043018</v>
      </c>
      <c r="G9">
        <v>546.17639980000001</v>
      </c>
      <c r="H9">
        <v>85.759999980000003</v>
      </c>
      <c r="I9">
        <v>8.5760000000000003E-2</v>
      </c>
      <c r="J9">
        <v>8.5799999999999998E-5</v>
      </c>
      <c r="K9">
        <v>0.18906821100000001</v>
      </c>
      <c r="L9">
        <v>2.1000000000000001E-2</v>
      </c>
      <c r="M9">
        <v>3</v>
      </c>
      <c r="N9">
        <v>15.98411121</v>
      </c>
      <c r="O9">
        <v>0.41371223377968153</v>
      </c>
      <c r="P9">
        <v>8.1698620854543638</v>
      </c>
      <c r="Q9">
        <v>20.751449697054085</v>
      </c>
      <c r="R9">
        <v>187.65693578924328</v>
      </c>
      <c r="S9">
        <v>450.98999228368967</v>
      </c>
      <c r="T9">
        <v>1195.1234795517776</v>
      </c>
      <c r="U9">
        <v>21.02</v>
      </c>
      <c r="V9">
        <v>0.86</v>
      </c>
      <c r="W9">
        <v>-6.9989999999999997E-2</v>
      </c>
      <c r="Y9" s="4">
        <f t="shared" si="0"/>
        <v>16.461134718354671</v>
      </c>
      <c r="Z9" s="4" t="s">
        <v>35</v>
      </c>
      <c r="AA9" s="4" t="str">
        <f t="shared" si="1"/>
        <v>KSPA_BUT</v>
      </c>
      <c r="AB9">
        <v>119.51234795517776</v>
      </c>
    </row>
    <row r="10" spans="1:28" x14ac:dyDescent="0.25">
      <c r="A10" t="s">
        <v>37</v>
      </c>
      <c r="B10" t="s">
        <v>38</v>
      </c>
      <c r="C10">
        <v>5</v>
      </c>
      <c r="D10">
        <v>9</v>
      </c>
      <c r="E10">
        <v>45</v>
      </c>
      <c r="F10">
        <v>1772528355</v>
      </c>
      <c r="G10">
        <v>4697200141</v>
      </c>
      <c r="H10">
        <v>737549048.5</v>
      </c>
      <c r="I10">
        <v>737549.04850000003</v>
      </c>
      <c r="J10">
        <v>737.54904850000003</v>
      </c>
      <c r="K10">
        <v>1626015.3829999999</v>
      </c>
      <c r="L10">
        <v>6.0000000000000001E-3</v>
      </c>
      <c r="M10">
        <v>3</v>
      </c>
      <c r="N10">
        <v>1544.9709</v>
      </c>
      <c r="O10">
        <v>122040.4882017644</v>
      </c>
      <c r="P10">
        <v>825.73228332486144</v>
      </c>
      <c r="Q10">
        <v>2097.359999645148</v>
      </c>
      <c r="R10">
        <v>55356700.11238417</v>
      </c>
      <c r="S10">
        <v>133037010.60414363</v>
      </c>
      <c r="T10">
        <v>352548078.10098064</v>
      </c>
      <c r="U10">
        <v>2097.3599999999997</v>
      </c>
      <c r="V10">
        <v>0.5</v>
      </c>
      <c r="W10">
        <v>0</v>
      </c>
      <c r="Y10" s="4">
        <f t="shared" si="0"/>
        <v>4855850.8870512424</v>
      </c>
      <c r="Z10" s="4" t="s">
        <v>37</v>
      </c>
      <c r="AA10" s="4" t="str">
        <f t="shared" si="1"/>
        <v>KSPA_BWH</v>
      </c>
      <c r="AB10">
        <v>35254807.810098067</v>
      </c>
    </row>
    <row r="11" spans="1:28" x14ac:dyDescent="0.25">
      <c r="A11" t="s">
        <v>39</v>
      </c>
      <c r="B11" t="s">
        <v>40</v>
      </c>
      <c r="C11">
        <v>5</v>
      </c>
      <c r="D11">
        <v>2</v>
      </c>
      <c r="E11">
        <v>10</v>
      </c>
      <c r="F11">
        <v>23666.30617</v>
      </c>
      <c r="G11">
        <v>62715.711360000001</v>
      </c>
      <c r="H11">
        <v>9847.5499970000001</v>
      </c>
      <c r="I11">
        <v>9.8475499969999998</v>
      </c>
      <c r="J11">
        <v>9.8475500000000001E-3</v>
      </c>
      <c r="K11">
        <v>21.710105680000002</v>
      </c>
      <c r="L11">
        <v>1.2E-2</v>
      </c>
      <c r="M11">
        <v>3</v>
      </c>
      <c r="N11">
        <v>93.622948879999996</v>
      </c>
      <c r="O11">
        <v>26.428599951476155</v>
      </c>
      <c r="P11">
        <v>39.356760088396037</v>
      </c>
      <c r="Q11">
        <v>99.96617062452593</v>
      </c>
      <c r="R11">
        <v>11987.825544300675</v>
      </c>
      <c r="S11">
        <v>28809.962855805512</v>
      </c>
      <c r="T11">
        <v>76346.401567884604</v>
      </c>
      <c r="U11">
        <v>150.93</v>
      </c>
      <c r="V11">
        <v>0.11</v>
      </c>
      <c r="W11">
        <v>0.13</v>
      </c>
      <c r="Y11" s="4">
        <f t="shared" si="0"/>
        <v>1051.5636442369012</v>
      </c>
      <c r="Z11" s="4" t="s">
        <v>39</v>
      </c>
      <c r="AA11" s="4" t="str">
        <f t="shared" si="1"/>
        <v>KSPA_COD</v>
      </c>
      <c r="AB11">
        <v>7634.6401567884604</v>
      </c>
    </row>
    <row r="12" spans="1:28" x14ac:dyDescent="0.25">
      <c r="A12" t="s">
        <v>41</v>
      </c>
      <c r="B12" t="s">
        <v>42</v>
      </c>
      <c r="C12">
        <v>5</v>
      </c>
      <c r="D12">
        <v>4</v>
      </c>
      <c r="E12">
        <v>20</v>
      </c>
      <c r="F12">
        <v>12752.861699999999</v>
      </c>
      <c r="G12">
        <v>33795.083509999997</v>
      </c>
      <c r="H12">
        <v>5306.4657530000004</v>
      </c>
      <c r="I12">
        <v>5.3064657530000003</v>
      </c>
      <c r="J12">
        <v>5.3064660000000001E-3</v>
      </c>
      <c r="K12">
        <v>11.69874053</v>
      </c>
      <c r="L12">
        <v>1.34E-2</v>
      </c>
      <c r="M12">
        <v>3.1</v>
      </c>
      <c r="N12">
        <v>63.930758990000001</v>
      </c>
      <c r="O12">
        <v>27.543129144945357</v>
      </c>
      <c r="P12">
        <v>33.176880876304679</v>
      </c>
      <c r="Q12">
        <v>84.269277425813883</v>
      </c>
      <c r="R12">
        <v>12493.368083817328</v>
      </c>
      <c r="S12">
        <v>30024.917288674184</v>
      </c>
      <c r="T12">
        <v>79566.030814986589</v>
      </c>
      <c r="U12">
        <v>91.5</v>
      </c>
      <c r="V12">
        <v>0.12690000000000001</v>
      </c>
      <c r="W12">
        <v>0</v>
      </c>
      <c r="Y12" s="4">
        <f t="shared" si="0"/>
        <v>1095.9094810366078</v>
      </c>
      <c r="Z12" s="4" t="s">
        <v>41</v>
      </c>
      <c r="AA12" s="4" t="str">
        <f t="shared" si="1"/>
        <v>KSPA_DOG</v>
      </c>
      <c r="AB12">
        <v>7956.6030814986589</v>
      </c>
    </row>
    <row r="13" spans="1:28" x14ac:dyDescent="0.25">
      <c r="A13" t="s">
        <v>43</v>
      </c>
      <c r="B13" t="s">
        <v>44</v>
      </c>
      <c r="C13">
        <v>5</v>
      </c>
      <c r="D13">
        <v>2</v>
      </c>
      <c r="E13">
        <v>10</v>
      </c>
      <c r="F13">
        <v>1550.4325879999999</v>
      </c>
      <c r="G13">
        <v>4108.6463590000003</v>
      </c>
      <c r="H13">
        <v>645.13499990000003</v>
      </c>
      <c r="I13">
        <v>0.64513500000000001</v>
      </c>
      <c r="J13">
        <v>6.4513500000000002E-4</v>
      </c>
      <c r="K13">
        <v>1.422277523</v>
      </c>
      <c r="L13">
        <v>1.44E-2</v>
      </c>
      <c r="M13">
        <v>3</v>
      </c>
      <c r="N13">
        <v>35.51643533</v>
      </c>
      <c r="O13">
        <v>3.3157267116091043</v>
      </c>
      <c r="P13">
        <v>18.540742160130975</v>
      </c>
      <c r="Q13">
        <v>47.093485086732677</v>
      </c>
      <c r="R13">
        <v>1503.9901260122399</v>
      </c>
      <c r="S13">
        <v>3614.4920115651048</v>
      </c>
      <c r="T13">
        <v>9578.4038306475268</v>
      </c>
      <c r="U13">
        <v>47.633333333333333</v>
      </c>
      <c r="V13">
        <v>0.44799999999999995</v>
      </c>
      <c r="W13">
        <v>0</v>
      </c>
      <c r="Y13" s="4">
        <f t="shared" si="0"/>
        <v>131.9289584221263</v>
      </c>
      <c r="Z13" s="4" t="s">
        <v>43</v>
      </c>
      <c r="AA13" s="4" t="str">
        <f t="shared" si="1"/>
        <v>KSPA_DRM</v>
      </c>
      <c r="AB13">
        <v>957.8403830647527</v>
      </c>
    </row>
    <row r="14" spans="1:28" x14ac:dyDescent="0.25">
      <c r="A14" t="s">
        <v>45</v>
      </c>
      <c r="B14" t="s">
        <v>46</v>
      </c>
      <c r="C14">
        <v>5</v>
      </c>
      <c r="D14">
        <v>5</v>
      </c>
      <c r="E14">
        <v>25</v>
      </c>
      <c r="F14">
        <v>7003.1900919999998</v>
      </c>
      <c r="G14">
        <v>18558.453740000001</v>
      </c>
      <c r="H14">
        <v>2914.0273969999998</v>
      </c>
      <c r="I14">
        <v>2.9140273969999999</v>
      </c>
      <c r="J14">
        <v>2.914027E-3</v>
      </c>
      <c r="K14">
        <v>6.4243230809999998</v>
      </c>
      <c r="L14">
        <v>3.96E-3</v>
      </c>
      <c r="M14">
        <v>3.2</v>
      </c>
      <c r="N14">
        <v>68.135667350000006</v>
      </c>
      <c r="O14">
        <v>737.93004883363142</v>
      </c>
      <c r="P14">
        <v>118.12708624174343</v>
      </c>
      <c r="Q14">
        <v>300.04279905402831</v>
      </c>
      <c r="R14">
        <v>334719.83781043056</v>
      </c>
      <c r="S14">
        <v>804421.62415388261</v>
      </c>
      <c r="T14">
        <v>2131717.3040077887</v>
      </c>
      <c r="U14">
        <v>300.78571428571428</v>
      </c>
      <c r="V14">
        <v>0.24014285714285719</v>
      </c>
      <c r="W14">
        <v>0</v>
      </c>
      <c r="Y14" s="4">
        <f t="shared" si="0"/>
        <v>29361.389281616714</v>
      </c>
      <c r="Z14" s="4" t="s">
        <v>45</v>
      </c>
      <c r="AA14" s="4" t="str">
        <f t="shared" si="1"/>
        <v>KSPA_DSH</v>
      </c>
      <c r="AB14">
        <v>213171.73040077888</v>
      </c>
    </row>
    <row r="15" spans="1:28" x14ac:dyDescent="0.25">
      <c r="A15" t="s">
        <v>47</v>
      </c>
      <c r="B15" t="s">
        <v>48</v>
      </c>
      <c r="C15">
        <v>5</v>
      </c>
      <c r="D15">
        <v>1</v>
      </c>
      <c r="E15">
        <v>5</v>
      </c>
      <c r="F15">
        <v>254.74645520000001</v>
      </c>
      <c r="G15">
        <v>675.07810619999998</v>
      </c>
      <c r="H15">
        <v>106.00000000872002</v>
      </c>
      <c r="I15">
        <v>0.10600000000872002</v>
      </c>
      <c r="J15">
        <v>1.0600000000872002E-4</v>
      </c>
      <c r="K15">
        <v>0.23368972001922431</v>
      </c>
      <c r="L15">
        <v>1.23E-2</v>
      </c>
      <c r="M15">
        <v>3.2</v>
      </c>
      <c r="N15">
        <v>16.975115407979288</v>
      </c>
      <c r="O15">
        <v>2.8535096232610093</v>
      </c>
      <c r="P15">
        <v>14.607812493572116</v>
      </c>
      <c r="Q15">
        <v>37.103843733673173</v>
      </c>
      <c r="R15">
        <v>1294.3317321175573</v>
      </c>
      <c r="S15">
        <v>3110.6266092707456</v>
      </c>
      <c r="T15">
        <v>8243.1605145674748</v>
      </c>
      <c r="U15">
        <v>39.200000000000003</v>
      </c>
      <c r="V15">
        <v>0.58571428571428563</v>
      </c>
      <c r="W15">
        <v>0</v>
      </c>
      <c r="Y15" s="4">
        <f t="shared" si="0"/>
        <v>113.53787123838221</v>
      </c>
      <c r="Z15" s="4" t="s">
        <v>47</v>
      </c>
      <c r="AA15" s="4" t="str">
        <f t="shared" si="1"/>
        <v>KSPA_FDE</v>
      </c>
      <c r="AB15">
        <v>824.31605145674757</v>
      </c>
    </row>
    <row r="16" spans="1:28" x14ac:dyDescent="0.25">
      <c r="A16" t="s">
        <v>49</v>
      </c>
      <c r="B16" t="s">
        <v>50</v>
      </c>
      <c r="C16">
        <v>5</v>
      </c>
      <c r="D16">
        <v>1</v>
      </c>
      <c r="E16">
        <v>5</v>
      </c>
      <c r="F16">
        <v>1550.4325879999999</v>
      </c>
      <c r="G16">
        <v>4108.6463590000003</v>
      </c>
      <c r="H16">
        <v>645.13499986679994</v>
      </c>
      <c r="I16">
        <v>0.6451349998667999</v>
      </c>
      <c r="J16">
        <v>6.4513499986679993E-4</v>
      </c>
      <c r="K16">
        <v>1.4222775234063443</v>
      </c>
      <c r="L16">
        <v>1.2E-2</v>
      </c>
      <c r="M16">
        <v>3.1</v>
      </c>
      <c r="N16">
        <v>33.570503685170742</v>
      </c>
      <c r="O16">
        <v>1.8703769643042842</v>
      </c>
      <c r="P16">
        <v>14.437547646630552</v>
      </c>
      <c r="Q16">
        <v>36.671371022441605</v>
      </c>
      <c r="R16">
        <v>848.38972898017994</v>
      </c>
      <c r="S16">
        <v>2038.9082647925497</v>
      </c>
      <c r="T16">
        <v>5403.1069017002565</v>
      </c>
      <c r="U16">
        <v>54.3</v>
      </c>
      <c r="V16">
        <v>0.22500000000000001</v>
      </c>
      <c r="W16">
        <v>0</v>
      </c>
      <c r="Y16" s="4">
        <f t="shared" si="0"/>
        <v>74.420151664928071</v>
      </c>
      <c r="Z16" s="4" t="s">
        <v>49</v>
      </c>
      <c r="AA16" s="4" t="str">
        <f t="shared" si="1"/>
        <v>KSPA_FDF</v>
      </c>
      <c r="AB16">
        <v>540.31069017002562</v>
      </c>
    </row>
    <row r="17" spans="1:28" x14ac:dyDescent="0.25">
      <c r="A17" t="s">
        <v>51</v>
      </c>
      <c r="B17" t="s">
        <v>52</v>
      </c>
      <c r="C17">
        <v>5</v>
      </c>
      <c r="D17">
        <v>1</v>
      </c>
      <c r="E17">
        <v>5</v>
      </c>
      <c r="F17">
        <v>2636.890171</v>
      </c>
      <c r="G17">
        <v>6987.7589529999996</v>
      </c>
      <c r="H17">
        <v>1097.2100001530998</v>
      </c>
      <c r="I17">
        <v>1.0972100001530998</v>
      </c>
      <c r="J17">
        <v>1.0972100001530997E-3</v>
      </c>
      <c r="K17">
        <v>2.4189311105375264</v>
      </c>
      <c r="L17">
        <v>1.24E-2</v>
      </c>
      <c r="M17">
        <v>3.2</v>
      </c>
      <c r="N17">
        <v>35.147648337383011</v>
      </c>
      <c r="O17">
        <v>0.11418347013324644</v>
      </c>
      <c r="P17">
        <v>5.3294356633460485</v>
      </c>
      <c r="Q17">
        <v>13.536766584898963</v>
      </c>
      <c r="R17">
        <v>51.792812427196722</v>
      </c>
      <c r="S17">
        <v>124.47203178850451</v>
      </c>
      <c r="T17">
        <v>329.85088423953692</v>
      </c>
      <c r="U17">
        <v>20.9</v>
      </c>
      <c r="V17">
        <v>0.19500000000000001</v>
      </c>
      <c r="W17">
        <v>-0.35</v>
      </c>
      <c r="Y17" s="4">
        <f t="shared" si="0"/>
        <v>4.5432291602804149</v>
      </c>
      <c r="Z17" s="4" t="s">
        <v>51</v>
      </c>
      <c r="AA17" s="4" t="str">
        <f t="shared" si="1"/>
        <v>KSPA_FLA</v>
      </c>
      <c r="AB17">
        <v>32.985088423953691</v>
      </c>
    </row>
    <row r="18" spans="1:28" x14ac:dyDescent="0.25">
      <c r="A18" t="s">
        <v>53</v>
      </c>
      <c r="B18" t="s">
        <v>54</v>
      </c>
      <c r="C18">
        <v>5</v>
      </c>
      <c r="D18">
        <v>2</v>
      </c>
      <c r="E18">
        <v>10</v>
      </c>
      <c r="F18">
        <v>2636.890171</v>
      </c>
      <c r="G18">
        <v>6987.7589529999996</v>
      </c>
      <c r="H18">
        <v>1097.21</v>
      </c>
      <c r="I18">
        <v>1.09721</v>
      </c>
      <c r="J18">
        <v>1.0972099999999999E-3</v>
      </c>
      <c r="K18">
        <v>2.418931111</v>
      </c>
      <c r="L18">
        <v>1.2E-2</v>
      </c>
      <c r="M18">
        <v>2.95</v>
      </c>
      <c r="N18">
        <v>48.054238410000004</v>
      </c>
      <c r="O18">
        <v>0.83517717152534021</v>
      </c>
      <c r="P18">
        <v>13.192903745605465</v>
      </c>
      <c r="Q18">
        <v>33.50997551383788</v>
      </c>
      <c r="R18">
        <v>378.83044312640737</v>
      </c>
      <c r="S18">
        <v>910.43125000338216</v>
      </c>
      <c r="T18">
        <v>2412.6428125089628</v>
      </c>
      <c r="U18">
        <v>41</v>
      </c>
      <c r="V18">
        <v>0.17</v>
      </c>
      <c r="W18">
        <v>0</v>
      </c>
      <c r="Y18" s="4">
        <f t="shared" si="0"/>
        <v>33.230740625123453</v>
      </c>
      <c r="Z18" s="4" t="s">
        <v>53</v>
      </c>
      <c r="AA18" s="4" t="str">
        <f t="shared" si="1"/>
        <v>KSPA_FOU</v>
      </c>
      <c r="AB18">
        <v>241.26428125089629</v>
      </c>
    </row>
    <row r="19" spans="1:28" x14ac:dyDescent="0.25">
      <c r="A19" t="s">
        <v>55</v>
      </c>
      <c r="B19" t="s">
        <v>56</v>
      </c>
      <c r="C19">
        <v>5</v>
      </c>
      <c r="D19">
        <v>1</v>
      </c>
      <c r="E19">
        <v>5</v>
      </c>
      <c r="F19">
        <v>2142.0331649999998</v>
      </c>
      <c r="G19">
        <v>5676.3878869999999</v>
      </c>
      <c r="H19">
        <v>891.3</v>
      </c>
      <c r="I19">
        <v>0.89129999999999998</v>
      </c>
      <c r="J19">
        <v>8.9130000000000003E-4</v>
      </c>
      <c r="K19">
        <v>1.964977806</v>
      </c>
      <c r="L19">
        <v>1.2999999999999999E-2</v>
      </c>
      <c r="M19">
        <v>3</v>
      </c>
      <c r="N19">
        <v>40.928596409999997</v>
      </c>
      <c r="O19">
        <v>5.3436950694669401</v>
      </c>
      <c r="P19">
        <v>22.491640895049091</v>
      </c>
      <c r="Q19">
        <v>57.128767873424692</v>
      </c>
      <c r="R19">
        <v>2423.8621936963923</v>
      </c>
      <c r="S19">
        <v>5825.1915253458119</v>
      </c>
      <c r="T19">
        <v>15436.757542166401</v>
      </c>
      <c r="U19">
        <v>152</v>
      </c>
      <c r="V19">
        <v>9.6000000000000002E-2</v>
      </c>
      <c r="W19">
        <v>0.09</v>
      </c>
      <c r="Y19" s="4">
        <f t="shared" si="0"/>
        <v>212.61949067512214</v>
      </c>
      <c r="Z19" s="4" t="s">
        <v>55</v>
      </c>
      <c r="AA19" s="4" t="str">
        <f t="shared" si="1"/>
        <v>KSPA_GOO</v>
      </c>
      <c r="AB19">
        <v>1543.6757542166401</v>
      </c>
    </row>
    <row r="20" spans="1:28" x14ac:dyDescent="0.25">
      <c r="A20" t="s">
        <v>57</v>
      </c>
      <c r="B20" t="s">
        <v>58</v>
      </c>
      <c r="C20">
        <v>5</v>
      </c>
      <c r="D20">
        <v>2</v>
      </c>
      <c r="E20">
        <v>10</v>
      </c>
      <c r="F20">
        <v>6717.4957940000004</v>
      </c>
      <c r="G20">
        <v>17801.363850000002</v>
      </c>
      <c r="H20">
        <v>2795.15</v>
      </c>
      <c r="I20">
        <v>2.79515</v>
      </c>
      <c r="J20">
        <v>2.7951500000000002E-3</v>
      </c>
      <c r="K20">
        <v>6.1622435930000004</v>
      </c>
      <c r="L20">
        <v>4.0000000000000001E-3</v>
      </c>
      <c r="M20">
        <v>3.1</v>
      </c>
      <c r="N20">
        <v>61.873930319999999</v>
      </c>
      <c r="O20">
        <v>4.9540670098420607</v>
      </c>
      <c r="P20">
        <v>28.17511414370523</v>
      </c>
      <c r="Q20">
        <v>71.564789925011283</v>
      </c>
      <c r="R20">
        <v>2247.12966853338</v>
      </c>
      <c r="S20">
        <v>5400.4558244012987</v>
      </c>
      <c r="T20">
        <v>14311.207934663442</v>
      </c>
      <c r="U20">
        <v>72.900000000000006</v>
      </c>
      <c r="V20">
        <v>0.4</v>
      </c>
      <c r="W20">
        <v>0</v>
      </c>
      <c r="Y20" s="4">
        <f t="shared" si="0"/>
        <v>197.1166375906474</v>
      </c>
      <c r="Z20" s="4" t="s">
        <v>57</v>
      </c>
      <c r="AA20" s="4" t="str">
        <f t="shared" si="1"/>
        <v>KSPA_HAD</v>
      </c>
      <c r="AB20">
        <v>1431.1207934663444</v>
      </c>
    </row>
    <row r="21" spans="1:28" x14ac:dyDescent="0.25">
      <c r="A21" t="s">
        <v>59</v>
      </c>
      <c r="B21" t="s">
        <v>60</v>
      </c>
      <c r="C21">
        <v>5</v>
      </c>
      <c r="D21">
        <v>2</v>
      </c>
      <c r="E21">
        <v>10</v>
      </c>
      <c r="F21">
        <v>2636.890171</v>
      </c>
      <c r="G21">
        <v>6987.7589529999996</v>
      </c>
      <c r="H21">
        <v>1097.21</v>
      </c>
      <c r="I21">
        <v>1.09721</v>
      </c>
      <c r="J21">
        <v>1.0972099999999999E-3</v>
      </c>
      <c r="K21">
        <v>2.418931111</v>
      </c>
      <c r="L21">
        <v>1.6799999999999999E-2</v>
      </c>
      <c r="M21">
        <v>3.1</v>
      </c>
      <c r="N21">
        <v>35.745346249999997</v>
      </c>
      <c r="O21">
        <v>132.40952428635586</v>
      </c>
      <c r="P21">
        <v>51.183071936580546</v>
      </c>
      <c r="Q21">
        <v>130.0050027189146</v>
      </c>
      <c r="R21">
        <v>60060.021358037149</v>
      </c>
      <c r="S21">
        <v>144340.3541409208</v>
      </c>
      <c r="T21">
        <v>382501.93847344012</v>
      </c>
      <c r="U21">
        <v>263.2</v>
      </c>
      <c r="V21">
        <v>7.0000000000000007E-2</v>
      </c>
      <c r="W21">
        <v>0.27</v>
      </c>
      <c r="Y21" s="4">
        <f t="shared" si="0"/>
        <v>5268.4229261436094</v>
      </c>
      <c r="Z21" s="4" t="s">
        <v>59</v>
      </c>
      <c r="AA21" s="4" t="str">
        <f t="shared" si="1"/>
        <v>KSPA_HAL</v>
      </c>
      <c r="AB21">
        <v>38250.193847344017</v>
      </c>
    </row>
    <row r="22" spans="1:28" x14ac:dyDescent="0.25">
      <c r="A22" t="s">
        <v>61</v>
      </c>
      <c r="B22" t="s">
        <v>62</v>
      </c>
      <c r="C22">
        <v>5</v>
      </c>
      <c r="D22">
        <v>1</v>
      </c>
      <c r="E22">
        <v>5</v>
      </c>
      <c r="F22">
        <v>286.37346789999998</v>
      </c>
      <c r="G22">
        <v>758.88968990000001</v>
      </c>
      <c r="H22">
        <v>119.16</v>
      </c>
      <c r="I22">
        <v>0.11916</v>
      </c>
      <c r="J22">
        <v>1.1916E-4</v>
      </c>
      <c r="K22">
        <v>0.26270251900000002</v>
      </c>
      <c r="L22">
        <v>1.2500000000000001E-2</v>
      </c>
      <c r="M22">
        <v>3</v>
      </c>
      <c r="N22">
        <v>21.203464490000002</v>
      </c>
      <c r="O22">
        <v>0.46162510404551982</v>
      </c>
      <c r="P22">
        <v>10.073525827066911</v>
      </c>
      <c r="Q22">
        <v>25.586755600749953</v>
      </c>
      <c r="R22">
        <v>209.38987401253723</v>
      </c>
      <c r="S22">
        <v>503.22007693472062</v>
      </c>
      <c r="T22">
        <v>1333.5332038770096</v>
      </c>
      <c r="U22">
        <v>33.700000000000003</v>
      </c>
      <c r="V22">
        <v>0.32</v>
      </c>
      <c r="W22">
        <v>0.55000000000000004</v>
      </c>
      <c r="Y22" s="4">
        <f t="shared" si="0"/>
        <v>18.367532808117303</v>
      </c>
      <c r="Z22" s="4" t="s">
        <v>61</v>
      </c>
      <c r="AA22" s="4" t="str">
        <f t="shared" si="1"/>
        <v>KSPA_HER</v>
      </c>
      <c r="AB22">
        <v>133.35332038770096</v>
      </c>
    </row>
    <row r="23" spans="1:28" x14ac:dyDescent="0.25">
      <c r="A23" t="s">
        <v>63</v>
      </c>
      <c r="B23" t="s">
        <v>64</v>
      </c>
      <c r="C23">
        <v>5</v>
      </c>
      <c r="D23">
        <v>2</v>
      </c>
      <c r="E23">
        <v>10</v>
      </c>
      <c r="F23">
        <v>1550.4325879999999</v>
      </c>
      <c r="G23">
        <v>4108.6463590000003</v>
      </c>
      <c r="H23">
        <v>645.13499990000003</v>
      </c>
      <c r="I23">
        <v>0.64513500000000001</v>
      </c>
      <c r="J23">
        <v>6.4513500000000002E-4</v>
      </c>
      <c r="K23">
        <v>1.422277523</v>
      </c>
      <c r="L23">
        <v>1.2E-2</v>
      </c>
      <c r="M23">
        <v>3.1</v>
      </c>
      <c r="N23">
        <v>33.570503690000002</v>
      </c>
      <c r="O23">
        <v>2.870289386316494</v>
      </c>
      <c r="P23">
        <v>16.576480015047345</v>
      </c>
      <c r="Q23">
        <v>42.104259238220259</v>
      </c>
      <c r="R23">
        <v>1301.9429136615354</v>
      </c>
      <c r="S23">
        <v>3128.9183217052046</v>
      </c>
      <c r="T23">
        <v>8291.6335525187915</v>
      </c>
      <c r="U23">
        <v>42.5</v>
      </c>
      <c r="V23">
        <v>0.47</v>
      </c>
      <c r="W23">
        <v>0.05</v>
      </c>
      <c r="Y23" s="4">
        <f t="shared" si="0"/>
        <v>114.20551874223997</v>
      </c>
      <c r="Z23" s="4" t="s">
        <v>63</v>
      </c>
      <c r="AA23" s="4" t="str">
        <f t="shared" si="1"/>
        <v>KSPA_INV</v>
      </c>
      <c r="AB23">
        <v>829.16335525187924</v>
      </c>
    </row>
    <row r="24" spans="1:28" x14ac:dyDescent="0.25">
      <c r="A24" t="s">
        <v>65</v>
      </c>
      <c r="B24" t="s">
        <v>66</v>
      </c>
      <c r="C24">
        <v>5</v>
      </c>
      <c r="D24">
        <v>3</v>
      </c>
      <c r="E24">
        <v>15</v>
      </c>
      <c r="F24">
        <v>7000</v>
      </c>
      <c r="G24">
        <v>18550</v>
      </c>
      <c r="H24">
        <v>2912.7</v>
      </c>
      <c r="I24">
        <v>2.9127000000000001</v>
      </c>
      <c r="J24">
        <v>2.9126999999999998E-3</v>
      </c>
      <c r="K24">
        <v>6.4213966740000004</v>
      </c>
      <c r="L24">
        <v>1.2699999999999999E-2</v>
      </c>
      <c r="M24">
        <v>3.1</v>
      </c>
      <c r="N24">
        <v>53.603232339999998</v>
      </c>
      <c r="O24">
        <v>7.187296345346331</v>
      </c>
      <c r="P24">
        <v>21.884825393889749</v>
      </c>
      <c r="Q24">
        <v>55.587456500479959</v>
      </c>
      <c r="R24">
        <v>3260.1066602617825</v>
      </c>
      <c r="S24">
        <v>7834.9114642196164</v>
      </c>
      <c r="T24">
        <v>20762.515380181983</v>
      </c>
      <c r="U24">
        <v>58.5</v>
      </c>
      <c r="V24">
        <v>0.2</v>
      </c>
      <c r="W24">
        <v>0</v>
      </c>
      <c r="Y24" s="4">
        <f t="shared" si="0"/>
        <v>285.97426844401599</v>
      </c>
      <c r="Z24" s="4" t="s">
        <v>65</v>
      </c>
      <c r="AA24" s="4" t="str">
        <f t="shared" si="1"/>
        <v>KSPA_LSK</v>
      </c>
      <c r="AB24">
        <v>2076.2515380181985</v>
      </c>
    </row>
    <row r="25" spans="1:28" x14ac:dyDescent="0.25">
      <c r="A25" t="s">
        <v>67</v>
      </c>
      <c r="B25" t="s">
        <v>68</v>
      </c>
      <c r="C25">
        <v>5</v>
      </c>
      <c r="D25">
        <v>1</v>
      </c>
      <c r="E25">
        <v>5</v>
      </c>
      <c r="F25">
        <v>437.81</v>
      </c>
      <c r="G25">
        <v>1160.21</v>
      </c>
      <c r="H25">
        <v>182.172741</v>
      </c>
      <c r="I25">
        <v>0.182172741</v>
      </c>
      <c r="J25">
        <v>1.8217299999999999E-4</v>
      </c>
      <c r="K25">
        <v>0.40162166799999999</v>
      </c>
      <c r="L25">
        <v>1.29E-2</v>
      </c>
      <c r="M25">
        <v>3.05</v>
      </c>
      <c r="N25">
        <v>22.941450830000001</v>
      </c>
      <c r="O25">
        <v>0.62700864797761546</v>
      </c>
      <c r="P25">
        <v>10.452387193228118</v>
      </c>
      <c r="Q25">
        <v>26.549063470799421</v>
      </c>
      <c r="R25">
        <v>284.40667687747344</v>
      </c>
      <c r="S25">
        <v>683.50559211120753</v>
      </c>
      <c r="T25">
        <v>1811.2898190946999</v>
      </c>
      <c r="U25">
        <v>42</v>
      </c>
      <c r="V25">
        <v>0.2</v>
      </c>
      <c r="W25">
        <v>0</v>
      </c>
      <c r="Y25" s="4">
        <f t="shared" si="0"/>
        <v>24.947954112059076</v>
      </c>
      <c r="Z25" s="4" t="s">
        <v>67</v>
      </c>
      <c r="AA25" s="4" t="str">
        <f t="shared" si="1"/>
        <v>KSPA_MAK</v>
      </c>
      <c r="AB25">
        <v>181.12898190946999</v>
      </c>
    </row>
    <row r="26" spans="1:28" x14ac:dyDescent="0.25">
      <c r="A26" t="s">
        <v>69</v>
      </c>
      <c r="B26" t="s">
        <v>70</v>
      </c>
      <c r="C26">
        <v>5</v>
      </c>
      <c r="D26">
        <v>1</v>
      </c>
      <c r="E26">
        <v>5</v>
      </c>
      <c r="F26">
        <v>254.74645520000001</v>
      </c>
      <c r="G26">
        <v>675.07810619999998</v>
      </c>
      <c r="H26">
        <v>106</v>
      </c>
      <c r="I26">
        <v>0.106</v>
      </c>
      <c r="J26">
        <v>1.06E-4</v>
      </c>
      <c r="K26">
        <v>0.23368971999999999</v>
      </c>
      <c r="L26">
        <v>0.01</v>
      </c>
      <c r="M26">
        <v>2.9</v>
      </c>
      <c r="N26">
        <v>24.43635948</v>
      </c>
      <c r="O26">
        <v>0.29427088552397013</v>
      </c>
      <c r="P26">
        <v>10.416520695076082</v>
      </c>
      <c r="Q26">
        <v>26.457962565493247</v>
      </c>
      <c r="R26">
        <v>133.47918712701969</v>
      </c>
      <c r="S26">
        <v>320.7863184980045</v>
      </c>
      <c r="T26">
        <v>850.08374401971196</v>
      </c>
      <c r="U26">
        <v>37.700000000000003</v>
      </c>
      <c r="V26">
        <v>0.24199999999999999</v>
      </c>
      <c r="W26">
        <v>0</v>
      </c>
      <c r="Y26" s="4">
        <f t="shared" si="0"/>
        <v>11.708700625177164</v>
      </c>
      <c r="Z26" s="4" t="s">
        <v>69</v>
      </c>
      <c r="AA26" s="4" t="str">
        <f t="shared" si="1"/>
        <v>KSPA_MEN</v>
      </c>
      <c r="AB26">
        <v>85.008374401971196</v>
      </c>
    </row>
    <row r="27" spans="1:28" x14ac:dyDescent="0.25">
      <c r="A27" t="s">
        <v>71</v>
      </c>
      <c r="B27" t="s">
        <v>72</v>
      </c>
      <c r="C27">
        <v>5</v>
      </c>
      <c r="D27">
        <v>1</v>
      </c>
      <c r="E27">
        <v>5</v>
      </c>
      <c r="F27">
        <v>5.0949291030000001</v>
      </c>
      <c r="G27">
        <v>13.501562119999999</v>
      </c>
      <c r="H27">
        <v>2.1199999997583001</v>
      </c>
      <c r="I27">
        <v>2.1199999997583E-3</v>
      </c>
      <c r="J27">
        <v>2.1199999997583E-6</v>
      </c>
      <c r="K27">
        <v>4.6737943994671427E-3</v>
      </c>
      <c r="L27">
        <v>1.0999999999999999E-2</v>
      </c>
      <c r="M27">
        <v>3.01</v>
      </c>
      <c r="N27">
        <v>5.7427159324658712</v>
      </c>
      <c r="O27">
        <v>9.1663110452539654E-3</v>
      </c>
      <c r="P27">
        <v>2.8279257236409849</v>
      </c>
      <c r="Q27">
        <v>7.1829313380481015</v>
      </c>
      <c r="R27">
        <v>4.1577736958087854</v>
      </c>
      <c r="S27">
        <v>9.9922463249430074</v>
      </c>
      <c r="T27">
        <v>26.479452761098969</v>
      </c>
      <c r="U27">
        <v>9</v>
      </c>
      <c r="V27">
        <v>0.32</v>
      </c>
      <c r="W27">
        <v>0</v>
      </c>
      <c r="Y27" s="4">
        <f t="shared" si="0"/>
        <v>0.36471699086041981</v>
      </c>
      <c r="Z27" s="4" t="s">
        <v>71</v>
      </c>
      <c r="AA27" s="4" t="str">
        <f t="shared" si="1"/>
        <v>KSPA_MPF</v>
      </c>
      <c r="AB27">
        <v>2.6479452761098972</v>
      </c>
    </row>
    <row r="28" spans="1:28" x14ac:dyDescent="0.25">
      <c r="A28" t="s">
        <v>73</v>
      </c>
      <c r="B28" t="s">
        <v>74</v>
      </c>
      <c r="C28">
        <v>5</v>
      </c>
      <c r="D28">
        <v>2</v>
      </c>
      <c r="E28">
        <v>10</v>
      </c>
      <c r="F28">
        <v>1550.4325879999999</v>
      </c>
      <c r="G28">
        <v>4108.6463590000003</v>
      </c>
      <c r="H28">
        <v>645.13499990000003</v>
      </c>
      <c r="I28">
        <v>0.64513500000000001</v>
      </c>
      <c r="J28">
        <v>6.4513500000000002E-4</v>
      </c>
      <c r="K28">
        <v>1.422277523</v>
      </c>
      <c r="L28">
        <v>1.4E-2</v>
      </c>
      <c r="M28">
        <v>2.8</v>
      </c>
      <c r="N28">
        <v>46.296032510000003</v>
      </c>
      <c r="O28">
        <v>1.13011977039518</v>
      </c>
      <c r="P28">
        <v>16.789811368855172</v>
      </c>
      <c r="Q28">
        <v>42.646120876892141</v>
      </c>
      <c r="R28">
        <v>512.61431466428678</v>
      </c>
      <c r="S28">
        <v>1231.9498069317153</v>
      </c>
      <c r="T28">
        <v>3264.6669883690456</v>
      </c>
      <c r="U28">
        <v>43</v>
      </c>
      <c r="V28">
        <v>0.48</v>
      </c>
      <c r="W28">
        <v>0</v>
      </c>
      <c r="Y28" s="4">
        <f t="shared" si="0"/>
        <v>44.966167953007606</v>
      </c>
      <c r="Z28" s="4" t="s">
        <v>73</v>
      </c>
      <c r="AA28" s="4" t="str">
        <f t="shared" si="1"/>
        <v>KSPA_OHK</v>
      </c>
      <c r="AB28">
        <v>326.46669883690458</v>
      </c>
    </row>
    <row r="29" spans="1:28" x14ac:dyDescent="0.25">
      <c r="A29" t="s">
        <v>75</v>
      </c>
      <c r="B29" t="s">
        <v>76</v>
      </c>
      <c r="C29">
        <v>5</v>
      </c>
      <c r="D29">
        <v>2</v>
      </c>
      <c r="E29">
        <v>10</v>
      </c>
      <c r="F29">
        <v>1550.4325879999999</v>
      </c>
      <c r="G29">
        <v>4108.6463590000003</v>
      </c>
      <c r="H29">
        <v>645.13499990000003</v>
      </c>
      <c r="I29">
        <v>0.64513500000000001</v>
      </c>
      <c r="J29">
        <v>6.4513500000000002E-4</v>
      </c>
      <c r="K29">
        <v>1.422277523</v>
      </c>
      <c r="L29">
        <v>2.5000000000000001E-3</v>
      </c>
      <c r="M29">
        <v>3.1</v>
      </c>
      <c r="N29">
        <v>55.681778100000002</v>
      </c>
      <c r="O29">
        <v>4.3997137170161444</v>
      </c>
      <c r="P29">
        <v>31.556283809022755</v>
      </c>
      <c r="Q29">
        <v>80.152960874917795</v>
      </c>
      <c r="R29">
        <v>1995.6789455852456</v>
      </c>
      <c r="S29">
        <v>4796.1522364461562</v>
      </c>
      <c r="T29">
        <v>12709.803426582313</v>
      </c>
      <c r="U29">
        <v>122</v>
      </c>
      <c r="V29">
        <v>0.107</v>
      </c>
      <c r="W29">
        <v>0</v>
      </c>
      <c r="Y29" s="4">
        <f t="shared" si="0"/>
        <v>175.05955663028473</v>
      </c>
      <c r="Z29" s="4" t="s">
        <v>75</v>
      </c>
      <c r="AA29" s="4" t="str">
        <f t="shared" si="1"/>
        <v>KSPA_OPT</v>
      </c>
      <c r="AB29">
        <v>1270.9803426582314</v>
      </c>
    </row>
    <row r="30" spans="1:28" x14ac:dyDescent="0.25">
      <c r="A30" t="s">
        <v>77</v>
      </c>
      <c r="B30" t="s">
        <v>78</v>
      </c>
      <c r="C30">
        <v>5</v>
      </c>
      <c r="D30">
        <v>3</v>
      </c>
      <c r="E30">
        <v>15</v>
      </c>
      <c r="F30">
        <v>171800.33780000001</v>
      </c>
      <c r="G30">
        <v>455270.89510000002</v>
      </c>
      <c r="H30">
        <v>71486.120559999996</v>
      </c>
      <c r="I30">
        <v>71.486120560000003</v>
      </c>
      <c r="J30">
        <v>7.1486121E-2</v>
      </c>
      <c r="K30">
        <v>157.59973110000001</v>
      </c>
      <c r="L30">
        <v>3.5000000000000003E-2</v>
      </c>
      <c r="M30">
        <v>2.9</v>
      </c>
      <c r="N30">
        <v>149.93915659999999</v>
      </c>
      <c r="O30">
        <v>408.83746436511427</v>
      </c>
      <c r="P30">
        <v>82.00461942742939</v>
      </c>
      <c r="Q30">
        <v>208.29173334567065</v>
      </c>
      <c r="R30">
        <v>185445.77494766185</v>
      </c>
      <c r="S30">
        <v>445675.97920610878</v>
      </c>
      <c r="T30">
        <v>1181041.3448961882</v>
      </c>
      <c r="U30">
        <v>208.40700000000004</v>
      </c>
      <c r="V30">
        <v>0.5</v>
      </c>
      <c r="W30">
        <v>0</v>
      </c>
      <c r="Y30" s="4">
        <f t="shared" si="0"/>
        <v>16267.173241022971</v>
      </c>
      <c r="Z30" s="4" t="s">
        <v>77</v>
      </c>
      <c r="AA30" s="4" t="str">
        <f t="shared" si="1"/>
        <v>KSPA_PIN</v>
      </c>
      <c r="AB30">
        <v>118104.13448961882</v>
      </c>
    </row>
    <row r="31" spans="1:28" x14ac:dyDescent="0.25">
      <c r="A31" t="s">
        <v>79</v>
      </c>
      <c r="B31" t="s">
        <v>80</v>
      </c>
      <c r="C31">
        <v>5</v>
      </c>
      <c r="D31">
        <v>2</v>
      </c>
      <c r="E31">
        <v>10</v>
      </c>
      <c r="F31">
        <v>2636.890171</v>
      </c>
      <c r="G31">
        <v>6987.7589529999996</v>
      </c>
      <c r="H31">
        <v>1097.21</v>
      </c>
      <c r="I31">
        <v>1.09721</v>
      </c>
      <c r="J31">
        <v>1.0972099999999999E-3</v>
      </c>
      <c r="K31">
        <v>2.418931111</v>
      </c>
      <c r="L31">
        <v>3.3999999999999998E-3</v>
      </c>
      <c r="M31">
        <v>3.2850000000000001</v>
      </c>
      <c r="N31">
        <v>35.147648340000003</v>
      </c>
      <c r="O31">
        <v>2.666009883957372</v>
      </c>
      <c r="P31">
        <v>19.274510594189447</v>
      </c>
      <c r="Q31">
        <v>48.957256909241195</v>
      </c>
      <c r="R31">
        <v>1209.2831798483965</v>
      </c>
      <c r="S31">
        <v>2906.2321073020826</v>
      </c>
      <c r="T31">
        <v>7701.5150843505189</v>
      </c>
      <c r="U31">
        <v>59.9</v>
      </c>
      <c r="V31">
        <v>0.17</v>
      </c>
      <c r="W31">
        <v>0</v>
      </c>
      <c r="Y31" s="4">
        <f t="shared" si="0"/>
        <v>106.07747191652601</v>
      </c>
      <c r="Z31" s="4" t="s">
        <v>79</v>
      </c>
      <c r="AA31" s="4" t="str">
        <f t="shared" si="1"/>
        <v>KSPA_PLA</v>
      </c>
      <c r="AB31">
        <v>770.15150843505194</v>
      </c>
    </row>
    <row r="32" spans="1:28" x14ac:dyDescent="0.25">
      <c r="A32" t="s">
        <v>81</v>
      </c>
      <c r="B32" t="s">
        <v>82</v>
      </c>
      <c r="C32">
        <v>5</v>
      </c>
      <c r="D32">
        <v>2</v>
      </c>
      <c r="E32">
        <v>10</v>
      </c>
      <c r="F32">
        <v>1550.4325879999999</v>
      </c>
      <c r="G32">
        <v>4108.6463590000003</v>
      </c>
      <c r="H32">
        <v>645.13499990000003</v>
      </c>
      <c r="I32">
        <v>0.64513500000000001</v>
      </c>
      <c r="J32">
        <v>6.4513500000000002E-4</v>
      </c>
      <c r="K32">
        <v>1.422277523</v>
      </c>
      <c r="L32">
        <v>1.4999999999999999E-2</v>
      </c>
      <c r="M32">
        <v>3</v>
      </c>
      <c r="N32">
        <v>35.036424660000002</v>
      </c>
      <c r="O32">
        <v>21.503708248125271</v>
      </c>
      <c r="P32">
        <v>34.108482854492181</v>
      </c>
      <c r="Q32">
        <v>86.635546450410132</v>
      </c>
      <c r="R32">
        <v>9753.9295879223046</v>
      </c>
      <c r="S32">
        <v>23441.3111942377</v>
      </c>
      <c r="T32">
        <v>62119.474664729903</v>
      </c>
      <c r="U32">
        <v>106</v>
      </c>
      <c r="V32">
        <v>0.17</v>
      </c>
      <c r="W32">
        <v>0</v>
      </c>
      <c r="Y32" s="4">
        <f t="shared" si="0"/>
        <v>855.60785858967608</v>
      </c>
      <c r="Z32" s="4" t="s">
        <v>81</v>
      </c>
      <c r="AA32" s="4" t="str">
        <f t="shared" si="1"/>
        <v>KSPA_POL</v>
      </c>
      <c r="AB32">
        <v>6211.9474664729905</v>
      </c>
    </row>
    <row r="33" spans="1:28" x14ac:dyDescent="0.25">
      <c r="A33" t="s">
        <v>83</v>
      </c>
      <c r="B33" t="s">
        <v>84</v>
      </c>
      <c r="C33">
        <v>5</v>
      </c>
      <c r="D33">
        <v>7</v>
      </c>
      <c r="E33">
        <v>35</v>
      </c>
      <c r="F33">
        <v>43204.537799999998</v>
      </c>
      <c r="G33">
        <v>114492.325</v>
      </c>
      <c r="H33">
        <v>17977.408179999999</v>
      </c>
      <c r="I33">
        <v>17.977408180000001</v>
      </c>
      <c r="J33">
        <v>1.7977408E-2</v>
      </c>
      <c r="K33">
        <v>39.633353620000001</v>
      </c>
      <c r="L33">
        <v>5.4000000000000003E-3</v>
      </c>
      <c r="M33">
        <v>3</v>
      </c>
      <c r="N33">
        <v>149.3176363</v>
      </c>
      <c r="O33">
        <v>248.04590102666805</v>
      </c>
      <c r="P33">
        <v>108.33475379830827</v>
      </c>
      <c r="Q33">
        <v>275.17027464770302</v>
      </c>
      <c r="R33">
        <v>112511.86192027108</v>
      </c>
      <c r="S33">
        <v>270396.20745078364</v>
      </c>
      <c r="T33">
        <v>716549.94974457659</v>
      </c>
      <c r="U33">
        <v>280</v>
      </c>
      <c r="V33">
        <v>0.11600000000000001</v>
      </c>
      <c r="W33">
        <v>0</v>
      </c>
      <c r="Y33" s="4">
        <f t="shared" si="0"/>
        <v>9869.4615719536014</v>
      </c>
      <c r="Z33" s="4" t="s">
        <v>83</v>
      </c>
      <c r="AA33" s="4" t="str">
        <f t="shared" si="1"/>
        <v>KSPA_POR</v>
      </c>
      <c r="AB33">
        <v>71654.994974457659</v>
      </c>
    </row>
    <row r="34" spans="1:28" x14ac:dyDescent="0.25">
      <c r="A34" t="s">
        <v>85</v>
      </c>
      <c r="B34" t="s">
        <v>86</v>
      </c>
      <c r="C34">
        <v>5</v>
      </c>
      <c r="D34">
        <v>7</v>
      </c>
      <c r="E34">
        <v>35</v>
      </c>
      <c r="F34">
        <v>43204.537799999998</v>
      </c>
      <c r="G34">
        <v>114492.325</v>
      </c>
      <c r="H34">
        <v>17977.408179999999</v>
      </c>
      <c r="I34">
        <v>17.977408180000001</v>
      </c>
      <c r="J34">
        <v>1.7977408E-2</v>
      </c>
      <c r="K34">
        <v>39.633353620000001</v>
      </c>
      <c r="L34">
        <v>5.2399999999999999E-3</v>
      </c>
      <c r="M34">
        <v>3.141</v>
      </c>
      <c r="N34">
        <v>120.4130632</v>
      </c>
      <c r="O34">
        <v>732.43834267098998</v>
      </c>
      <c r="P34">
        <v>119.98373069649152</v>
      </c>
      <c r="Q34">
        <v>304.75867596908847</v>
      </c>
      <c r="R34">
        <v>332228.83883435238</v>
      </c>
      <c r="S34">
        <v>798435.08491793415</v>
      </c>
      <c r="T34">
        <v>2115852.9750325256</v>
      </c>
      <c r="U34">
        <v>309.24444444444441</v>
      </c>
      <c r="V34">
        <v>0.13655555555555554</v>
      </c>
      <c r="W34">
        <v>4</v>
      </c>
      <c r="Y34" s="4">
        <f t="shared" si="0"/>
        <v>29142.880599504599</v>
      </c>
      <c r="Z34" s="4" t="s">
        <v>85</v>
      </c>
      <c r="AA34" s="4" t="str">
        <f t="shared" si="1"/>
        <v>KSPA_PSH</v>
      </c>
      <c r="AB34">
        <v>211585.29750325257</v>
      </c>
    </row>
    <row r="35" spans="1:28" x14ac:dyDescent="0.25">
      <c r="A35" t="s">
        <v>87</v>
      </c>
      <c r="B35" t="s">
        <v>88</v>
      </c>
      <c r="C35">
        <v>5</v>
      </c>
      <c r="D35">
        <v>2</v>
      </c>
      <c r="E35">
        <v>10</v>
      </c>
      <c r="F35">
        <v>1550.4325879999999</v>
      </c>
      <c r="G35">
        <v>4108.6463590000003</v>
      </c>
      <c r="H35">
        <v>645.13499990000003</v>
      </c>
      <c r="I35">
        <v>0.64513500000000001</v>
      </c>
      <c r="J35">
        <v>6.4513500000000002E-4</v>
      </c>
      <c r="K35">
        <v>1.422277523</v>
      </c>
      <c r="L35">
        <v>6.0000000000000001E-3</v>
      </c>
      <c r="M35">
        <v>3.1</v>
      </c>
      <c r="N35">
        <v>41.982114379999999</v>
      </c>
      <c r="O35">
        <v>0.3022806685210826</v>
      </c>
      <c r="P35">
        <v>10.029314378264123</v>
      </c>
      <c r="Q35">
        <v>25.474458520790872</v>
      </c>
      <c r="R35">
        <v>137.11236790062804</v>
      </c>
      <c r="S35">
        <v>329.51782720650812</v>
      </c>
      <c r="T35">
        <v>873.22224209724652</v>
      </c>
      <c r="U35">
        <v>40.299999999999997</v>
      </c>
      <c r="V35">
        <v>0.1</v>
      </c>
      <c r="W35">
        <v>0</v>
      </c>
      <c r="Y35" s="4">
        <f t="shared" si="0"/>
        <v>12.027400693037546</v>
      </c>
      <c r="Z35" s="4" t="s">
        <v>87</v>
      </c>
      <c r="AA35" s="4" t="str">
        <f t="shared" si="1"/>
        <v>KSPA_RED</v>
      </c>
      <c r="AB35">
        <v>87.322224209724652</v>
      </c>
    </row>
    <row r="36" spans="1:28" x14ac:dyDescent="0.25">
      <c r="A36" t="s">
        <v>89</v>
      </c>
      <c r="B36" t="s">
        <v>90</v>
      </c>
      <c r="C36">
        <v>5</v>
      </c>
      <c r="D36">
        <v>8</v>
      </c>
      <c r="E36">
        <v>40</v>
      </c>
      <c r="F36">
        <v>40855</v>
      </c>
      <c r="G36">
        <v>109000</v>
      </c>
      <c r="H36">
        <v>16999.765500000001</v>
      </c>
      <c r="I36">
        <v>16.999765499999999</v>
      </c>
      <c r="J36">
        <v>1.6999765999999999E-2</v>
      </c>
      <c r="K36">
        <v>37.478023020000002</v>
      </c>
      <c r="L36">
        <v>0.05</v>
      </c>
      <c r="M36">
        <v>3.2</v>
      </c>
      <c r="N36">
        <v>161.4254301</v>
      </c>
      <c r="O36">
        <v>423.99038879103455</v>
      </c>
      <c r="P36">
        <v>44.977479685495176</v>
      </c>
      <c r="Q36">
        <v>114.24279840115774</v>
      </c>
      <c r="R36">
        <v>192319.0340244734</v>
      </c>
      <c r="S36">
        <v>462194.26586030622</v>
      </c>
      <c r="T36">
        <v>1224814.8045298115</v>
      </c>
      <c r="U36">
        <v>114.3</v>
      </c>
      <c r="V36">
        <v>0.19</v>
      </c>
      <c r="W36">
        <v>0</v>
      </c>
      <c r="Y36" s="4">
        <f t="shared" si="0"/>
        <v>16870.09070390118</v>
      </c>
      <c r="Z36" s="4" t="s">
        <v>89</v>
      </c>
      <c r="AA36" s="4" t="str">
        <f t="shared" si="1"/>
        <v>KSPA_REP</v>
      </c>
      <c r="AB36">
        <v>122481.48045298115</v>
      </c>
    </row>
    <row r="37" spans="1:28" x14ac:dyDescent="0.25">
      <c r="A37" t="s">
        <v>91</v>
      </c>
      <c r="B37" t="s">
        <v>92</v>
      </c>
      <c r="C37">
        <v>5</v>
      </c>
      <c r="D37">
        <v>2</v>
      </c>
      <c r="E37">
        <v>10</v>
      </c>
      <c r="F37">
        <v>1550.4325879999999</v>
      </c>
      <c r="G37">
        <v>4108.6463590000003</v>
      </c>
      <c r="H37">
        <v>645.13499990000003</v>
      </c>
      <c r="I37">
        <v>0.64513500000000001</v>
      </c>
      <c r="J37">
        <v>6.4513500000000002E-4</v>
      </c>
      <c r="K37">
        <v>1.422277523</v>
      </c>
      <c r="L37">
        <v>1.2999999999999999E-2</v>
      </c>
      <c r="M37">
        <v>3</v>
      </c>
      <c r="N37">
        <v>36.748172850000003</v>
      </c>
      <c r="O37">
        <v>3.8457796820652996</v>
      </c>
      <c r="P37">
        <v>20.155893355432035</v>
      </c>
      <c r="Q37">
        <v>51.195969122797372</v>
      </c>
      <c r="R37">
        <v>1744.4183950364686</v>
      </c>
      <c r="S37">
        <v>4192.3056838175162</v>
      </c>
      <c r="T37">
        <v>11109.610062116417</v>
      </c>
      <c r="U37">
        <v>60.2</v>
      </c>
      <c r="V37">
        <v>0.19</v>
      </c>
      <c r="W37">
        <v>0</v>
      </c>
      <c r="Y37" s="4">
        <f t="shared" si="0"/>
        <v>153.01915745933934</v>
      </c>
      <c r="Z37" s="4" t="s">
        <v>91</v>
      </c>
      <c r="AA37" s="4" t="str">
        <f t="shared" si="1"/>
        <v>KSPA_RHK</v>
      </c>
      <c r="AB37">
        <v>1110.9610062116417</v>
      </c>
    </row>
    <row r="38" spans="1:28" x14ac:dyDescent="0.25">
      <c r="A38" t="s">
        <v>93</v>
      </c>
      <c r="B38" t="s">
        <v>94</v>
      </c>
      <c r="C38">
        <v>5</v>
      </c>
      <c r="D38">
        <v>9</v>
      </c>
      <c r="E38">
        <v>45</v>
      </c>
      <c r="F38">
        <v>1772528355</v>
      </c>
      <c r="G38">
        <v>4697200141</v>
      </c>
      <c r="H38">
        <v>737549048.5</v>
      </c>
      <c r="I38">
        <v>737549.04850000003</v>
      </c>
      <c r="J38">
        <v>737.54904850000003</v>
      </c>
      <c r="K38">
        <v>1626015.3829999999</v>
      </c>
      <c r="L38">
        <v>1.7000000000000001E-2</v>
      </c>
      <c r="M38">
        <v>3</v>
      </c>
      <c r="N38">
        <v>1544.9709</v>
      </c>
      <c r="O38">
        <v>149217.80119469736</v>
      </c>
      <c r="P38">
        <v>623.99188344626384</v>
      </c>
      <c r="Q38">
        <v>1584.9393839535103</v>
      </c>
      <c r="R38">
        <v>67684136.583491653</v>
      </c>
      <c r="S38">
        <v>162663149.68395016</v>
      </c>
      <c r="T38">
        <v>431057346.6624679</v>
      </c>
      <c r="U38">
        <v>1584.96</v>
      </c>
      <c r="V38">
        <v>0.25</v>
      </c>
      <c r="W38">
        <v>0</v>
      </c>
      <c r="Y38" s="4">
        <f t="shared" si="0"/>
        <v>5937204.96346418</v>
      </c>
      <c r="Z38" s="4" t="s">
        <v>93</v>
      </c>
      <c r="AA38" s="4" t="str">
        <f t="shared" si="1"/>
        <v>KSPA_RWH</v>
      </c>
      <c r="AB38">
        <v>43105734.666246794</v>
      </c>
    </row>
    <row r="39" spans="1:28" x14ac:dyDescent="0.25">
      <c r="A39" t="s">
        <v>95</v>
      </c>
      <c r="B39" t="s">
        <v>96</v>
      </c>
      <c r="C39">
        <v>5</v>
      </c>
      <c r="D39">
        <v>2</v>
      </c>
      <c r="E39">
        <v>10</v>
      </c>
      <c r="F39">
        <v>1550.4325879999999</v>
      </c>
      <c r="G39">
        <v>4108.6463590000003</v>
      </c>
      <c r="H39">
        <v>645.13499990000003</v>
      </c>
      <c r="I39">
        <v>0.64513500000000001</v>
      </c>
      <c r="J39">
        <v>6.4513500000000002E-4</v>
      </c>
      <c r="K39">
        <v>1.422277523</v>
      </c>
      <c r="L39">
        <v>0.01</v>
      </c>
      <c r="M39">
        <v>3</v>
      </c>
      <c r="N39">
        <v>36.288772530000003</v>
      </c>
      <c r="O39">
        <v>35.850373201594643</v>
      </c>
      <c r="P39">
        <v>46.297008456622315</v>
      </c>
      <c r="Q39">
        <v>117.59440147982068</v>
      </c>
      <c r="R39">
        <v>16261.475084864802</v>
      </c>
      <c r="S39">
        <v>39080.689941996628</v>
      </c>
      <c r="T39">
        <v>103563.82834629106</v>
      </c>
      <c r="U39">
        <v>136</v>
      </c>
      <c r="V39">
        <v>0.2</v>
      </c>
      <c r="W39">
        <v>0</v>
      </c>
      <c r="Y39" s="4">
        <f t="shared" si="0"/>
        <v>1426.4451828828769</v>
      </c>
      <c r="Z39" s="4" t="s">
        <v>95</v>
      </c>
      <c r="AA39" s="4" t="str">
        <f t="shared" si="1"/>
        <v>KSPA_SAL</v>
      </c>
      <c r="AB39">
        <v>10356.382834629107</v>
      </c>
    </row>
    <row r="40" spans="1:28" x14ac:dyDescent="0.25">
      <c r="A40" t="s">
        <v>97</v>
      </c>
      <c r="B40" t="s">
        <v>98</v>
      </c>
      <c r="C40">
        <v>5</v>
      </c>
      <c r="D40">
        <v>2</v>
      </c>
      <c r="E40">
        <v>10</v>
      </c>
      <c r="F40">
        <v>27162.319380000001</v>
      </c>
      <c r="G40">
        <v>71980.146370000002</v>
      </c>
      <c r="H40">
        <v>11302.24109</v>
      </c>
      <c r="I40">
        <v>11.302241090000001</v>
      </c>
      <c r="J40">
        <v>1.1302240999999999E-2</v>
      </c>
      <c r="K40">
        <v>24.917146760000001</v>
      </c>
      <c r="L40">
        <v>6.5000000000000002E-2</v>
      </c>
      <c r="M40">
        <v>3</v>
      </c>
      <c r="N40">
        <v>82.675758979999998</v>
      </c>
      <c r="O40">
        <v>1.8804522272772768</v>
      </c>
      <c r="P40">
        <v>9.2861996885293365</v>
      </c>
      <c r="Q40">
        <v>23.586947208864515</v>
      </c>
      <c r="R40">
        <v>852.95979682542873</v>
      </c>
      <c r="S40">
        <v>2049.8913646369351</v>
      </c>
      <c r="T40">
        <v>5432.2121162878775</v>
      </c>
      <c r="U40">
        <v>23.6</v>
      </c>
      <c r="V40">
        <v>0.75</v>
      </c>
      <c r="W40">
        <v>0</v>
      </c>
      <c r="Y40" s="4">
        <f t="shared" si="0"/>
        <v>74.821034809248118</v>
      </c>
      <c r="Z40" s="4" t="s">
        <v>97</v>
      </c>
      <c r="AA40" s="4" t="str">
        <f t="shared" si="1"/>
        <v>KSPA_SB</v>
      </c>
      <c r="AB40">
        <v>543.22121162878773</v>
      </c>
    </row>
    <row r="41" spans="1:28" x14ac:dyDescent="0.25">
      <c r="A41" t="s">
        <v>99</v>
      </c>
      <c r="B41" t="s">
        <v>100</v>
      </c>
      <c r="C41">
        <v>5</v>
      </c>
      <c r="D41">
        <v>2</v>
      </c>
      <c r="E41">
        <v>10</v>
      </c>
      <c r="F41">
        <v>1550.4325879999999</v>
      </c>
      <c r="G41">
        <v>4108.6463590000003</v>
      </c>
      <c r="H41">
        <v>645.13499990000003</v>
      </c>
      <c r="I41">
        <v>0.64513500000000001</v>
      </c>
      <c r="J41">
        <v>6.4513500000000002E-4</v>
      </c>
      <c r="K41">
        <v>1.422277523</v>
      </c>
      <c r="L41">
        <v>1.4999999999999999E-2</v>
      </c>
      <c r="M41">
        <v>3.1</v>
      </c>
      <c r="N41">
        <v>31.238959699999999</v>
      </c>
      <c r="O41">
        <v>1.9618642084198317</v>
      </c>
      <c r="P41">
        <v>13.643393141796873</v>
      </c>
      <c r="Q41">
        <v>34.654218580164056</v>
      </c>
      <c r="R41">
        <v>889.88769421479969</v>
      </c>
      <c r="S41">
        <v>2138.6390151761589</v>
      </c>
      <c r="T41">
        <v>5667.393390216821</v>
      </c>
      <c r="U41">
        <v>42.4</v>
      </c>
      <c r="V41">
        <v>0.17</v>
      </c>
      <c r="W41">
        <v>0</v>
      </c>
      <c r="Y41" s="4">
        <f t="shared" si="0"/>
        <v>78.060324053929804</v>
      </c>
      <c r="Z41" s="4" t="s">
        <v>99</v>
      </c>
      <c r="AA41" s="4" t="str">
        <f t="shared" si="1"/>
        <v>KSPA_SCU</v>
      </c>
      <c r="AB41">
        <v>566.7393390216821</v>
      </c>
    </row>
    <row r="42" spans="1:28" x14ac:dyDescent="0.25">
      <c r="A42" t="s">
        <v>101</v>
      </c>
      <c r="B42" t="s">
        <v>102</v>
      </c>
      <c r="C42">
        <v>5</v>
      </c>
      <c r="D42">
        <v>2</v>
      </c>
      <c r="E42">
        <v>10</v>
      </c>
      <c r="F42">
        <v>1550.4325879999999</v>
      </c>
      <c r="G42">
        <v>4108.6463590000003</v>
      </c>
      <c r="H42">
        <v>645.13499990000003</v>
      </c>
      <c r="I42">
        <v>0.64513500000000001</v>
      </c>
      <c r="J42">
        <v>6.4513500000000002E-4</v>
      </c>
      <c r="K42">
        <v>1.422277523</v>
      </c>
      <c r="L42">
        <v>1.2E-2</v>
      </c>
      <c r="M42">
        <v>3.1</v>
      </c>
      <c r="N42">
        <v>33.570503690000002</v>
      </c>
      <c r="O42">
        <v>16.503194668098537</v>
      </c>
      <c r="P42">
        <v>29.143266632053564</v>
      </c>
      <c r="Q42">
        <v>74.023897245416052</v>
      </c>
      <c r="R42">
        <v>7485.7320844855512</v>
      </c>
      <c r="S42">
        <v>17990.223707006851</v>
      </c>
      <c r="T42">
        <v>47674.092823568157</v>
      </c>
      <c r="U42">
        <v>150.03333333333333</v>
      </c>
      <c r="V42">
        <v>0.11333333333333334</v>
      </c>
      <c r="W42">
        <v>4</v>
      </c>
      <c r="Y42" s="4">
        <f t="shared" si="0"/>
        <v>656.64316530575013</v>
      </c>
      <c r="Z42" s="4" t="s">
        <v>101</v>
      </c>
      <c r="AA42" s="4" t="str">
        <f t="shared" si="1"/>
        <v>KSPA_SDF</v>
      </c>
      <c r="AB42">
        <v>4767.4092823568162</v>
      </c>
    </row>
    <row r="43" spans="1:28" x14ac:dyDescent="0.25">
      <c r="A43" t="s">
        <v>103</v>
      </c>
      <c r="B43" t="s">
        <v>104</v>
      </c>
      <c r="C43">
        <v>5</v>
      </c>
      <c r="D43">
        <v>1</v>
      </c>
      <c r="E43">
        <v>5</v>
      </c>
      <c r="F43">
        <v>826.58014939999998</v>
      </c>
      <c r="G43">
        <v>2190.4373959999998</v>
      </c>
      <c r="H43">
        <v>343.94000019999999</v>
      </c>
      <c r="I43">
        <v>0.34394000000000002</v>
      </c>
      <c r="J43">
        <v>3.4393999999999999E-4</v>
      </c>
      <c r="K43">
        <v>0.75825700299999998</v>
      </c>
      <c r="L43">
        <v>1.2999999999999999E-2</v>
      </c>
      <c r="M43">
        <v>2.8</v>
      </c>
      <c r="N43">
        <v>37.973299429999997</v>
      </c>
      <c r="O43">
        <v>0.80599079389768036</v>
      </c>
      <c r="P43">
        <v>15.279663091718431</v>
      </c>
      <c r="Q43">
        <v>38.810344252964818</v>
      </c>
      <c r="R43">
        <v>365.59170918238988</v>
      </c>
      <c r="S43">
        <v>878.61501846284534</v>
      </c>
      <c r="T43">
        <v>2328.3297989265402</v>
      </c>
      <c r="U43">
        <v>65.400000000000006</v>
      </c>
      <c r="V43">
        <v>0.18</v>
      </c>
      <c r="W43">
        <v>0</v>
      </c>
      <c r="Y43" s="4">
        <f t="shared" si="0"/>
        <v>32.069448173893861</v>
      </c>
      <c r="Z43" s="4" t="s">
        <v>103</v>
      </c>
      <c r="AA43" s="4" t="str">
        <f t="shared" si="1"/>
        <v>KSPA_SHK</v>
      </c>
      <c r="AB43">
        <v>232.83297989265404</v>
      </c>
    </row>
    <row r="44" spans="1:28" x14ac:dyDescent="0.25">
      <c r="A44" t="s">
        <v>105</v>
      </c>
      <c r="B44" t="s">
        <v>700</v>
      </c>
      <c r="C44">
        <v>5</v>
      </c>
      <c r="D44">
        <v>3</v>
      </c>
      <c r="E44">
        <v>15</v>
      </c>
      <c r="F44">
        <v>7000</v>
      </c>
      <c r="G44">
        <v>18550</v>
      </c>
      <c r="H44">
        <v>2912.7</v>
      </c>
      <c r="I44">
        <v>2.9126999999999996</v>
      </c>
      <c r="J44">
        <v>2.9126999999999998E-3</v>
      </c>
      <c r="K44">
        <v>6.4195907999999999</v>
      </c>
      <c r="L44">
        <v>1.2699999999999999E-2</v>
      </c>
      <c r="M44">
        <v>3.1</v>
      </c>
      <c r="N44">
        <v>53.603232342129658</v>
      </c>
      <c r="O44">
        <v>41.603004137939209</v>
      </c>
      <c r="P44">
        <v>38.559367847215825</v>
      </c>
      <c r="Q44">
        <v>97.940794331928203</v>
      </c>
      <c r="R44">
        <v>18870.827688190802</v>
      </c>
      <c r="S44">
        <v>45351.664715671242</v>
      </c>
      <c r="T44">
        <v>120181.91149652879</v>
      </c>
      <c r="U44">
        <v>109.97499999999999</v>
      </c>
      <c r="V44">
        <v>0.14750000000000002</v>
      </c>
      <c r="W44">
        <v>0</v>
      </c>
      <c r="Y44" s="4">
        <f t="shared" si="0"/>
        <v>1655.3357621220005</v>
      </c>
      <c r="Z44" s="4" t="s">
        <v>105</v>
      </c>
      <c r="AA44" s="4" t="str">
        <f t="shared" si="1"/>
        <v>KSPA_SK</v>
      </c>
      <c r="AB44">
        <v>12018.191149652879</v>
      </c>
    </row>
    <row r="45" spans="1:28" x14ac:dyDescent="0.25">
      <c r="A45" t="s">
        <v>107</v>
      </c>
      <c r="B45" t="s">
        <v>108</v>
      </c>
      <c r="C45">
        <v>5</v>
      </c>
      <c r="D45">
        <v>5</v>
      </c>
      <c r="E45">
        <v>25</v>
      </c>
      <c r="F45">
        <v>7003.1900919999998</v>
      </c>
      <c r="G45">
        <v>18558.453740000001</v>
      </c>
      <c r="H45">
        <v>2914.0273969999998</v>
      </c>
      <c r="I45">
        <v>2.9140273969999999</v>
      </c>
      <c r="J45">
        <v>2.914027E-3</v>
      </c>
      <c r="K45">
        <v>6.4243230809999998</v>
      </c>
      <c r="L45">
        <v>3.5999999999999999E-3</v>
      </c>
      <c r="M45">
        <v>3</v>
      </c>
      <c r="N45">
        <v>93.195950769999996</v>
      </c>
      <c r="O45">
        <v>15.107078829506749</v>
      </c>
      <c r="P45">
        <v>48.791896668543963</v>
      </c>
      <c r="Q45">
        <v>123.93141753810167</v>
      </c>
      <c r="R45">
        <v>6852.4638393495243</v>
      </c>
      <c r="S45">
        <v>16468.310116196884</v>
      </c>
      <c r="T45">
        <v>43641.021807921745</v>
      </c>
      <c r="U45">
        <v>124</v>
      </c>
      <c r="V45">
        <v>0.3</v>
      </c>
      <c r="W45">
        <v>0</v>
      </c>
      <c r="Y45" s="4">
        <f t="shared" si="0"/>
        <v>601.09331924118624</v>
      </c>
      <c r="Z45" s="4" t="s">
        <v>107</v>
      </c>
      <c r="AA45" s="4" t="str">
        <f t="shared" si="1"/>
        <v>KSPA_SMO</v>
      </c>
      <c r="AB45">
        <v>4364.1021807921743</v>
      </c>
    </row>
    <row r="46" spans="1:28" x14ac:dyDescent="0.25">
      <c r="A46" t="s">
        <v>109</v>
      </c>
      <c r="B46" t="s">
        <v>110</v>
      </c>
      <c r="C46">
        <v>5</v>
      </c>
      <c r="D46">
        <v>5</v>
      </c>
      <c r="E46">
        <v>25</v>
      </c>
      <c r="F46">
        <v>7003.1900919999998</v>
      </c>
      <c r="G46">
        <v>18558.453740000001</v>
      </c>
      <c r="H46">
        <v>2914.0273969999998</v>
      </c>
      <c r="I46">
        <v>2.9140273969999999</v>
      </c>
      <c r="J46">
        <v>2.914027E-3</v>
      </c>
      <c r="K46">
        <v>6.4243230809999998</v>
      </c>
      <c r="L46">
        <v>4.3E-3</v>
      </c>
      <c r="M46">
        <v>3.1</v>
      </c>
      <c r="N46">
        <v>76.02840209</v>
      </c>
      <c r="O46">
        <v>134.46467885214014</v>
      </c>
      <c r="P46">
        <v>79.836315087941998</v>
      </c>
      <c r="Q46">
        <v>202.78424032337267</v>
      </c>
      <c r="R46">
        <v>60992.224896871179</v>
      </c>
      <c r="S46">
        <v>146580.68949019746</v>
      </c>
      <c r="T46">
        <v>388438.82714902324</v>
      </c>
      <c r="U46">
        <v>267</v>
      </c>
      <c r="V46">
        <v>5.7000000000000002E-2</v>
      </c>
      <c r="W46">
        <v>0</v>
      </c>
      <c r="Y46" s="4">
        <f t="shared" si="0"/>
        <v>5350.1951663922073</v>
      </c>
      <c r="Z46" s="4" t="s">
        <v>109</v>
      </c>
      <c r="AA46" s="4" t="str">
        <f t="shared" si="1"/>
        <v>KSPA_SSH</v>
      </c>
      <c r="AB46">
        <v>38843.882714902327</v>
      </c>
    </row>
    <row r="47" spans="1:28" x14ac:dyDescent="0.25">
      <c r="A47" t="s">
        <v>111</v>
      </c>
      <c r="B47" t="s">
        <v>112</v>
      </c>
      <c r="C47">
        <v>5</v>
      </c>
      <c r="D47">
        <v>2</v>
      </c>
      <c r="E47">
        <v>10</v>
      </c>
      <c r="F47">
        <v>1550.4325879999999</v>
      </c>
      <c r="G47">
        <v>4108.6463590000003</v>
      </c>
      <c r="H47">
        <v>645.13499990000003</v>
      </c>
      <c r="I47">
        <v>0.64513500000000001</v>
      </c>
      <c r="J47">
        <v>6.4513500000000002E-4</v>
      </c>
      <c r="K47">
        <v>1.422277523</v>
      </c>
      <c r="L47">
        <v>1.2200000000000001E-2</v>
      </c>
      <c r="M47">
        <v>2.9</v>
      </c>
      <c r="N47">
        <v>42.532504469999999</v>
      </c>
      <c r="O47">
        <v>12.577454528700933</v>
      </c>
      <c r="P47">
        <v>35.506178530159033</v>
      </c>
      <c r="Q47">
        <v>90.185693466603951</v>
      </c>
      <c r="R47">
        <v>5705.0441929679191</v>
      </c>
      <c r="S47">
        <v>13710.752686777021</v>
      </c>
      <c r="T47">
        <v>36333.494619959107</v>
      </c>
      <c r="U47">
        <v>113</v>
      </c>
      <c r="V47">
        <v>0.16</v>
      </c>
      <c r="W47">
        <v>0</v>
      </c>
      <c r="Y47" s="4">
        <f t="shared" si="0"/>
        <v>500.44247306736128</v>
      </c>
      <c r="Z47" s="4" t="s">
        <v>111</v>
      </c>
      <c r="AA47" s="4" t="str">
        <f t="shared" si="1"/>
        <v>KSPA_STB</v>
      </c>
      <c r="AB47">
        <v>3633.349461995911</v>
      </c>
    </row>
    <row r="48" spans="1:28" x14ac:dyDescent="0.25">
      <c r="A48" t="s">
        <v>113</v>
      </c>
      <c r="B48" t="s">
        <v>114</v>
      </c>
      <c r="C48">
        <v>5</v>
      </c>
      <c r="D48">
        <v>2</v>
      </c>
      <c r="E48">
        <v>10</v>
      </c>
      <c r="F48">
        <v>2636.890171</v>
      </c>
      <c r="G48">
        <v>6987.7589529999996</v>
      </c>
      <c r="H48">
        <v>1097.21</v>
      </c>
      <c r="I48">
        <v>1.09721</v>
      </c>
      <c r="J48">
        <v>1.0972099999999999E-3</v>
      </c>
      <c r="K48">
        <v>2.418931111</v>
      </c>
      <c r="L48">
        <v>1.2E-2</v>
      </c>
      <c r="M48">
        <v>3.05</v>
      </c>
      <c r="N48">
        <v>42.32460897</v>
      </c>
      <c r="O48">
        <v>14.359783075897388</v>
      </c>
      <c r="P48">
        <v>29.879531829628586</v>
      </c>
      <c r="Q48">
        <v>75.89401084725661</v>
      </c>
      <c r="R48">
        <v>6513.4957842609556</v>
      </c>
      <c r="S48">
        <v>15653.678885510588</v>
      </c>
      <c r="T48">
        <v>41482.249046603058</v>
      </c>
      <c r="U48">
        <v>85.9</v>
      </c>
      <c r="V48">
        <v>0.215</v>
      </c>
      <c r="W48">
        <v>0</v>
      </c>
      <c r="Y48" s="4">
        <f t="shared" si="0"/>
        <v>571.35927932113646</v>
      </c>
      <c r="Z48" s="4" t="s">
        <v>113</v>
      </c>
      <c r="AA48" s="4" t="str">
        <f t="shared" si="1"/>
        <v>KSPA_SUF</v>
      </c>
      <c r="AB48">
        <v>4148.2249046603056</v>
      </c>
    </row>
    <row r="49" spans="1:28" x14ac:dyDescent="0.25">
      <c r="A49" t="s">
        <v>115</v>
      </c>
      <c r="B49" t="s">
        <v>116</v>
      </c>
      <c r="C49">
        <v>5</v>
      </c>
      <c r="D49">
        <v>7</v>
      </c>
      <c r="E49">
        <v>35</v>
      </c>
      <c r="F49">
        <v>9236054.7949999999</v>
      </c>
      <c r="G49">
        <v>24475545.210000001</v>
      </c>
      <c r="H49">
        <v>3843122.4</v>
      </c>
      <c r="I49">
        <v>3843.1224000000002</v>
      </c>
      <c r="J49">
        <v>3.8431223999999999</v>
      </c>
      <c r="K49">
        <v>8472.6245060000001</v>
      </c>
      <c r="L49">
        <v>1.4999999999999999E-2</v>
      </c>
      <c r="M49">
        <v>3</v>
      </c>
      <c r="N49">
        <v>727.04518989999997</v>
      </c>
      <c r="O49">
        <v>663.54596399184982</v>
      </c>
      <c r="P49">
        <v>106.98304463821259</v>
      </c>
      <c r="Q49">
        <v>271.73693338106</v>
      </c>
      <c r="R49">
        <v>300979.74435133935</v>
      </c>
      <c r="S49">
        <v>723335.12220941915</v>
      </c>
      <c r="T49">
        <v>1916838.0738549607</v>
      </c>
      <c r="U49">
        <v>271.77999999999997</v>
      </c>
      <c r="V49">
        <v>0.25</v>
      </c>
      <c r="W49">
        <v>0</v>
      </c>
      <c r="Y49" s="4">
        <f t="shared" si="0"/>
        <v>26401.7319606438</v>
      </c>
      <c r="Z49" s="4" t="s">
        <v>115</v>
      </c>
      <c r="AA49" s="4" t="str">
        <f t="shared" si="1"/>
        <v>KSPA_SWH</v>
      </c>
      <c r="AB49">
        <v>191683.8073854961</v>
      </c>
    </row>
    <row r="50" spans="1:28" x14ac:dyDescent="0.25">
      <c r="A50" t="s">
        <v>117</v>
      </c>
      <c r="B50" t="s">
        <v>118</v>
      </c>
      <c r="C50">
        <v>5</v>
      </c>
      <c r="D50">
        <v>2</v>
      </c>
      <c r="E50">
        <v>10</v>
      </c>
      <c r="F50">
        <v>1550.4325879999999</v>
      </c>
      <c r="G50">
        <v>4108.6463590000003</v>
      </c>
      <c r="H50">
        <v>645.13499990000003</v>
      </c>
      <c r="I50">
        <v>0.64513500000000001</v>
      </c>
      <c r="J50">
        <v>6.4513500000000002E-4</v>
      </c>
      <c r="K50">
        <v>1.422277523</v>
      </c>
      <c r="L50">
        <v>1.4999999999999999E-2</v>
      </c>
      <c r="M50">
        <v>3</v>
      </c>
      <c r="N50">
        <v>35.036424660000002</v>
      </c>
      <c r="O50">
        <v>3.2761063483325983</v>
      </c>
      <c r="P50">
        <v>18.217017679626149</v>
      </c>
      <c r="Q50">
        <v>46.271224906250424</v>
      </c>
      <c r="R50">
        <v>1486.0186101607526</v>
      </c>
      <c r="S50">
        <v>3571.3016346088743</v>
      </c>
      <c r="T50">
        <v>9463.9493317135166</v>
      </c>
      <c r="U50">
        <v>73.2</v>
      </c>
      <c r="V50">
        <v>0.1</v>
      </c>
      <c r="W50">
        <v>0</v>
      </c>
      <c r="Y50" s="4">
        <f t="shared" si="0"/>
        <v>130.35250966322391</v>
      </c>
      <c r="Z50" s="4" t="s">
        <v>117</v>
      </c>
      <c r="AA50" s="4" t="str">
        <f t="shared" si="1"/>
        <v>KSPA_TAU</v>
      </c>
      <c r="AB50">
        <v>946.39493317135168</v>
      </c>
    </row>
    <row r="51" spans="1:28" x14ac:dyDescent="0.25">
      <c r="A51" t="s">
        <v>119</v>
      </c>
      <c r="B51" t="s">
        <v>120</v>
      </c>
      <c r="C51">
        <v>5</v>
      </c>
      <c r="D51">
        <v>3</v>
      </c>
      <c r="E51">
        <v>15</v>
      </c>
      <c r="F51">
        <v>174502.53330000001</v>
      </c>
      <c r="G51">
        <v>462431.7133</v>
      </c>
      <c r="H51">
        <v>72610.504109999994</v>
      </c>
      <c r="I51">
        <v>72.610504109999994</v>
      </c>
      <c r="J51">
        <v>7.2610504000000006E-2</v>
      </c>
      <c r="K51">
        <v>160.07856960000001</v>
      </c>
      <c r="L51">
        <v>2.1399999999999999E-2</v>
      </c>
      <c r="M51">
        <v>2.96</v>
      </c>
      <c r="N51">
        <v>160.79737159999999</v>
      </c>
      <c r="O51">
        <v>83.066722612942684</v>
      </c>
      <c r="P51">
        <v>50.721625317832334</v>
      </c>
      <c r="Q51">
        <v>128.83292830729414</v>
      </c>
      <c r="R51">
        <v>37678.476387287912</v>
      </c>
      <c r="S51">
        <v>90551.493360461202</v>
      </c>
      <c r="T51">
        <v>239961.45740522217</v>
      </c>
      <c r="U51">
        <v>133.76666666666668</v>
      </c>
      <c r="V51">
        <v>0.3</v>
      </c>
      <c r="W51">
        <v>4</v>
      </c>
      <c r="Y51" s="4">
        <f t="shared" si="0"/>
        <v>3305.129507656834</v>
      </c>
      <c r="Z51" s="4" t="s">
        <v>119</v>
      </c>
      <c r="AA51" s="4" t="str">
        <f t="shared" si="1"/>
        <v>KSPA_TUN</v>
      </c>
      <c r="AB51">
        <v>23996.145740522217</v>
      </c>
    </row>
    <row r="52" spans="1:28" x14ac:dyDescent="0.25">
      <c r="A52" t="s">
        <v>121</v>
      </c>
      <c r="B52" t="s">
        <v>122</v>
      </c>
      <c r="C52">
        <v>5</v>
      </c>
      <c r="D52">
        <v>7</v>
      </c>
      <c r="E52">
        <v>35</v>
      </c>
      <c r="F52">
        <v>9236054.7949999999</v>
      </c>
      <c r="G52">
        <v>24475545.210000001</v>
      </c>
      <c r="H52">
        <v>3843122.4</v>
      </c>
      <c r="I52">
        <v>3843.1224000000002</v>
      </c>
      <c r="J52">
        <v>3.8431223999999999</v>
      </c>
      <c r="K52">
        <v>8472.6245060000001</v>
      </c>
      <c r="L52">
        <v>1E-3</v>
      </c>
      <c r="M52">
        <v>3</v>
      </c>
      <c r="N52">
        <v>727.04518989999997</v>
      </c>
      <c r="O52">
        <v>39438.55123247343</v>
      </c>
      <c r="P52">
        <v>1029.6635839386674</v>
      </c>
      <c r="Q52">
        <v>2615.3455032042152</v>
      </c>
      <c r="R52">
        <v>17889047.197464157</v>
      </c>
      <c r="S52">
        <v>42992182.64230752</v>
      </c>
      <c r="T52">
        <v>113929284.00211492</v>
      </c>
      <c r="U52">
        <v>2615.7600000000002</v>
      </c>
      <c r="V52">
        <v>0.25</v>
      </c>
      <c r="W52">
        <v>0</v>
      </c>
      <c r="Y52" s="4">
        <f t="shared" si="0"/>
        <v>1569214.6664442245</v>
      </c>
      <c r="Z52" s="4" t="s">
        <v>121</v>
      </c>
      <c r="AA52" s="4" t="str">
        <f t="shared" si="1"/>
        <v>KSPA_TWH</v>
      </c>
      <c r="AB52">
        <v>11392928.400211493</v>
      </c>
    </row>
    <row r="53" spans="1:28" x14ac:dyDescent="0.25">
      <c r="A53" t="s">
        <v>123</v>
      </c>
      <c r="B53" t="s">
        <v>124</v>
      </c>
      <c r="C53">
        <v>5</v>
      </c>
      <c r="D53">
        <v>2</v>
      </c>
      <c r="E53">
        <v>10</v>
      </c>
      <c r="F53">
        <v>1550.4325879999999</v>
      </c>
      <c r="G53">
        <v>4108.6463590000003</v>
      </c>
      <c r="H53">
        <v>645.13499990000003</v>
      </c>
      <c r="I53">
        <v>0.64513500000000001</v>
      </c>
      <c r="J53">
        <v>6.4513500000000002E-4</v>
      </c>
      <c r="K53">
        <v>1.422277523</v>
      </c>
      <c r="L53">
        <v>9.4999999999999998E-3</v>
      </c>
      <c r="M53">
        <v>3.1</v>
      </c>
      <c r="N53">
        <v>36.198129430000002</v>
      </c>
      <c r="O53">
        <v>16.537455725548487</v>
      </c>
      <c r="P53">
        <v>31.445393969295882</v>
      </c>
      <c r="Q53">
        <v>79.871300682011537</v>
      </c>
      <c r="R53">
        <v>7501.2726572146157</v>
      </c>
      <c r="S53">
        <v>18027.571875065165</v>
      </c>
      <c r="T53">
        <v>47773.065468922687</v>
      </c>
      <c r="U53">
        <v>111</v>
      </c>
      <c r="V53">
        <v>0.13</v>
      </c>
      <c r="W53">
        <v>0.22</v>
      </c>
      <c r="Y53" s="4">
        <f t="shared" si="0"/>
        <v>658.00637343987853</v>
      </c>
      <c r="Z53" s="4" t="s">
        <v>123</v>
      </c>
      <c r="AA53" s="4" t="str">
        <f t="shared" si="1"/>
        <v>KSPA_TYL</v>
      </c>
      <c r="AB53">
        <v>4777.3065468922687</v>
      </c>
    </row>
    <row r="54" spans="1:28" x14ac:dyDescent="0.25">
      <c r="A54" t="s">
        <v>125</v>
      </c>
      <c r="B54" t="s">
        <v>126</v>
      </c>
      <c r="C54">
        <v>5</v>
      </c>
      <c r="D54">
        <v>1</v>
      </c>
      <c r="E54">
        <v>5</v>
      </c>
      <c r="F54">
        <v>3889.4496509999999</v>
      </c>
      <c r="G54">
        <v>10307.041579999999</v>
      </c>
      <c r="H54">
        <v>1618.4</v>
      </c>
      <c r="I54">
        <v>1.6184000000000001</v>
      </c>
      <c r="J54">
        <v>1.6184000000000001E-3</v>
      </c>
      <c r="K54">
        <v>3.567957008</v>
      </c>
      <c r="L54">
        <v>1.4999999999999999E-2</v>
      </c>
      <c r="M54">
        <v>2.9</v>
      </c>
      <c r="N54">
        <v>54.389539650000003</v>
      </c>
      <c r="O54">
        <v>3.4035288637362187</v>
      </c>
      <c r="P54">
        <v>21.06764971617396</v>
      </c>
      <c r="Q54">
        <v>53.511830279081856</v>
      </c>
      <c r="R54">
        <v>1543.8165596502884</v>
      </c>
      <c r="S54">
        <v>3710.2056228077104</v>
      </c>
      <c r="T54">
        <v>9832.0449004404327</v>
      </c>
      <c r="U54">
        <v>136</v>
      </c>
      <c r="V54">
        <v>0.1</v>
      </c>
      <c r="W54">
        <v>0</v>
      </c>
      <c r="Y54" s="4">
        <f t="shared" si="0"/>
        <v>135.42250523248143</v>
      </c>
      <c r="Z54" s="4" t="s">
        <v>125</v>
      </c>
      <c r="AA54" s="4" t="str">
        <f t="shared" si="1"/>
        <v>KSPA_WHK</v>
      </c>
      <c r="AB54">
        <v>983.20449004404327</v>
      </c>
    </row>
    <row r="55" spans="1:28" x14ac:dyDescent="0.25">
      <c r="A55" t="s">
        <v>127</v>
      </c>
      <c r="B55" t="s">
        <v>128</v>
      </c>
      <c r="C55">
        <v>5</v>
      </c>
      <c r="D55">
        <v>2</v>
      </c>
      <c r="E55">
        <v>10</v>
      </c>
      <c r="F55">
        <v>2636.890171</v>
      </c>
      <c r="G55">
        <v>6987.7589529999996</v>
      </c>
      <c r="H55">
        <v>1097.21</v>
      </c>
      <c r="I55">
        <v>1.09721</v>
      </c>
      <c r="J55">
        <v>1.0972099999999999E-3</v>
      </c>
      <c r="K55">
        <v>2.418931111</v>
      </c>
      <c r="L55">
        <v>1.4E-2</v>
      </c>
      <c r="M55">
        <v>3</v>
      </c>
      <c r="N55">
        <v>42.794429440000002</v>
      </c>
      <c r="O55">
        <v>7.3903722939398016</v>
      </c>
      <c r="P55">
        <v>24.447500447877395</v>
      </c>
      <c r="Q55">
        <v>62.096651137608582</v>
      </c>
      <c r="R55">
        <v>3352.2204706206971</v>
      </c>
      <c r="S55">
        <v>8056.2856780117681</v>
      </c>
      <c r="T55">
        <v>21349.157046731183</v>
      </c>
      <c r="U55">
        <v>62.2</v>
      </c>
      <c r="V55">
        <v>0.64</v>
      </c>
      <c r="W55">
        <v>0</v>
      </c>
      <c r="Y55" s="4">
        <f t="shared" si="0"/>
        <v>294.05442724742954</v>
      </c>
      <c r="Z55" s="4" t="s">
        <v>127</v>
      </c>
      <c r="AA55" s="4" t="str">
        <f t="shared" si="1"/>
        <v>KSPA_WIF</v>
      </c>
      <c r="AB55">
        <v>2134.9157046731184</v>
      </c>
    </row>
    <row r="56" spans="1:28" x14ac:dyDescent="0.25">
      <c r="A56" t="s">
        <v>129</v>
      </c>
      <c r="B56" t="s">
        <v>130</v>
      </c>
      <c r="C56">
        <v>5</v>
      </c>
      <c r="D56">
        <v>2</v>
      </c>
      <c r="E56">
        <v>10</v>
      </c>
      <c r="F56">
        <v>1550.4325879999999</v>
      </c>
      <c r="G56">
        <v>4108.6463590000003</v>
      </c>
      <c r="H56">
        <v>645.13499990000003</v>
      </c>
      <c r="I56">
        <v>0.64513500000000001</v>
      </c>
      <c r="J56">
        <v>6.4513500000000002E-4</v>
      </c>
      <c r="K56">
        <v>1.422277523</v>
      </c>
      <c r="L56">
        <v>1.2500000000000001E-2</v>
      </c>
      <c r="M56">
        <v>2.88</v>
      </c>
      <c r="N56">
        <v>43.288073740000002</v>
      </c>
      <c r="O56">
        <v>2.8672891874892144</v>
      </c>
      <c r="P56">
        <v>21.739985446344871</v>
      </c>
      <c r="Q56">
        <v>55.219563033715971</v>
      </c>
      <c r="R56">
        <v>1300.5820447465842</v>
      </c>
      <c r="S56">
        <v>3125.6477883840048</v>
      </c>
      <c r="T56">
        <v>8282.9666392176132</v>
      </c>
      <c r="U56">
        <v>158</v>
      </c>
      <c r="V56">
        <v>4.2999999999999997E-2</v>
      </c>
      <c r="W56">
        <v>0</v>
      </c>
      <c r="Y56" s="4">
        <f t="shared" si="0"/>
        <v>114.08614427601619</v>
      </c>
      <c r="Z56" s="4" t="s">
        <v>129</v>
      </c>
      <c r="AA56" s="4" t="str">
        <f t="shared" si="1"/>
        <v>KSPA_WOL</v>
      </c>
      <c r="AB56">
        <v>828.29666392176136</v>
      </c>
    </row>
    <row r="57" spans="1:28" x14ac:dyDescent="0.25">
      <c r="A57" t="s">
        <v>131</v>
      </c>
      <c r="B57" t="s">
        <v>132</v>
      </c>
      <c r="C57">
        <v>5</v>
      </c>
      <c r="D57">
        <v>2</v>
      </c>
      <c r="E57">
        <v>10</v>
      </c>
      <c r="F57">
        <v>2636.890171</v>
      </c>
      <c r="G57">
        <v>6987.7589529999996</v>
      </c>
      <c r="H57">
        <v>1097.21</v>
      </c>
      <c r="I57">
        <v>1.09721</v>
      </c>
      <c r="J57">
        <v>1.0972099999999999E-3</v>
      </c>
      <c r="K57">
        <v>2.418931111</v>
      </c>
      <c r="L57">
        <v>1.4E-2</v>
      </c>
      <c r="M57">
        <v>2.9</v>
      </c>
      <c r="N57">
        <v>48.712674319999998</v>
      </c>
      <c r="O57">
        <v>1.3184910861486607</v>
      </c>
      <c r="P57">
        <v>15.557156518144412</v>
      </c>
      <c r="Q57">
        <v>39.515177556086805</v>
      </c>
      <c r="R57">
        <v>598.05820783112767</v>
      </c>
      <c r="S57">
        <v>1437.2944192048249</v>
      </c>
      <c r="T57">
        <v>3808.8302108927855</v>
      </c>
      <c r="U57">
        <v>45.7</v>
      </c>
      <c r="V57">
        <v>0.2</v>
      </c>
      <c r="W57">
        <v>0</v>
      </c>
      <c r="Y57" s="4">
        <f t="shared" si="0"/>
        <v>52.461246300976107</v>
      </c>
      <c r="Z57" s="4" t="s">
        <v>131</v>
      </c>
      <c r="AA57" s="4" t="str">
        <f t="shared" si="1"/>
        <v>KSPA_WPF</v>
      </c>
      <c r="AB57">
        <v>380.8830210892786</v>
      </c>
    </row>
    <row r="58" spans="1:28" x14ac:dyDescent="0.25">
      <c r="A58" t="s">
        <v>133</v>
      </c>
      <c r="B58" t="s">
        <v>134</v>
      </c>
      <c r="C58">
        <v>5</v>
      </c>
      <c r="D58">
        <v>3</v>
      </c>
      <c r="E58">
        <v>15</v>
      </c>
      <c r="F58">
        <v>7000</v>
      </c>
      <c r="G58">
        <v>18550</v>
      </c>
      <c r="H58">
        <v>2912.7</v>
      </c>
      <c r="I58">
        <v>2.9127000000000001</v>
      </c>
      <c r="J58">
        <v>2.9126999999999998E-3</v>
      </c>
      <c r="K58">
        <v>6.4213966740000004</v>
      </c>
      <c r="L58">
        <v>1.2699999999999999E-2</v>
      </c>
      <c r="M58">
        <v>3.1</v>
      </c>
      <c r="N58">
        <v>53.603232339999998</v>
      </c>
      <c r="O58">
        <v>30.452441187409729</v>
      </c>
      <c r="P58">
        <v>34.867386513023227</v>
      </c>
      <c r="Q58">
        <v>88.563161743079007</v>
      </c>
      <c r="R58">
        <v>13813.011397614886</v>
      </c>
      <c r="S58">
        <v>33196.374423491674</v>
      </c>
      <c r="T58">
        <v>87970.392222252936</v>
      </c>
      <c r="U58">
        <v>114</v>
      </c>
      <c r="V58">
        <v>0.1</v>
      </c>
      <c r="W58">
        <v>0</v>
      </c>
      <c r="Y58" s="4">
        <f t="shared" si="0"/>
        <v>1211.6676664574461</v>
      </c>
      <c r="Z58" s="4" t="s">
        <v>133</v>
      </c>
      <c r="AA58" s="4" t="str">
        <f t="shared" si="1"/>
        <v>KSPA_WSK</v>
      </c>
      <c r="AB58">
        <v>8797.039222225294</v>
      </c>
    </row>
    <row r="59" spans="1:28" x14ac:dyDescent="0.25">
      <c r="A59" t="s">
        <v>135</v>
      </c>
      <c r="B59" t="s">
        <v>136</v>
      </c>
      <c r="C59">
        <v>5</v>
      </c>
      <c r="D59">
        <v>2</v>
      </c>
      <c r="E59">
        <v>10</v>
      </c>
      <c r="F59">
        <v>2636.890171</v>
      </c>
      <c r="G59">
        <v>6987.7589529999996</v>
      </c>
      <c r="H59">
        <v>1097.21</v>
      </c>
      <c r="I59">
        <v>1.09721</v>
      </c>
      <c r="J59">
        <v>1.0972099999999999E-3</v>
      </c>
      <c r="K59">
        <v>2.418931111</v>
      </c>
      <c r="L59">
        <v>1.2E-2</v>
      </c>
      <c r="M59">
        <v>3</v>
      </c>
      <c r="N59">
        <v>45.050834190000003</v>
      </c>
      <c r="O59">
        <v>1.4539114892034266</v>
      </c>
      <c r="P59">
        <v>14.968350469750487</v>
      </c>
      <c r="Q59">
        <v>38.019610193166237</v>
      </c>
      <c r="R59">
        <v>659.48394244968597</v>
      </c>
      <c r="S59">
        <v>1584.916948929791</v>
      </c>
      <c r="T59">
        <v>4200.0299146639463</v>
      </c>
      <c r="U59">
        <v>60.5</v>
      </c>
      <c r="V59">
        <v>9.9000000000000005E-2</v>
      </c>
      <c r="W59">
        <v>0</v>
      </c>
      <c r="Y59" s="4">
        <f t="shared" si="0"/>
        <v>57.849468635937377</v>
      </c>
      <c r="Z59" s="4" t="s">
        <v>135</v>
      </c>
      <c r="AA59" s="4" t="str">
        <f t="shared" si="1"/>
        <v>KSPA_WTF</v>
      </c>
      <c r="AB59">
        <v>420.00299146639463</v>
      </c>
    </row>
    <row r="60" spans="1:28" x14ac:dyDescent="0.25">
      <c r="A60" t="s">
        <v>137</v>
      </c>
      <c r="B60" t="s">
        <v>138</v>
      </c>
      <c r="C60">
        <v>5</v>
      </c>
      <c r="D60">
        <v>1</v>
      </c>
      <c r="E60">
        <v>5</v>
      </c>
      <c r="F60">
        <v>1241.7688049999999</v>
      </c>
      <c r="G60">
        <v>3290.6873340000002</v>
      </c>
      <c r="H60">
        <v>516.6999998</v>
      </c>
      <c r="I60">
        <v>0.51670000000000005</v>
      </c>
      <c r="J60">
        <v>5.1670000000000004E-4</v>
      </c>
      <c r="K60">
        <v>1.139127153</v>
      </c>
      <c r="L60">
        <v>1.2500000000000001E-2</v>
      </c>
      <c r="M60">
        <v>2.82</v>
      </c>
      <c r="N60">
        <v>43.350678950000002</v>
      </c>
      <c r="O60">
        <v>0.94913977708671626</v>
      </c>
      <c r="P60">
        <v>15.997870482638643</v>
      </c>
      <c r="Q60">
        <v>40.634591025902154</v>
      </c>
      <c r="R60">
        <v>430.52307294985815</v>
      </c>
      <c r="S60">
        <v>1034.6625161015577</v>
      </c>
      <c r="T60">
        <v>2741.8556676691278</v>
      </c>
      <c r="U60">
        <v>50</v>
      </c>
      <c r="V60">
        <v>0.33500000000000002</v>
      </c>
      <c r="W60">
        <v>0</v>
      </c>
      <c r="Y60" s="4">
        <f t="shared" si="0"/>
        <v>37.765181837706855</v>
      </c>
      <c r="Z60" s="4" t="s">
        <v>137</v>
      </c>
      <c r="AA60" s="4" t="str">
        <f t="shared" si="1"/>
        <v>KSPA_YTF</v>
      </c>
      <c r="AB60">
        <v>274.18556676691281</v>
      </c>
    </row>
    <row r="63" spans="1:28" x14ac:dyDescent="0.25">
      <c r="A63" t="s">
        <v>21</v>
      </c>
      <c r="B63" t="s">
        <v>22</v>
      </c>
      <c r="C63">
        <v>3</v>
      </c>
      <c r="D63">
        <v>1</v>
      </c>
      <c r="E63">
        <v>3</v>
      </c>
      <c r="F63">
        <v>123.02331169999999</v>
      </c>
      <c r="G63">
        <v>326.011776</v>
      </c>
      <c r="H63">
        <v>51.19</v>
      </c>
      <c r="I63">
        <v>5.1189999999999999E-2</v>
      </c>
      <c r="J63">
        <v>5.1199999999999998E-5</v>
      </c>
      <c r="K63">
        <v>0.112854498</v>
      </c>
      <c r="L63">
        <v>1.6E-2</v>
      </c>
      <c r="M63">
        <v>3</v>
      </c>
      <c r="N63">
        <v>14.735166550000001</v>
      </c>
      <c r="O63">
        <v>2.7303904544423465E-2</v>
      </c>
      <c r="P63">
        <v>3.6148473344734438</v>
      </c>
      <c r="Q63">
        <v>9.1817122295625477</v>
      </c>
      <c r="R63">
        <v>12.384857501258024</v>
      </c>
      <c r="S63">
        <v>29.764137229651585</v>
      </c>
      <c r="T63">
        <v>78.874963658576704</v>
      </c>
      <c r="U63">
        <v>11</v>
      </c>
      <c r="V63">
        <v>0.6</v>
      </c>
      <c r="W63">
        <v>0</v>
      </c>
      <c r="Y63" s="4">
        <f>0.01*SUM(S63:T63)</f>
        <v>1.0863910088822828</v>
      </c>
      <c r="Z63" s="4" t="str">
        <f>A63</f>
        <v>ANC</v>
      </c>
      <c r="AA63" s="4" t="str">
        <f>"KSPA_"&amp;Z63</f>
        <v>KSPA_ANC</v>
      </c>
      <c r="AB63" s="4">
        <v>11.636141822631743</v>
      </c>
    </row>
    <row r="64" spans="1:28" x14ac:dyDescent="0.25">
      <c r="A64" t="s">
        <v>23</v>
      </c>
      <c r="B64" t="s">
        <v>24</v>
      </c>
      <c r="C64">
        <v>3</v>
      </c>
      <c r="D64">
        <v>3</v>
      </c>
      <c r="E64">
        <v>9</v>
      </c>
      <c r="F64">
        <v>124433.10189999999</v>
      </c>
      <c r="G64">
        <v>329747.71999999997</v>
      </c>
      <c r="H64">
        <v>51776.613700000002</v>
      </c>
      <c r="I64">
        <v>51.776613699999999</v>
      </c>
      <c r="J64">
        <v>5.1776613999999999E-2</v>
      </c>
      <c r="K64">
        <v>114.1477581</v>
      </c>
      <c r="L64">
        <v>2.5999999999999999E-2</v>
      </c>
      <c r="M64">
        <v>3</v>
      </c>
      <c r="N64">
        <v>181.035417</v>
      </c>
      <c r="O64">
        <v>430.48512617683502</v>
      </c>
      <c r="P64">
        <v>77.099217435276501</v>
      </c>
      <c r="Q64">
        <v>195.8320122856023</v>
      </c>
      <c r="R64">
        <v>195265.00085131906</v>
      </c>
      <c r="S64">
        <v>469274.21497553244</v>
      </c>
      <c r="T64">
        <v>1243576.669685161</v>
      </c>
      <c r="U64">
        <v>330</v>
      </c>
      <c r="V64">
        <v>0.1</v>
      </c>
      <c r="W64">
        <v>0</v>
      </c>
      <c r="Y64" s="4">
        <f t="shared" ref="Y64:Y121" si="2">0.01*SUM(S64:T64)</f>
        <v>17128.508846606936</v>
      </c>
      <c r="Z64" s="4" t="str">
        <f t="shared" ref="Z64:Z121" si="3">A64</f>
        <v>BFT</v>
      </c>
      <c r="AA64" s="4" t="str">
        <f t="shared" ref="AA64:AA121" si="4">"KSPA_"&amp;Z64</f>
        <v>KSPA_BFT</v>
      </c>
    </row>
    <row r="65" spans="1:27" x14ac:dyDescent="0.25">
      <c r="A65" t="s">
        <v>25</v>
      </c>
      <c r="B65" t="s">
        <v>26</v>
      </c>
      <c r="C65">
        <v>3</v>
      </c>
      <c r="D65">
        <v>3</v>
      </c>
      <c r="E65">
        <v>9</v>
      </c>
      <c r="F65">
        <v>124433.10189999999</v>
      </c>
      <c r="G65">
        <v>329747.71999999997</v>
      </c>
      <c r="H65">
        <v>51776.613700000002</v>
      </c>
      <c r="I65">
        <v>51.776613699999999</v>
      </c>
      <c r="J65">
        <v>5.1776613999999999E-2</v>
      </c>
      <c r="K65">
        <v>114.1477581</v>
      </c>
      <c r="L65">
        <v>2.1399999999999999E-2</v>
      </c>
      <c r="M65">
        <v>2.96</v>
      </c>
      <c r="N65">
        <v>143.43730550000001</v>
      </c>
      <c r="O65">
        <v>314.36539906417744</v>
      </c>
      <c r="P65">
        <v>79.518104806318092</v>
      </c>
      <c r="Q65">
        <v>201.97598620804794</v>
      </c>
      <c r="R65">
        <v>142593.91598741617</v>
      </c>
      <c r="S65">
        <v>342691.45875370386</v>
      </c>
      <c r="T65">
        <v>908132.3656973152</v>
      </c>
      <c r="U65">
        <v>358.7</v>
      </c>
      <c r="V65">
        <v>9.1999999999999998E-2</v>
      </c>
      <c r="W65">
        <v>0</v>
      </c>
      <c r="Y65" s="4">
        <f t="shared" si="2"/>
        <v>12508.23824451019</v>
      </c>
      <c r="Z65" s="4" t="str">
        <f t="shared" si="3"/>
        <v>BIL</v>
      </c>
      <c r="AA65" s="4" t="str">
        <f t="shared" si="4"/>
        <v>KSPA_BIL</v>
      </c>
    </row>
    <row r="66" spans="1:27" x14ac:dyDescent="0.25">
      <c r="A66" t="s">
        <v>27</v>
      </c>
      <c r="B66" t="s">
        <v>28</v>
      </c>
      <c r="C66">
        <v>3</v>
      </c>
      <c r="D66">
        <v>1</v>
      </c>
      <c r="E66">
        <v>3</v>
      </c>
      <c r="F66">
        <v>3106.2244649999998</v>
      </c>
      <c r="G66">
        <v>8231.4948330000007</v>
      </c>
      <c r="H66">
        <v>1292.5</v>
      </c>
      <c r="I66">
        <v>1.2925</v>
      </c>
      <c r="J66">
        <v>1.2925E-3</v>
      </c>
      <c r="K66">
        <v>2.84947135</v>
      </c>
      <c r="L66">
        <v>1.0999999999999999E-2</v>
      </c>
      <c r="M66">
        <v>2.9</v>
      </c>
      <c r="N66">
        <v>56.013011069999997</v>
      </c>
      <c r="O66">
        <v>1.2955333785002165</v>
      </c>
      <c r="P66">
        <v>16.804102057285473</v>
      </c>
      <c r="Q66">
        <v>42.6824192255051</v>
      </c>
      <c r="R66">
        <v>587.64475442489709</v>
      </c>
      <c r="S66">
        <v>1412.2680952292651</v>
      </c>
      <c r="T66">
        <v>3742.5104523575524</v>
      </c>
      <c r="U66">
        <v>94.6</v>
      </c>
      <c r="V66">
        <v>0.2</v>
      </c>
      <c r="W66">
        <v>0</v>
      </c>
      <c r="Y66" s="4">
        <f t="shared" si="2"/>
        <v>51.547785475868181</v>
      </c>
      <c r="Z66" s="4" t="str">
        <f t="shared" si="3"/>
        <v>BLF</v>
      </c>
      <c r="AA66" s="4" t="str">
        <f t="shared" si="4"/>
        <v>KSPA_BLF</v>
      </c>
    </row>
    <row r="67" spans="1:27" x14ac:dyDescent="0.25">
      <c r="A67" t="s">
        <v>29</v>
      </c>
      <c r="B67" t="s">
        <v>30</v>
      </c>
      <c r="C67">
        <v>3</v>
      </c>
      <c r="D67">
        <v>7</v>
      </c>
      <c r="E67">
        <v>21</v>
      </c>
      <c r="F67">
        <v>20847.385399999999</v>
      </c>
      <c r="G67">
        <v>55245.121400000004</v>
      </c>
      <c r="H67">
        <v>8674.5970649999999</v>
      </c>
      <c r="I67">
        <v>8.6745970650000004</v>
      </c>
      <c r="J67">
        <v>8.6745969999999992E-3</v>
      </c>
      <c r="K67">
        <v>19.124190179999999</v>
      </c>
      <c r="L67">
        <v>3.2499999999999999E-3</v>
      </c>
      <c r="M67">
        <v>3</v>
      </c>
      <c r="N67">
        <v>138.7145391</v>
      </c>
      <c r="O67">
        <v>145.64793740220117</v>
      </c>
      <c r="P67">
        <v>107.44726409973332</v>
      </c>
      <c r="Q67">
        <v>272.91605081332261</v>
      </c>
      <c r="R67">
        <v>66064.871679564356</v>
      </c>
      <c r="S67">
        <v>158771.62143610758</v>
      </c>
      <c r="T67">
        <v>420744.7968056851</v>
      </c>
      <c r="U67">
        <v>311</v>
      </c>
      <c r="V67">
        <v>0.1</v>
      </c>
      <c r="W67">
        <v>0</v>
      </c>
      <c r="Y67" s="4">
        <f t="shared" si="2"/>
        <v>5795.1641824179269</v>
      </c>
      <c r="Z67" s="4" t="str">
        <f t="shared" si="3"/>
        <v>BLS</v>
      </c>
      <c r="AA67" s="4" t="str">
        <f t="shared" si="4"/>
        <v>KSPA_BLS</v>
      </c>
    </row>
    <row r="68" spans="1:27" x14ac:dyDescent="0.25">
      <c r="A68" t="s">
        <v>31</v>
      </c>
      <c r="B68" t="s">
        <v>32</v>
      </c>
      <c r="C68">
        <v>3</v>
      </c>
      <c r="D68">
        <v>1</v>
      </c>
      <c r="E68">
        <v>3</v>
      </c>
      <c r="F68">
        <v>123.02331169999999</v>
      </c>
      <c r="G68">
        <v>326.011776</v>
      </c>
      <c r="H68">
        <v>51.189999998369998</v>
      </c>
      <c r="I68">
        <v>5.1189999998369998E-2</v>
      </c>
      <c r="J68">
        <v>5.118999999837E-5</v>
      </c>
      <c r="K68">
        <v>0.11285449779640645</v>
      </c>
      <c r="L68">
        <v>1.1599999999999999E-2</v>
      </c>
      <c r="M68">
        <v>3</v>
      </c>
      <c r="N68">
        <v>16.402462244751348</v>
      </c>
      <c r="O68">
        <v>0.52386987705729759</v>
      </c>
      <c r="P68">
        <v>10.772343207636768</v>
      </c>
      <c r="Q68">
        <v>27.361751747397392</v>
      </c>
      <c r="R68">
        <v>237.62366170011049</v>
      </c>
      <c r="S68">
        <v>571.0734479695036</v>
      </c>
      <c r="T68">
        <v>1513.3446371191844</v>
      </c>
      <c r="U68">
        <v>29.172666666666665</v>
      </c>
      <c r="V68">
        <v>0.92646666666666677</v>
      </c>
      <c r="W68">
        <v>0</v>
      </c>
      <c r="Y68" s="4">
        <f t="shared" si="2"/>
        <v>20.844180850886879</v>
      </c>
      <c r="Z68" s="4" t="str">
        <f t="shared" si="3"/>
        <v>BPF</v>
      </c>
      <c r="AA68" s="4" t="str">
        <f t="shared" si="4"/>
        <v>KSPA_BPF</v>
      </c>
    </row>
    <row r="69" spans="1:27" x14ac:dyDescent="0.25">
      <c r="A69" t="s">
        <v>33</v>
      </c>
      <c r="B69" t="s">
        <v>34</v>
      </c>
      <c r="C69">
        <v>3</v>
      </c>
      <c r="D69">
        <v>2</v>
      </c>
      <c r="E69">
        <v>6</v>
      </c>
      <c r="F69">
        <v>732.42009129999997</v>
      </c>
      <c r="G69">
        <v>1940.9132420000001</v>
      </c>
      <c r="H69">
        <v>304.76</v>
      </c>
      <c r="I69">
        <v>0.30475999999999998</v>
      </c>
      <c r="J69">
        <v>3.0476E-4</v>
      </c>
      <c r="K69">
        <v>0.67187999099999995</v>
      </c>
      <c r="L69">
        <v>1.4999999999999999E-2</v>
      </c>
      <c r="M69">
        <v>3</v>
      </c>
      <c r="N69">
        <v>27.286986030000001</v>
      </c>
      <c r="O69">
        <v>2.5265315752891411</v>
      </c>
      <c r="P69">
        <v>16.705758263899565</v>
      </c>
      <c r="Q69">
        <v>42.432625990304892</v>
      </c>
      <c r="R69">
        <v>1146.0168080164115</v>
      </c>
      <c r="S69">
        <v>2754.1860322432385</v>
      </c>
      <c r="T69">
        <v>7298.5929854445822</v>
      </c>
      <c r="U69">
        <v>58.9</v>
      </c>
      <c r="V69">
        <v>0.22</v>
      </c>
      <c r="W69">
        <v>0.20699999999999999</v>
      </c>
      <c r="Y69" s="4">
        <f t="shared" si="2"/>
        <v>100.52779017687821</v>
      </c>
      <c r="Z69" s="4" t="str">
        <f t="shared" si="3"/>
        <v>BSB</v>
      </c>
      <c r="AA69" s="4" t="str">
        <f t="shared" si="4"/>
        <v>KSPA_BSB</v>
      </c>
    </row>
    <row r="70" spans="1:27" x14ac:dyDescent="0.25">
      <c r="A70" t="s">
        <v>35</v>
      </c>
      <c r="B70" t="s">
        <v>36</v>
      </c>
      <c r="C70">
        <v>3</v>
      </c>
      <c r="D70">
        <v>1</v>
      </c>
      <c r="E70">
        <v>3</v>
      </c>
      <c r="F70">
        <v>123.02331169999999</v>
      </c>
      <c r="G70">
        <v>326.011776</v>
      </c>
      <c r="H70">
        <v>51.19</v>
      </c>
      <c r="I70">
        <v>5.1189999999999999E-2</v>
      </c>
      <c r="J70">
        <v>5.1199999999999998E-5</v>
      </c>
      <c r="K70">
        <v>0.112854498</v>
      </c>
      <c r="L70">
        <v>2.1000000000000001E-2</v>
      </c>
      <c r="M70">
        <v>3</v>
      </c>
      <c r="N70">
        <v>13.458250619999999</v>
      </c>
      <c r="O70">
        <v>0.34435842424324425</v>
      </c>
      <c r="P70">
        <v>7.6851469248459017</v>
      </c>
      <c r="Q70">
        <v>19.52027318910859</v>
      </c>
      <c r="R70">
        <v>156.19853954116547</v>
      </c>
      <c r="S70">
        <v>375.38702124769395</v>
      </c>
      <c r="T70">
        <v>994.77560630638891</v>
      </c>
      <c r="U70">
        <v>21.02</v>
      </c>
      <c r="V70">
        <v>0.86</v>
      </c>
      <c r="W70">
        <v>-6.9989999999999997E-2</v>
      </c>
      <c r="Y70" s="4">
        <f t="shared" si="2"/>
        <v>13.70162627554083</v>
      </c>
      <c r="Z70" s="4" t="str">
        <f t="shared" si="3"/>
        <v>BUT</v>
      </c>
      <c r="AA70" s="4" t="str">
        <f t="shared" si="4"/>
        <v>KSPA_BUT</v>
      </c>
    </row>
    <row r="71" spans="1:27" x14ac:dyDescent="0.25">
      <c r="A71" t="s">
        <v>37</v>
      </c>
      <c r="B71" t="s">
        <v>38</v>
      </c>
      <c r="C71">
        <v>3</v>
      </c>
      <c r="D71">
        <v>9</v>
      </c>
      <c r="E71">
        <v>27</v>
      </c>
      <c r="F71">
        <v>1772157205</v>
      </c>
      <c r="G71">
        <v>4696216593</v>
      </c>
      <c r="H71">
        <v>737394613</v>
      </c>
      <c r="I71">
        <v>737394.61300000001</v>
      </c>
      <c r="J71">
        <v>737.39461300000005</v>
      </c>
      <c r="K71">
        <v>1625674.912</v>
      </c>
      <c r="L71">
        <v>6.0000000000000001E-3</v>
      </c>
      <c r="M71">
        <v>3</v>
      </c>
      <c r="N71">
        <v>1544.863059</v>
      </c>
      <c r="O71">
        <v>122039.9863268476</v>
      </c>
      <c r="P71">
        <v>825.73115141938979</v>
      </c>
      <c r="Q71">
        <v>2097.3571246052502</v>
      </c>
      <c r="R71">
        <v>55356472.465480492</v>
      </c>
      <c r="S71">
        <v>133036463.50752342</v>
      </c>
      <c r="T71">
        <v>352546628.29493707</v>
      </c>
      <c r="U71">
        <v>2097.3599999999997</v>
      </c>
      <c r="V71">
        <v>0.5</v>
      </c>
      <c r="W71">
        <v>0</v>
      </c>
      <c r="Y71" s="4">
        <f t="shared" si="2"/>
        <v>4855830.9180246051</v>
      </c>
      <c r="Z71" s="4" t="str">
        <f t="shared" si="3"/>
        <v>BWH</v>
      </c>
      <c r="AA71" s="4" t="str">
        <f t="shared" si="4"/>
        <v>KSPA_BWH</v>
      </c>
    </row>
    <row r="72" spans="1:27" x14ac:dyDescent="0.25">
      <c r="A72" t="s">
        <v>39</v>
      </c>
      <c r="B72" t="s">
        <v>40</v>
      </c>
      <c r="C72">
        <v>3</v>
      </c>
      <c r="D72">
        <v>2</v>
      </c>
      <c r="E72">
        <v>6</v>
      </c>
      <c r="F72">
        <v>7922.1341039999998</v>
      </c>
      <c r="G72">
        <v>20993.65538</v>
      </c>
      <c r="H72">
        <v>3296.400001</v>
      </c>
      <c r="I72">
        <v>3.2964000009999999</v>
      </c>
      <c r="J72">
        <v>3.2964000000000001E-3</v>
      </c>
      <c r="K72">
        <v>7.2673093690000004</v>
      </c>
      <c r="L72">
        <v>1.2E-2</v>
      </c>
      <c r="M72">
        <v>3</v>
      </c>
      <c r="N72">
        <v>65.005916630000002</v>
      </c>
      <c r="O72">
        <v>9.7916017086089191</v>
      </c>
      <c r="P72">
        <v>28.266966238472971</v>
      </c>
      <c r="Q72">
        <v>71.798094245721344</v>
      </c>
      <c r="R72">
        <v>4441.4011070429005</v>
      </c>
      <c r="S72">
        <v>10673.879132523194</v>
      </c>
      <c r="T72">
        <v>28285.779701186464</v>
      </c>
      <c r="U72">
        <v>150.93</v>
      </c>
      <c r="V72">
        <v>0.11</v>
      </c>
      <c r="W72">
        <v>0.13</v>
      </c>
      <c r="Y72" s="4">
        <f t="shared" si="2"/>
        <v>389.59658833709665</v>
      </c>
      <c r="Z72" s="4" t="str">
        <f t="shared" si="3"/>
        <v>COD</v>
      </c>
      <c r="AA72" s="4" t="str">
        <f t="shared" si="4"/>
        <v>KSPA_COD</v>
      </c>
    </row>
    <row r="73" spans="1:27" x14ac:dyDescent="0.25">
      <c r="A73" t="s">
        <v>41</v>
      </c>
      <c r="B73" t="s">
        <v>42</v>
      </c>
      <c r="C73">
        <v>3</v>
      </c>
      <c r="D73">
        <v>4</v>
      </c>
      <c r="E73">
        <v>12</v>
      </c>
      <c r="F73">
        <v>4816.6635390000001</v>
      </c>
      <c r="G73">
        <v>12764.158380000001</v>
      </c>
      <c r="H73">
        <v>2004.2136989999999</v>
      </c>
      <c r="I73">
        <v>2.0042136990000001</v>
      </c>
      <c r="J73">
        <v>2.0042139999999998E-3</v>
      </c>
      <c r="K73">
        <v>4.4185296039999997</v>
      </c>
      <c r="L73">
        <v>1.34E-2</v>
      </c>
      <c r="M73">
        <v>3.1</v>
      </c>
      <c r="N73">
        <v>46.698504929999999</v>
      </c>
      <c r="O73">
        <v>16.581052355175359</v>
      </c>
      <c r="P73">
        <v>28.16685746255764</v>
      </c>
      <c r="Q73">
        <v>71.543817954896411</v>
      </c>
      <c r="R73">
        <v>7521.0477792886577</v>
      </c>
      <c r="S73">
        <v>18075.096801943422</v>
      </c>
      <c r="T73">
        <v>47899.006525150064</v>
      </c>
      <c r="U73">
        <v>91.5</v>
      </c>
      <c r="V73">
        <v>0.12690000000000001</v>
      </c>
      <c r="W73">
        <v>0</v>
      </c>
      <c r="Y73" s="4">
        <f t="shared" si="2"/>
        <v>659.74103327093485</v>
      </c>
      <c r="Z73" s="4" t="str">
        <f t="shared" si="3"/>
        <v>DOG</v>
      </c>
      <c r="AA73" s="4" t="str">
        <f t="shared" si="4"/>
        <v>KSPA_DOG</v>
      </c>
    </row>
    <row r="74" spans="1:27" x14ac:dyDescent="0.25">
      <c r="A74" t="s">
        <v>43</v>
      </c>
      <c r="B74" t="s">
        <v>44</v>
      </c>
      <c r="C74">
        <v>3</v>
      </c>
      <c r="D74">
        <v>2</v>
      </c>
      <c r="E74">
        <v>6</v>
      </c>
      <c r="F74">
        <v>732.42009129999997</v>
      </c>
      <c r="G74">
        <v>1940.9132420000001</v>
      </c>
      <c r="H74">
        <v>304.76</v>
      </c>
      <c r="I74">
        <v>0.30475999999999998</v>
      </c>
      <c r="J74">
        <v>3.0476E-4</v>
      </c>
      <c r="K74">
        <v>0.67187999099999995</v>
      </c>
      <c r="L74">
        <v>1.44E-2</v>
      </c>
      <c r="M74">
        <v>3</v>
      </c>
      <c r="N74">
        <v>27.66082682</v>
      </c>
      <c r="O74">
        <v>2.777495453994816</v>
      </c>
      <c r="P74">
        <v>17.477741991862246</v>
      </c>
      <c r="Q74">
        <v>44.393464659330107</v>
      </c>
      <c r="R74">
        <v>1259.8522439217716</v>
      </c>
      <c r="S74">
        <v>3027.7631432871221</v>
      </c>
      <c r="T74">
        <v>8023.5723297108734</v>
      </c>
      <c r="U74">
        <v>47.633333333333333</v>
      </c>
      <c r="V74">
        <v>0.44799999999999995</v>
      </c>
      <c r="W74">
        <v>0</v>
      </c>
      <c r="Y74" s="4">
        <f t="shared" si="2"/>
        <v>110.51335472997995</v>
      </c>
      <c r="Z74" s="4" t="str">
        <f t="shared" si="3"/>
        <v>DRM</v>
      </c>
      <c r="AA74" s="4" t="str">
        <f t="shared" si="4"/>
        <v>KSPA_DRM</v>
      </c>
    </row>
    <row r="75" spans="1:27" x14ac:dyDescent="0.25">
      <c r="A75" t="s">
        <v>45</v>
      </c>
      <c r="B75" t="s">
        <v>46</v>
      </c>
      <c r="C75">
        <v>3</v>
      </c>
      <c r="D75">
        <v>5</v>
      </c>
      <c r="E75">
        <v>15</v>
      </c>
      <c r="F75">
        <v>5086.8830930000004</v>
      </c>
      <c r="G75">
        <v>13480.2402</v>
      </c>
      <c r="H75">
        <v>2116.652055</v>
      </c>
      <c r="I75">
        <v>2.1166520549999999</v>
      </c>
      <c r="J75">
        <v>2.1166520000000001E-3</v>
      </c>
      <c r="K75">
        <v>4.6664134529999997</v>
      </c>
      <c r="L75">
        <v>3.96E-3</v>
      </c>
      <c r="M75">
        <v>3.2</v>
      </c>
      <c r="N75">
        <v>61.657472030000001</v>
      </c>
      <c r="O75">
        <v>680.82295237423421</v>
      </c>
      <c r="P75">
        <v>115.19083516185107</v>
      </c>
      <c r="Q75">
        <v>292.5847213111017</v>
      </c>
      <c r="R75">
        <v>308816.46377799084</v>
      </c>
      <c r="S75">
        <v>742168.86272047786</v>
      </c>
      <c r="T75">
        <v>1966747.4862092664</v>
      </c>
      <c r="U75">
        <v>300.78571428571428</v>
      </c>
      <c r="V75">
        <v>0.24014285714285719</v>
      </c>
      <c r="W75">
        <v>0</v>
      </c>
      <c r="Y75" s="4">
        <f t="shared" si="2"/>
        <v>27089.163489297443</v>
      </c>
      <c r="Z75" s="4" t="str">
        <f t="shared" si="3"/>
        <v>DSH</v>
      </c>
      <c r="AA75" s="4" t="str">
        <f t="shared" si="4"/>
        <v>KSPA_DSH</v>
      </c>
    </row>
    <row r="76" spans="1:27" x14ac:dyDescent="0.25">
      <c r="A76" t="s">
        <v>47</v>
      </c>
      <c r="B76" t="s">
        <v>48</v>
      </c>
      <c r="C76">
        <v>3</v>
      </c>
      <c r="D76">
        <v>1</v>
      </c>
      <c r="E76">
        <v>3</v>
      </c>
      <c r="F76">
        <v>192.26147560000001</v>
      </c>
      <c r="G76">
        <v>509.49291040000003</v>
      </c>
      <c r="H76">
        <v>79.999999997160003</v>
      </c>
      <c r="I76">
        <v>7.999999999716001E-2</v>
      </c>
      <c r="J76">
        <v>7.9999999997160007E-5</v>
      </c>
      <c r="K76">
        <v>0.17636959999373888</v>
      </c>
      <c r="L76">
        <v>1.23E-2</v>
      </c>
      <c r="M76">
        <v>3.2</v>
      </c>
      <c r="N76">
        <v>15.546057640091004</v>
      </c>
      <c r="O76">
        <v>1.8558784479473054</v>
      </c>
      <c r="P76">
        <v>12.770293212588555</v>
      </c>
      <c r="Q76">
        <v>32.436544759974929</v>
      </c>
      <c r="R76">
        <v>841.81330476331766</v>
      </c>
      <c r="S76">
        <v>2023.1033519906698</v>
      </c>
      <c r="T76">
        <v>5361.2238827752744</v>
      </c>
      <c r="U76">
        <v>39.200000000000003</v>
      </c>
      <c r="V76">
        <v>0.58571428571428563</v>
      </c>
      <c r="W76">
        <v>0</v>
      </c>
      <c r="Y76" s="4">
        <f t="shared" si="2"/>
        <v>73.843272347659436</v>
      </c>
      <c r="Z76" s="4" t="str">
        <f t="shared" si="3"/>
        <v>FDE</v>
      </c>
      <c r="AA76" s="4" t="str">
        <f t="shared" si="4"/>
        <v>KSPA_FDE</v>
      </c>
    </row>
    <row r="77" spans="1:27" x14ac:dyDescent="0.25">
      <c r="A77" t="s">
        <v>49</v>
      </c>
      <c r="B77" t="s">
        <v>50</v>
      </c>
      <c r="C77">
        <v>3</v>
      </c>
      <c r="D77">
        <v>1</v>
      </c>
      <c r="E77">
        <v>3</v>
      </c>
      <c r="F77">
        <v>732.42009129999997</v>
      </c>
      <c r="G77">
        <v>1940.9132420000001</v>
      </c>
      <c r="H77">
        <v>304.75999998992995</v>
      </c>
      <c r="I77">
        <v>0.30475999998992997</v>
      </c>
      <c r="J77">
        <v>3.0475999998992999E-4</v>
      </c>
      <c r="K77">
        <v>0.6718799911777994</v>
      </c>
      <c r="L77">
        <v>1.2E-2</v>
      </c>
      <c r="M77">
        <v>3.1</v>
      </c>
      <c r="N77">
        <v>26.356984171020404</v>
      </c>
      <c r="O77">
        <v>0.69553360117709406</v>
      </c>
      <c r="P77">
        <v>10.49323085079137</v>
      </c>
      <c r="Q77">
        <v>26.652806361010079</v>
      </c>
      <c r="R77">
        <v>315.48910976816597</v>
      </c>
      <c r="S77">
        <v>758.20502227389079</v>
      </c>
      <c r="T77">
        <v>2009.2433090258105</v>
      </c>
      <c r="U77">
        <v>54.3</v>
      </c>
      <c r="V77">
        <v>0.22500000000000001</v>
      </c>
      <c r="W77">
        <v>0</v>
      </c>
      <c r="Y77" s="4">
        <f t="shared" si="2"/>
        <v>27.674483312997012</v>
      </c>
      <c r="Z77" s="4" t="str">
        <f t="shared" si="3"/>
        <v>FDF</v>
      </c>
      <c r="AA77" s="4" t="str">
        <f t="shared" si="4"/>
        <v>KSPA_FDF</v>
      </c>
    </row>
    <row r="78" spans="1:27" x14ac:dyDescent="0.25">
      <c r="A78" t="s">
        <v>51</v>
      </c>
      <c r="B78" t="s">
        <v>52</v>
      </c>
      <c r="C78">
        <v>3</v>
      </c>
      <c r="D78">
        <v>1</v>
      </c>
      <c r="E78">
        <v>3</v>
      </c>
      <c r="F78">
        <v>1548.9065129999999</v>
      </c>
      <c r="G78">
        <v>4104.6022599999997</v>
      </c>
      <c r="H78">
        <v>644.50000005929996</v>
      </c>
      <c r="I78">
        <v>0.64450000005929997</v>
      </c>
      <c r="J78">
        <v>6.445000000593E-4</v>
      </c>
      <c r="K78">
        <v>1.4208775901307338</v>
      </c>
      <c r="L78">
        <v>1.24E-2</v>
      </c>
      <c r="M78">
        <v>3.2</v>
      </c>
      <c r="N78">
        <v>29.763766337987356</v>
      </c>
      <c r="O78">
        <v>4.366930968595243E-2</v>
      </c>
      <c r="P78">
        <v>3.9467108917405</v>
      </c>
      <c r="Q78">
        <v>10.02464566502087</v>
      </c>
      <c r="R78">
        <v>19.808089233497125</v>
      </c>
      <c r="S78">
        <v>47.604155812297819</v>
      </c>
      <c r="T78">
        <v>126.15101290258922</v>
      </c>
      <c r="U78">
        <v>20.9</v>
      </c>
      <c r="V78">
        <v>0.19500000000000001</v>
      </c>
      <c r="W78">
        <v>-0.35</v>
      </c>
      <c r="Y78" s="4">
        <f t="shared" si="2"/>
        <v>1.7375516871488703</v>
      </c>
      <c r="Z78" s="4" t="str">
        <f t="shared" si="3"/>
        <v>FLA</v>
      </c>
      <c r="AA78" s="4" t="str">
        <f t="shared" si="4"/>
        <v>KSPA_FLA</v>
      </c>
    </row>
    <row r="79" spans="1:27" x14ac:dyDescent="0.25">
      <c r="A79" t="s">
        <v>53</v>
      </c>
      <c r="B79" t="s">
        <v>54</v>
      </c>
      <c r="C79">
        <v>3</v>
      </c>
      <c r="D79">
        <v>2</v>
      </c>
      <c r="E79">
        <v>6</v>
      </c>
      <c r="F79">
        <v>1548.9065129999999</v>
      </c>
      <c r="G79">
        <v>4104.6022599999997</v>
      </c>
      <c r="H79">
        <v>644.50000009999997</v>
      </c>
      <c r="I79">
        <v>0.64449999999999996</v>
      </c>
      <c r="J79">
        <v>6.445E-4</v>
      </c>
      <c r="K79">
        <v>1.4208775899999999</v>
      </c>
      <c r="L79">
        <v>1.2E-2</v>
      </c>
      <c r="M79">
        <v>2.95</v>
      </c>
      <c r="N79">
        <v>40.123975620000003</v>
      </c>
      <c r="O79">
        <v>0.40482448204776578</v>
      </c>
      <c r="P79">
        <v>10.321105296418812</v>
      </c>
      <c r="Q79">
        <v>26.215607452903786</v>
      </c>
      <c r="R79">
        <v>183.62551462282198</v>
      </c>
      <c r="S79">
        <v>441.30140500558036</v>
      </c>
      <c r="T79">
        <v>1169.448723264788</v>
      </c>
      <c r="U79">
        <v>41</v>
      </c>
      <c r="V79">
        <v>0.17</v>
      </c>
      <c r="W79">
        <v>0</v>
      </c>
      <c r="Y79" s="4">
        <f t="shared" si="2"/>
        <v>16.107501282703684</v>
      </c>
      <c r="Z79" s="4" t="str">
        <f t="shared" si="3"/>
        <v>FOU</v>
      </c>
      <c r="AA79" s="4" t="str">
        <f t="shared" si="4"/>
        <v>KSPA_FOU</v>
      </c>
    </row>
    <row r="80" spans="1:27" x14ac:dyDescent="0.25">
      <c r="A80" t="s">
        <v>55</v>
      </c>
      <c r="B80" t="s">
        <v>56</v>
      </c>
      <c r="C80">
        <v>3</v>
      </c>
      <c r="D80">
        <v>1</v>
      </c>
      <c r="E80">
        <v>3</v>
      </c>
      <c r="F80">
        <v>455.65969719999998</v>
      </c>
      <c r="G80">
        <v>1207.498198</v>
      </c>
      <c r="H80">
        <v>189.6</v>
      </c>
      <c r="I80">
        <v>0.18959999999999999</v>
      </c>
      <c r="J80">
        <v>1.896E-4</v>
      </c>
      <c r="K80">
        <v>0.417995952</v>
      </c>
      <c r="L80">
        <v>1.2999999999999999E-2</v>
      </c>
      <c r="M80">
        <v>3</v>
      </c>
      <c r="N80">
        <v>24.432336070000002</v>
      </c>
      <c r="O80">
        <v>1.4572956392570955</v>
      </c>
      <c r="P80">
        <v>14.585561072478503</v>
      </c>
      <c r="Q80">
        <v>37.047325124095401</v>
      </c>
      <c r="R80">
        <v>661.0189689184964</v>
      </c>
      <c r="S80">
        <v>1588.6060296046535</v>
      </c>
      <c r="T80">
        <v>4209.8059784523311</v>
      </c>
      <c r="U80">
        <v>152</v>
      </c>
      <c r="V80">
        <v>9.6000000000000002E-2</v>
      </c>
      <c r="W80">
        <v>0.09</v>
      </c>
      <c r="Y80" s="4">
        <f t="shared" si="2"/>
        <v>57.984120080569845</v>
      </c>
      <c r="Z80" s="4" t="str">
        <f t="shared" si="3"/>
        <v>GOO</v>
      </c>
      <c r="AA80" s="4" t="str">
        <f t="shared" si="4"/>
        <v>KSPA_GOO</v>
      </c>
    </row>
    <row r="81" spans="1:27" x14ac:dyDescent="0.25">
      <c r="A81" t="s">
        <v>57</v>
      </c>
      <c r="B81" t="s">
        <v>58</v>
      </c>
      <c r="C81">
        <v>3</v>
      </c>
      <c r="D81">
        <v>2</v>
      </c>
      <c r="E81">
        <v>6</v>
      </c>
      <c r="F81">
        <v>3981.7351600000002</v>
      </c>
      <c r="G81">
        <v>10551.598169999999</v>
      </c>
      <c r="H81">
        <v>1656.8</v>
      </c>
      <c r="I81">
        <v>1.6568000000000001</v>
      </c>
      <c r="J81">
        <v>1.6567999999999999E-3</v>
      </c>
      <c r="K81">
        <v>3.652614416</v>
      </c>
      <c r="L81">
        <v>4.0000000000000001E-3</v>
      </c>
      <c r="M81">
        <v>3.1</v>
      </c>
      <c r="N81">
        <v>51.975182889999999</v>
      </c>
      <c r="O81">
        <v>3.9067424584819719</v>
      </c>
      <c r="P81">
        <v>26.097110710709384</v>
      </c>
      <c r="Q81">
        <v>66.286661205201838</v>
      </c>
      <c r="R81">
        <v>1772.0706781585814</v>
      </c>
      <c r="S81">
        <v>4258.7615432794546</v>
      </c>
      <c r="T81">
        <v>11285.718089690554</v>
      </c>
      <c r="U81">
        <v>72.900000000000006</v>
      </c>
      <c r="V81">
        <v>0.4</v>
      </c>
      <c r="W81">
        <v>0</v>
      </c>
      <c r="Y81" s="4">
        <f t="shared" si="2"/>
        <v>155.44479632970007</v>
      </c>
      <c r="Z81" s="4" t="str">
        <f t="shared" si="3"/>
        <v>HAD</v>
      </c>
      <c r="AA81" s="4" t="str">
        <f t="shared" si="4"/>
        <v>KSPA_HAD</v>
      </c>
    </row>
    <row r="82" spans="1:27" x14ac:dyDescent="0.25">
      <c r="A82" t="s">
        <v>59</v>
      </c>
      <c r="B82" t="s">
        <v>60</v>
      </c>
      <c r="C82">
        <v>3</v>
      </c>
      <c r="D82">
        <v>2</v>
      </c>
      <c r="E82">
        <v>6</v>
      </c>
      <c r="F82">
        <v>1548.9065129999999</v>
      </c>
      <c r="G82">
        <v>4104.6022599999997</v>
      </c>
      <c r="H82">
        <v>644.50000009999997</v>
      </c>
      <c r="I82">
        <v>0.64449999999999996</v>
      </c>
      <c r="J82">
        <v>6.445E-4</v>
      </c>
      <c r="K82">
        <v>1.4208775899999999</v>
      </c>
      <c r="L82">
        <v>1.6799999999999999E-2</v>
      </c>
      <c r="M82">
        <v>3.1</v>
      </c>
      <c r="N82">
        <v>30.1079939</v>
      </c>
      <c r="O82">
        <v>38.073451818461308</v>
      </c>
      <c r="P82">
        <v>34.238475686296084</v>
      </c>
      <c r="Q82">
        <v>86.965728243192046</v>
      </c>
      <c r="R82">
        <v>17269.847782593512</v>
      </c>
      <c r="S82">
        <v>41504.080227333594</v>
      </c>
      <c r="T82">
        <v>109985.81260243402</v>
      </c>
      <c r="U82">
        <v>263.2</v>
      </c>
      <c r="V82">
        <v>7.0000000000000007E-2</v>
      </c>
      <c r="W82">
        <v>0.27</v>
      </c>
      <c r="Y82" s="4">
        <f t="shared" si="2"/>
        <v>1514.8989282976761</v>
      </c>
      <c r="Z82" s="4" t="str">
        <f t="shared" si="3"/>
        <v>HAL</v>
      </c>
      <c r="AA82" s="4" t="str">
        <f t="shared" si="4"/>
        <v>KSPA_HAL</v>
      </c>
    </row>
    <row r="83" spans="1:27" x14ac:dyDescent="0.25">
      <c r="A83" t="s">
        <v>61</v>
      </c>
      <c r="B83" t="s">
        <v>62</v>
      </c>
      <c r="C83">
        <v>3</v>
      </c>
      <c r="D83">
        <v>1</v>
      </c>
      <c r="E83">
        <v>3</v>
      </c>
      <c r="F83">
        <v>91.492429720000004</v>
      </c>
      <c r="G83">
        <v>242.45493880000001</v>
      </c>
      <c r="H83">
        <v>38.070000010000001</v>
      </c>
      <c r="I83">
        <v>3.807E-2</v>
      </c>
      <c r="J83">
        <v>3.8099999999999998E-5</v>
      </c>
      <c r="K83">
        <v>8.3929882999999997E-2</v>
      </c>
      <c r="L83">
        <v>1.2500000000000001E-2</v>
      </c>
      <c r="M83">
        <v>3</v>
      </c>
      <c r="N83">
        <v>14.495202539999999</v>
      </c>
      <c r="O83">
        <v>0.16925822579919275</v>
      </c>
      <c r="P83">
        <v>7.2099949321631094</v>
      </c>
      <c r="Q83">
        <v>18.313387127694298</v>
      </c>
      <c r="R83">
        <v>76.774331086170292</v>
      </c>
      <c r="S83">
        <v>184.5093272919257</v>
      </c>
      <c r="T83">
        <v>488.94971732360307</v>
      </c>
      <c r="U83">
        <v>33.700000000000003</v>
      </c>
      <c r="V83">
        <v>0.32</v>
      </c>
      <c r="W83">
        <v>0.55000000000000004</v>
      </c>
      <c r="Y83" s="4">
        <f t="shared" si="2"/>
        <v>6.7345904461552877</v>
      </c>
      <c r="Z83" s="4" t="str">
        <f t="shared" si="3"/>
        <v>HER</v>
      </c>
      <c r="AA83" s="4" t="str">
        <f t="shared" si="4"/>
        <v>KSPA_HER</v>
      </c>
    </row>
    <row r="84" spans="1:27" x14ac:dyDescent="0.25">
      <c r="A84" t="s">
        <v>63</v>
      </c>
      <c r="B84" t="s">
        <v>64</v>
      </c>
      <c r="C84">
        <v>3</v>
      </c>
      <c r="D84">
        <v>2</v>
      </c>
      <c r="E84">
        <v>6</v>
      </c>
      <c r="F84">
        <v>732.42009129999997</v>
      </c>
      <c r="G84">
        <v>1940.9132420000001</v>
      </c>
      <c r="H84">
        <v>304.76</v>
      </c>
      <c r="I84">
        <v>0.30475999999999998</v>
      </c>
      <c r="J84">
        <v>3.0476E-4</v>
      </c>
      <c r="K84">
        <v>0.67187999099999995</v>
      </c>
      <c r="L84">
        <v>1.2E-2</v>
      </c>
      <c r="M84">
        <v>3.1</v>
      </c>
      <c r="N84">
        <v>26.35698417</v>
      </c>
      <c r="O84">
        <v>2.4308079206819979</v>
      </c>
      <c r="P84">
        <v>15.711224800594193</v>
      </c>
      <c r="Q84">
        <v>39.906510993509251</v>
      </c>
      <c r="R84">
        <v>1102.5972370213451</v>
      </c>
      <c r="S84">
        <v>2649.8371473716534</v>
      </c>
      <c r="T84">
        <v>7022.0684405348811</v>
      </c>
      <c r="U84">
        <v>42.5</v>
      </c>
      <c r="V84">
        <v>0.47</v>
      </c>
      <c r="W84">
        <v>0.05</v>
      </c>
      <c r="Y84" s="4">
        <f t="shared" si="2"/>
        <v>96.719055879065351</v>
      </c>
      <c r="Z84" s="4" t="str">
        <f t="shared" si="3"/>
        <v>INV</v>
      </c>
      <c r="AA84" s="4" t="str">
        <f t="shared" si="4"/>
        <v>KSPA_INV</v>
      </c>
    </row>
    <row r="85" spans="1:27" x14ac:dyDescent="0.25">
      <c r="A85" t="s">
        <v>65</v>
      </c>
      <c r="B85" t="s">
        <v>66</v>
      </c>
      <c r="C85">
        <v>3</v>
      </c>
      <c r="D85">
        <v>3</v>
      </c>
      <c r="E85">
        <v>9</v>
      </c>
      <c r="F85">
        <v>1800</v>
      </c>
      <c r="G85">
        <v>4770</v>
      </c>
      <c r="H85">
        <v>748.98</v>
      </c>
      <c r="I85">
        <v>0.74897999999999998</v>
      </c>
      <c r="J85">
        <v>7.4898E-4</v>
      </c>
      <c r="K85">
        <v>1.6512162880000001</v>
      </c>
      <c r="L85">
        <v>1.2699999999999999E-2</v>
      </c>
      <c r="M85">
        <v>3.1</v>
      </c>
      <c r="N85">
        <v>34.587938440000002</v>
      </c>
      <c r="O85">
        <v>4.8091322899113846</v>
      </c>
      <c r="P85">
        <v>19.224415369699678</v>
      </c>
      <c r="Q85">
        <v>48.830015039037185</v>
      </c>
      <c r="R85">
        <v>2181.3883072417852</v>
      </c>
      <c r="S85">
        <v>5242.4616852722547</v>
      </c>
      <c r="T85">
        <v>13892.523465971475</v>
      </c>
      <c r="U85">
        <v>58.5</v>
      </c>
      <c r="V85">
        <v>0.2</v>
      </c>
      <c r="W85">
        <v>0</v>
      </c>
      <c r="Y85" s="4">
        <f t="shared" si="2"/>
        <v>191.34985151243731</v>
      </c>
      <c r="Z85" s="4" t="str">
        <f t="shared" si="3"/>
        <v>LSK</v>
      </c>
      <c r="AA85" s="4" t="str">
        <f t="shared" si="4"/>
        <v>KSPA_LSK</v>
      </c>
    </row>
    <row r="86" spans="1:27" x14ac:dyDescent="0.25">
      <c r="A86" t="s">
        <v>67</v>
      </c>
      <c r="B86" t="s">
        <v>68</v>
      </c>
      <c r="C86">
        <v>3</v>
      </c>
      <c r="D86">
        <v>1</v>
      </c>
      <c r="E86">
        <v>3</v>
      </c>
      <c r="F86">
        <v>60.65</v>
      </c>
      <c r="G86">
        <v>160.72999999999999</v>
      </c>
      <c r="H86">
        <v>25.236464999999999</v>
      </c>
      <c r="I86">
        <v>2.5236465E-2</v>
      </c>
      <c r="J86">
        <v>2.5199999999999999E-5</v>
      </c>
      <c r="K86">
        <v>5.5636814999999999E-2</v>
      </c>
      <c r="L86">
        <v>1.29E-2</v>
      </c>
      <c r="M86">
        <v>3.05</v>
      </c>
      <c r="N86">
        <v>11.99942031</v>
      </c>
      <c r="O86">
        <v>0.22419470726138793</v>
      </c>
      <c r="P86">
        <v>7.4605949937208234</v>
      </c>
      <c r="Q86">
        <v>18.949911284050891</v>
      </c>
      <c r="R86">
        <v>101.6931295467645</v>
      </c>
      <c r="S86">
        <v>244.3958893217123</v>
      </c>
      <c r="T86">
        <v>647.64910670253755</v>
      </c>
      <c r="U86">
        <v>42</v>
      </c>
      <c r="V86">
        <v>0.2</v>
      </c>
      <c r="W86">
        <v>0</v>
      </c>
      <c r="Y86" s="4">
        <f t="shared" si="2"/>
        <v>8.9204499602424985</v>
      </c>
      <c r="Z86" s="4" t="str">
        <f t="shared" si="3"/>
        <v>MAK</v>
      </c>
      <c r="AA86" s="4" t="str">
        <f t="shared" si="4"/>
        <v>KSPA_MAK</v>
      </c>
    </row>
    <row r="87" spans="1:27" x14ac:dyDescent="0.25">
      <c r="A87" t="s">
        <v>69</v>
      </c>
      <c r="B87" t="s">
        <v>70</v>
      </c>
      <c r="C87">
        <v>3</v>
      </c>
      <c r="D87">
        <v>1</v>
      </c>
      <c r="E87">
        <v>3</v>
      </c>
      <c r="F87">
        <v>192.26147560000001</v>
      </c>
      <c r="G87">
        <v>509.49291040000003</v>
      </c>
      <c r="H87">
        <v>80</v>
      </c>
      <c r="I87">
        <v>0.08</v>
      </c>
      <c r="J87">
        <v>8.0000000000000007E-5</v>
      </c>
      <c r="K87">
        <v>0.17636959999999999</v>
      </c>
      <c r="L87">
        <v>0.01</v>
      </c>
      <c r="M87">
        <v>2.9</v>
      </c>
      <c r="N87">
        <v>22.176504810000001</v>
      </c>
      <c r="O87">
        <v>0.12072496109088769</v>
      </c>
      <c r="P87">
        <v>7.6611077402191885</v>
      </c>
      <c r="Q87">
        <v>19.459213660156738</v>
      </c>
      <c r="R87">
        <v>54.759986342720147</v>
      </c>
      <c r="S87">
        <v>131.6029472307622</v>
      </c>
      <c r="T87">
        <v>348.74781016151979</v>
      </c>
      <c r="U87">
        <v>37.700000000000003</v>
      </c>
      <c r="V87">
        <v>0.24199999999999999</v>
      </c>
      <c r="W87">
        <v>0</v>
      </c>
      <c r="Y87" s="4">
        <f t="shared" si="2"/>
        <v>4.8035075739228201</v>
      </c>
      <c r="Z87" s="4" t="str">
        <f t="shared" si="3"/>
        <v>MEN</v>
      </c>
      <c r="AA87" s="4" t="str">
        <f t="shared" si="4"/>
        <v>KSPA_MEN</v>
      </c>
    </row>
    <row r="88" spans="1:27" x14ac:dyDescent="0.25">
      <c r="A88" t="s">
        <v>71</v>
      </c>
      <c r="B88" t="s">
        <v>72</v>
      </c>
      <c r="C88">
        <v>3</v>
      </c>
      <c r="D88">
        <v>1</v>
      </c>
      <c r="E88">
        <v>3</v>
      </c>
      <c r="F88">
        <v>5.0708964190000003</v>
      </c>
      <c r="G88">
        <v>13.43787551</v>
      </c>
      <c r="H88">
        <v>2.1099999999459</v>
      </c>
      <c r="I88">
        <v>2.1099999999458999E-3</v>
      </c>
      <c r="J88">
        <v>2.1099999999459001E-6</v>
      </c>
      <c r="K88">
        <v>4.6517481998807298E-3</v>
      </c>
      <c r="L88">
        <v>1.0999999999999999E-2</v>
      </c>
      <c r="M88">
        <v>3.01</v>
      </c>
      <c r="N88">
        <v>5.7337022923298262</v>
      </c>
      <c r="O88">
        <v>4.2265075202375779E-3</v>
      </c>
      <c r="P88">
        <v>2.1866000103244061</v>
      </c>
      <c r="Q88">
        <v>5.5539640262239915</v>
      </c>
      <c r="R88">
        <v>1.9171138428561738</v>
      </c>
      <c r="S88">
        <v>4.6073392041724919</v>
      </c>
      <c r="T88">
        <v>12.209448891057104</v>
      </c>
      <c r="U88">
        <v>9</v>
      </c>
      <c r="V88">
        <v>0.32</v>
      </c>
      <c r="W88">
        <v>0</v>
      </c>
      <c r="Y88" s="4">
        <f t="shared" si="2"/>
        <v>0.16816788095229598</v>
      </c>
      <c r="Z88" s="4" t="str">
        <f t="shared" si="3"/>
        <v>MPF</v>
      </c>
      <c r="AA88" s="4" t="str">
        <f t="shared" si="4"/>
        <v>KSPA_MPF</v>
      </c>
    </row>
    <row r="89" spans="1:27" x14ac:dyDescent="0.25">
      <c r="A89" t="s">
        <v>73</v>
      </c>
      <c r="B89" t="s">
        <v>74</v>
      </c>
      <c r="C89">
        <v>3</v>
      </c>
      <c r="D89">
        <v>2</v>
      </c>
      <c r="E89">
        <v>6</v>
      </c>
      <c r="F89">
        <v>732.42009129999997</v>
      </c>
      <c r="G89">
        <v>1940.9132420000001</v>
      </c>
      <c r="H89">
        <v>304.76</v>
      </c>
      <c r="I89">
        <v>0.30475999999999998</v>
      </c>
      <c r="J89">
        <v>3.0476E-4</v>
      </c>
      <c r="K89">
        <v>0.67187999099999995</v>
      </c>
      <c r="L89">
        <v>1.4E-2</v>
      </c>
      <c r="M89">
        <v>2.8</v>
      </c>
      <c r="N89">
        <v>35.418076749999997</v>
      </c>
      <c r="O89">
        <v>0.98383309943816588</v>
      </c>
      <c r="P89">
        <v>15.978820944146554</v>
      </c>
      <c r="Q89">
        <v>40.586205198132248</v>
      </c>
      <c r="R89">
        <v>446.2597179732407</v>
      </c>
      <c r="S89">
        <v>1072.4818985177617</v>
      </c>
      <c r="T89">
        <v>2842.0770310720682</v>
      </c>
      <c r="U89">
        <v>43</v>
      </c>
      <c r="V89">
        <v>0.48</v>
      </c>
      <c r="W89">
        <v>0</v>
      </c>
      <c r="Y89" s="4">
        <f t="shared" si="2"/>
        <v>39.145589295898297</v>
      </c>
      <c r="Z89" s="4" t="str">
        <f t="shared" si="3"/>
        <v>OHK</v>
      </c>
      <c r="AA89" s="4" t="str">
        <f t="shared" si="4"/>
        <v>KSPA_OHK</v>
      </c>
    </row>
    <row r="90" spans="1:27" x14ac:dyDescent="0.25">
      <c r="A90" t="s">
        <v>75</v>
      </c>
      <c r="B90" t="s">
        <v>76</v>
      </c>
      <c r="C90">
        <v>3</v>
      </c>
      <c r="D90">
        <v>2</v>
      </c>
      <c r="E90">
        <v>6</v>
      </c>
      <c r="F90">
        <v>732.42009129999997</v>
      </c>
      <c r="G90">
        <v>1940.9132420000001</v>
      </c>
      <c r="H90">
        <v>304.76</v>
      </c>
      <c r="I90">
        <v>0.30475999999999998</v>
      </c>
      <c r="J90">
        <v>3.0476E-4</v>
      </c>
      <c r="K90">
        <v>0.67187999099999995</v>
      </c>
      <c r="L90">
        <v>2.5000000000000001E-3</v>
      </c>
      <c r="M90">
        <v>3.1</v>
      </c>
      <c r="N90">
        <v>43.717060600000003</v>
      </c>
      <c r="O90">
        <v>1.5967002065243137</v>
      </c>
      <c r="P90">
        <v>22.755454741965806</v>
      </c>
      <c r="Q90">
        <v>57.798855044593147</v>
      </c>
      <c r="R90">
        <v>724.25189217385025</v>
      </c>
      <c r="S90">
        <v>1740.5717187547471</v>
      </c>
      <c r="T90">
        <v>4612.5150547000794</v>
      </c>
      <c r="U90">
        <v>122</v>
      </c>
      <c r="V90">
        <v>0.107</v>
      </c>
      <c r="W90">
        <v>0</v>
      </c>
      <c r="Y90" s="4">
        <f t="shared" si="2"/>
        <v>63.530867734548266</v>
      </c>
      <c r="Z90" s="4" t="str">
        <f t="shared" si="3"/>
        <v>OPT</v>
      </c>
      <c r="AA90" s="4" t="str">
        <f t="shared" si="4"/>
        <v>KSPA_OPT</v>
      </c>
    </row>
    <row r="91" spans="1:27" x14ac:dyDescent="0.25">
      <c r="A91" t="s">
        <v>77</v>
      </c>
      <c r="B91" t="s">
        <v>78</v>
      </c>
      <c r="C91">
        <v>3</v>
      </c>
      <c r="D91">
        <v>3</v>
      </c>
      <c r="E91">
        <v>9</v>
      </c>
      <c r="F91">
        <v>123834.1152</v>
      </c>
      <c r="G91">
        <v>328160.40529999998</v>
      </c>
      <c r="H91">
        <v>51527.375330000003</v>
      </c>
      <c r="I91">
        <v>51.527375329999998</v>
      </c>
      <c r="J91">
        <v>5.1527375E-2</v>
      </c>
      <c r="K91">
        <v>113.5982822</v>
      </c>
      <c r="L91">
        <v>3.5000000000000003E-2</v>
      </c>
      <c r="M91">
        <v>2.9</v>
      </c>
      <c r="N91">
        <v>133.93256890000001</v>
      </c>
      <c r="O91">
        <v>396.44039314893666</v>
      </c>
      <c r="P91">
        <v>81.138506834037244</v>
      </c>
      <c r="Q91">
        <v>206.09180735845459</v>
      </c>
      <c r="R91">
        <v>179822.55134623504</v>
      </c>
      <c r="S91">
        <v>432161.86336514069</v>
      </c>
      <c r="T91">
        <v>1145228.9379176227</v>
      </c>
      <c r="U91">
        <v>208.40700000000004</v>
      </c>
      <c r="V91">
        <v>0.5</v>
      </c>
      <c r="W91">
        <v>0</v>
      </c>
      <c r="Y91" s="4">
        <f t="shared" si="2"/>
        <v>15773.908012827635</v>
      </c>
      <c r="Z91" s="4" t="str">
        <f t="shared" si="3"/>
        <v>PIN</v>
      </c>
      <c r="AA91" s="4" t="str">
        <f t="shared" si="4"/>
        <v>KSPA_PIN</v>
      </c>
    </row>
    <row r="92" spans="1:27" x14ac:dyDescent="0.25">
      <c r="A92" t="s">
        <v>79</v>
      </c>
      <c r="B92" t="s">
        <v>80</v>
      </c>
      <c r="C92">
        <v>3</v>
      </c>
      <c r="D92">
        <v>2</v>
      </c>
      <c r="E92">
        <v>6</v>
      </c>
      <c r="F92">
        <v>1548.9065129999999</v>
      </c>
      <c r="G92">
        <v>4104.6022599999997</v>
      </c>
      <c r="H92">
        <v>644.50000009999997</v>
      </c>
      <c r="I92">
        <v>0.64449999999999996</v>
      </c>
      <c r="J92">
        <v>6.445E-4</v>
      </c>
      <c r="K92">
        <v>1.4208775899999999</v>
      </c>
      <c r="L92">
        <v>3.3999999999999998E-3</v>
      </c>
      <c r="M92">
        <v>3.2850000000000001</v>
      </c>
      <c r="N92">
        <v>29.76376634</v>
      </c>
      <c r="O92">
        <v>1.1902389469204189</v>
      </c>
      <c r="P92">
        <v>15.078883103792364</v>
      </c>
      <c r="Q92">
        <v>38.300363083632604</v>
      </c>
      <c r="R92">
        <v>539.88394685724472</v>
      </c>
      <c r="S92">
        <v>1297.4860534901338</v>
      </c>
      <c r="T92">
        <v>3438.3380417488547</v>
      </c>
      <c r="U92">
        <v>59.9</v>
      </c>
      <c r="V92">
        <v>0.17</v>
      </c>
      <c r="W92">
        <v>0</v>
      </c>
      <c r="Y92" s="4">
        <f t="shared" si="2"/>
        <v>47.358240952389892</v>
      </c>
      <c r="Z92" s="4" t="str">
        <f t="shared" si="3"/>
        <v>PLA</v>
      </c>
      <c r="AA92" s="4" t="str">
        <f t="shared" si="4"/>
        <v>KSPA_PLA</v>
      </c>
    </row>
    <row r="93" spans="1:27" x14ac:dyDescent="0.25">
      <c r="A93" t="s">
        <v>81</v>
      </c>
      <c r="B93" t="s">
        <v>82</v>
      </c>
      <c r="C93">
        <v>3</v>
      </c>
      <c r="D93">
        <v>2</v>
      </c>
      <c r="E93">
        <v>6</v>
      </c>
      <c r="F93">
        <v>732.42009129999997</v>
      </c>
      <c r="G93">
        <v>1940.9132420000001</v>
      </c>
      <c r="H93">
        <v>304.76</v>
      </c>
      <c r="I93">
        <v>0.30475999999999998</v>
      </c>
      <c r="J93">
        <v>3.0476E-4</v>
      </c>
      <c r="K93">
        <v>0.67187999099999995</v>
      </c>
      <c r="L93">
        <v>1.4999999999999999E-2</v>
      </c>
      <c r="M93">
        <v>3</v>
      </c>
      <c r="N93">
        <v>27.286986030000001</v>
      </c>
      <c r="O93">
        <v>10.296053813818979</v>
      </c>
      <c r="P93">
        <v>26.683833205375471</v>
      </c>
      <c r="Q93">
        <v>67.776936341653695</v>
      </c>
      <c r="R93">
        <v>4670.2170051160647</v>
      </c>
      <c r="S93">
        <v>11223.785160096286</v>
      </c>
      <c r="T93">
        <v>29743.030674255155</v>
      </c>
      <c r="U93">
        <v>106</v>
      </c>
      <c r="V93">
        <v>0.17</v>
      </c>
      <c r="W93">
        <v>0</v>
      </c>
      <c r="Y93" s="4">
        <f t="shared" si="2"/>
        <v>409.66815834351439</v>
      </c>
      <c r="Z93" s="4" t="str">
        <f t="shared" si="3"/>
        <v>POL</v>
      </c>
      <c r="AA93" s="4" t="str">
        <f t="shared" si="4"/>
        <v>KSPA_POL</v>
      </c>
    </row>
    <row r="94" spans="1:27" x14ac:dyDescent="0.25">
      <c r="A94" t="s">
        <v>83</v>
      </c>
      <c r="B94" t="s">
        <v>84</v>
      </c>
      <c r="C94">
        <v>3</v>
      </c>
      <c r="D94">
        <v>7</v>
      </c>
      <c r="E94">
        <v>21</v>
      </c>
      <c r="F94">
        <v>20847.385399999999</v>
      </c>
      <c r="G94">
        <v>55245.121400000004</v>
      </c>
      <c r="H94">
        <v>8674.5970649999999</v>
      </c>
      <c r="I94">
        <v>8.6745970650000004</v>
      </c>
      <c r="J94">
        <v>8.6745969999999992E-3</v>
      </c>
      <c r="K94">
        <v>19.124190179999999</v>
      </c>
      <c r="L94">
        <v>5.4000000000000003E-3</v>
      </c>
      <c r="M94">
        <v>3</v>
      </c>
      <c r="N94">
        <v>117.11661650000001</v>
      </c>
      <c r="O94">
        <v>198.55721021722917</v>
      </c>
      <c r="P94">
        <v>100.58942753390535</v>
      </c>
      <c r="Q94">
        <v>255.49714593611961</v>
      </c>
      <c r="R94">
        <v>90064.142671856898</v>
      </c>
      <c r="S94">
        <v>216448.31211693559</v>
      </c>
      <c r="T94">
        <v>573588.0271098793</v>
      </c>
      <c r="U94">
        <v>280</v>
      </c>
      <c r="V94">
        <v>0.11600000000000001</v>
      </c>
      <c r="W94">
        <v>0</v>
      </c>
      <c r="Y94" s="4">
        <f t="shared" si="2"/>
        <v>7900.3633922681493</v>
      </c>
      <c r="Z94" s="4" t="str">
        <f t="shared" si="3"/>
        <v>POR</v>
      </c>
      <c r="AA94" s="4" t="str">
        <f t="shared" si="4"/>
        <v>KSPA_POR</v>
      </c>
    </row>
    <row r="95" spans="1:27" x14ac:dyDescent="0.25">
      <c r="A95" t="s">
        <v>85</v>
      </c>
      <c r="B95" t="s">
        <v>86</v>
      </c>
      <c r="C95">
        <v>3</v>
      </c>
      <c r="D95">
        <v>7</v>
      </c>
      <c r="E95">
        <v>21</v>
      </c>
      <c r="F95">
        <v>20847.385399999999</v>
      </c>
      <c r="G95">
        <v>55245.121400000004</v>
      </c>
      <c r="H95">
        <v>8674.5970649999999</v>
      </c>
      <c r="I95">
        <v>8.6745970650000004</v>
      </c>
      <c r="J95">
        <v>8.6745969999999992E-3</v>
      </c>
      <c r="K95">
        <v>19.124190179999999</v>
      </c>
      <c r="L95">
        <v>5.2399999999999999E-3</v>
      </c>
      <c r="M95">
        <v>3.141</v>
      </c>
      <c r="N95">
        <v>95.480919940000007</v>
      </c>
      <c r="O95">
        <v>600.93530089230137</v>
      </c>
      <c r="P95">
        <v>112.65762213025943</v>
      </c>
      <c r="Q95">
        <v>286.15036021085893</v>
      </c>
      <c r="R95">
        <v>272579.99151432054</v>
      </c>
      <c r="S95">
        <v>655082.89236798976</v>
      </c>
      <c r="T95">
        <v>1735969.6647751727</v>
      </c>
      <c r="U95">
        <v>309.24444444444441</v>
      </c>
      <c r="V95">
        <v>0.13655555555555554</v>
      </c>
      <c r="W95">
        <v>2</v>
      </c>
      <c r="Y95" s="4">
        <f t="shared" si="2"/>
        <v>23910.525571431626</v>
      </c>
      <c r="Z95" s="4" t="str">
        <f t="shared" si="3"/>
        <v>PSH</v>
      </c>
      <c r="AA95" s="4" t="str">
        <f t="shared" si="4"/>
        <v>KSPA_PSH</v>
      </c>
    </row>
    <row r="96" spans="1:27" x14ac:dyDescent="0.25">
      <c r="A96" t="s">
        <v>87</v>
      </c>
      <c r="B96" t="s">
        <v>88</v>
      </c>
      <c r="C96">
        <v>3</v>
      </c>
      <c r="D96">
        <v>2</v>
      </c>
      <c r="E96">
        <v>6</v>
      </c>
      <c r="F96">
        <v>732.42009129999997</v>
      </c>
      <c r="G96">
        <v>1940.9132420000001</v>
      </c>
      <c r="H96">
        <v>304.76</v>
      </c>
      <c r="I96">
        <v>0.30475999999999998</v>
      </c>
      <c r="J96">
        <v>3.0476E-4</v>
      </c>
      <c r="K96">
        <v>0.67187999099999995</v>
      </c>
      <c r="L96">
        <v>6.0000000000000001E-3</v>
      </c>
      <c r="M96">
        <v>3.1</v>
      </c>
      <c r="N96">
        <v>32.961135609999999</v>
      </c>
      <c r="O96">
        <v>0.106277198462148</v>
      </c>
      <c r="P96">
        <v>7.1586185296892664</v>
      </c>
      <c r="Q96">
        <v>18.182891065410736</v>
      </c>
      <c r="R96">
        <v>48.206583657114606</v>
      </c>
      <c r="S96">
        <v>115.85336134850904</v>
      </c>
      <c r="T96">
        <v>307.01140757354892</v>
      </c>
      <c r="U96">
        <v>40.299999999999997</v>
      </c>
      <c r="V96">
        <v>0.1</v>
      </c>
      <c r="W96">
        <v>0</v>
      </c>
      <c r="Y96" s="4">
        <f t="shared" si="2"/>
        <v>4.2286476892205798</v>
      </c>
      <c r="Z96" s="4" t="str">
        <f t="shared" si="3"/>
        <v>RED</v>
      </c>
      <c r="AA96" s="4" t="str">
        <f t="shared" si="4"/>
        <v>KSPA_RED</v>
      </c>
    </row>
    <row r="97" spans="1:27" x14ac:dyDescent="0.25">
      <c r="A97" t="s">
        <v>89</v>
      </c>
      <c r="B97" t="s">
        <v>90</v>
      </c>
      <c r="C97">
        <v>3</v>
      </c>
      <c r="D97">
        <v>8</v>
      </c>
      <c r="E97">
        <v>24</v>
      </c>
      <c r="F97">
        <v>23420.529180000001</v>
      </c>
      <c r="G97">
        <v>62064.402329999997</v>
      </c>
      <c r="H97">
        <v>9745.2821920000006</v>
      </c>
      <c r="I97">
        <v>9.7452821919999995</v>
      </c>
      <c r="J97">
        <v>9.7452819999999992E-3</v>
      </c>
      <c r="K97">
        <v>21.484644029999998</v>
      </c>
      <c r="L97">
        <v>0.05</v>
      </c>
      <c r="M97">
        <v>3.2</v>
      </c>
      <c r="N97">
        <v>134.1311675</v>
      </c>
      <c r="O97">
        <v>410.61567727717454</v>
      </c>
      <c r="P97">
        <v>44.529207347545793</v>
      </c>
      <c r="Q97">
        <v>113.10418666276631</v>
      </c>
      <c r="R97">
        <v>186252.3597160393</v>
      </c>
      <c r="S97">
        <v>447614.4189282367</v>
      </c>
      <c r="T97">
        <v>1186178.2101598273</v>
      </c>
      <c r="U97">
        <v>114.3</v>
      </c>
      <c r="V97">
        <v>0.19</v>
      </c>
      <c r="W97">
        <v>0</v>
      </c>
      <c r="Y97" s="4">
        <f t="shared" si="2"/>
        <v>16337.926290880639</v>
      </c>
      <c r="Z97" s="4" t="str">
        <f t="shared" si="3"/>
        <v>REP</v>
      </c>
      <c r="AA97" s="4" t="str">
        <f t="shared" si="4"/>
        <v>KSPA_REP</v>
      </c>
    </row>
    <row r="98" spans="1:27" x14ac:dyDescent="0.25">
      <c r="A98" t="s">
        <v>91</v>
      </c>
      <c r="B98" t="s">
        <v>92</v>
      </c>
      <c r="C98">
        <v>3</v>
      </c>
      <c r="D98">
        <v>2</v>
      </c>
      <c r="E98">
        <v>6</v>
      </c>
      <c r="F98">
        <v>732.42009129999997</v>
      </c>
      <c r="G98">
        <v>1940.9132420000001</v>
      </c>
      <c r="H98">
        <v>304.76</v>
      </c>
      <c r="I98">
        <v>0.30475999999999998</v>
      </c>
      <c r="J98">
        <v>3.0476E-4</v>
      </c>
      <c r="K98">
        <v>0.67187999099999995</v>
      </c>
      <c r="L98">
        <v>1.2999999999999999E-2</v>
      </c>
      <c r="M98">
        <v>3</v>
      </c>
      <c r="N98">
        <v>28.620125739999999</v>
      </c>
      <c r="O98">
        <v>1.9676145080457663</v>
      </c>
      <c r="P98">
        <v>16.120824758526972</v>
      </c>
      <c r="Q98">
        <v>40.946894886658512</v>
      </c>
      <c r="R98">
        <v>892.49598935225401</v>
      </c>
      <c r="S98">
        <v>2144.9074485754722</v>
      </c>
      <c r="T98">
        <v>5684.0047387250015</v>
      </c>
      <c r="U98">
        <v>60.2</v>
      </c>
      <c r="V98">
        <v>0.19</v>
      </c>
      <c r="W98">
        <v>0</v>
      </c>
      <c r="Y98" s="4">
        <f t="shared" si="2"/>
        <v>78.289121873004731</v>
      </c>
      <c r="Z98" s="4" t="str">
        <f t="shared" si="3"/>
        <v>RHK</v>
      </c>
      <c r="AA98" s="4" t="str">
        <f t="shared" si="4"/>
        <v>KSPA_RHK</v>
      </c>
    </row>
    <row r="99" spans="1:27" x14ac:dyDescent="0.25">
      <c r="A99" t="s">
        <v>93</v>
      </c>
      <c r="B99" t="s">
        <v>94</v>
      </c>
      <c r="C99">
        <v>3</v>
      </c>
      <c r="D99">
        <v>9</v>
      </c>
      <c r="E99">
        <v>27</v>
      </c>
      <c r="F99">
        <v>1772157205</v>
      </c>
      <c r="G99">
        <v>4696216593</v>
      </c>
      <c r="H99">
        <v>737394613</v>
      </c>
      <c r="I99">
        <v>737394.61300000001</v>
      </c>
      <c r="J99">
        <v>737.39461300000005</v>
      </c>
      <c r="K99">
        <v>1625674.912</v>
      </c>
      <c r="L99">
        <v>1.7000000000000001E-2</v>
      </c>
      <c r="M99">
        <v>3</v>
      </c>
      <c r="N99">
        <v>1544.863059</v>
      </c>
      <c r="O99">
        <v>148700.06890493253</v>
      </c>
      <c r="P99">
        <v>623.2693711166263</v>
      </c>
      <c r="Q99">
        <v>1583.1042026362309</v>
      </c>
      <c r="R99">
        <v>67449296.887868449</v>
      </c>
      <c r="S99">
        <v>162098766.85380542</v>
      </c>
      <c r="T99">
        <v>429561732.16258436</v>
      </c>
      <c r="U99">
        <v>1584.96</v>
      </c>
      <c r="V99">
        <v>0.25</v>
      </c>
      <c r="W99">
        <v>0</v>
      </c>
      <c r="Y99" s="4">
        <f t="shared" si="2"/>
        <v>5916604.990163899</v>
      </c>
      <c r="Z99" s="4" t="str">
        <f t="shared" si="3"/>
        <v>RWH</v>
      </c>
      <c r="AA99" s="4" t="str">
        <f t="shared" si="4"/>
        <v>KSPA_RWH</v>
      </c>
    </row>
    <row r="100" spans="1:27" x14ac:dyDescent="0.25">
      <c r="A100" t="s">
        <v>95</v>
      </c>
      <c r="B100" t="s">
        <v>96</v>
      </c>
      <c r="C100">
        <v>3</v>
      </c>
      <c r="D100">
        <v>2</v>
      </c>
      <c r="E100">
        <v>6</v>
      </c>
      <c r="F100">
        <v>732.42009129999997</v>
      </c>
      <c r="G100">
        <v>1940.9132420000001</v>
      </c>
      <c r="H100">
        <v>304.76</v>
      </c>
      <c r="I100">
        <v>0.30475999999999998</v>
      </c>
      <c r="J100">
        <v>3.0476E-4</v>
      </c>
      <c r="K100">
        <v>0.67187999099999995</v>
      </c>
      <c r="L100">
        <v>0.01</v>
      </c>
      <c r="M100">
        <v>3</v>
      </c>
      <c r="N100">
        <v>28.262336659999999</v>
      </c>
      <c r="O100">
        <v>18.924305423223942</v>
      </c>
      <c r="P100">
        <v>37.416372905488394</v>
      </c>
      <c r="Q100">
        <v>95.03758717994053</v>
      </c>
      <c r="R100">
        <v>8583.9307559688023</v>
      </c>
      <c r="S100">
        <v>20629.489920617165</v>
      </c>
      <c r="T100">
        <v>54668.148289635486</v>
      </c>
      <c r="U100">
        <v>136</v>
      </c>
      <c r="V100">
        <v>0.2</v>
      </c>
      <c r="W100">
        <v>0</v>
      </c>
      <c r="Y100" s="4">
        <f t="shared" si="2"/>
        <v>752.9763821025266</v>
      </c>
      <c r="Z100" s="4" t="str">
        <f t="shared" si="3"/>
        <v>SAL</v>
      </c>
      <c r="AA100" s="4" t="str">
        <f t="shared" si="4"/>
        <v>KSPA_SAL</v>
      </c>
    </row>
    <row r="101" spans="1:27" x14ac:dyDescent="0.25">
      <c r="A101" t="s">
        <v>97</v>
      </c>
      <c r="B101" t="s">
        <v>98</v>
      </c>
      <c r="C101">
        <v>3</v>
      </c>
      <c r="D101">
        <v>2</v>
      </c>
      <c r="E101">
        <v>6</v>
      </c>
      <c r="F101">
        <v>26457.496719999999</v>
      </c>
      <c r="G101">
        <v>70112.366299999994</v>
      </c>
      <c r="H101">
        <v>11008.964389999999</v>
      </c>
      <c r="I101">
        <v>11.008964389999999</v>
      </c>
      <c r="J101">
        <v>1.1008964E-2</v>
      </c>
      <c r="K101">
        <v>24.27058306</v>
      </c>
      <c r="L101">
        <v>6.5000000000000002E-2</v>
      </c>
      <c r="M101">
        <v>3</v>
      </c>
      <c r="N101">
        <v>81.954377719999997</v>
      </c>
      <c r="O101">
        <v>1.8214966888823141</v>
      </c>
      <c r="P101">
        <v>9.1881211345265683</v>
      </c>
      <c r="Q101">
        <v>23.337827681697483</v>
      </c>
      <c r="R101">
        <v>826.21798263751305</v>
      </c>
      <c r="S101">
        <v>1985.6236064347825</v>
      </c>
      <c r="T101">
        <v>5261.9025570521735</v>
      </c>
      <c r="U101">
        <v>23.6</v>
      </c>
      <c r="V101">
        <v>0.75</v>
      </c>
      <c r="W101">
        <v>0</v>
      </c>
      <c r="Y101" s="4">
        <f t="shared" si="2"/>
        <v>72.475261634869554</v>
      </c>
      <c r="Z101" s="4" t="str">
        <f t="shared" si="3"/>
        <v>SB</v>
      </c>
      <c r="AA101" s="4" t="str">
        <f t="shared" si="4"/>
        <v>KSPA_SB</v>
      </c>
    </row>
    <row r="102" spans="1:27" x14ac:dyDescent="0.25">
      <c r="A102" t="s">
        <v>99</v>
      </c>
      <c r="B102" t="s">
        <v>100</v>
      </c>
      <c r="C102">
        <v>3</v>
      </c>
      <c r="D102">
        <v>2</v>
      </c>
      <c r="E102">
        <v>6</v>
      </c>
      <c r="F102">
        <v>732.42009129999997</v>
      </c>
      <c r="G102">
        <v>1940.9132420000001</v>
      </c>
      <c r="H102">
        <v>304.76</v>
      </c>
      <c r="I102">
        <v>0.30475999999999998</v>
      </c>
      <c r="J102">
        <v>3.0476E-4</v>
      </c>
      <c r="K102">
        <v>0.67187999099999995</v>
      </c>
      <c r="L102">
        <v>1.4999999999999999E-2</v>
      </c>
      <c r="M102">
        <v>3.1</v>
      </c>
      <c r="N102">
        <v>24.526434699999999</v>
      </c>
      <c r="O102">
        <v>0.9165685900879792</v>
      </c>
      <c r="P102">
        <v>10.673533282150188</v>
      </c>
      <c r="Q102">
        <v>27.110774536661477</v>
      </c>
      <c r="R102">
        <v>415.7490134753287</v>
      </c>
      <c r="S102">
        <v>999.1564851606073</v>
      </c>
      <c r="T102">
        <v>2647.7646856756091</v>
      </c>
      <c r="U102">
        <v>42.4</v>
      </c>
      <c r="V102">
        <v>0.17</v>
      </c>
      <c r="W102">
        <v>0</v>
      </c>
      <c r="Y102" s="4">
        <f t="shared" si="2"/>
        <v>36.469211708362167</v>
      </c>
      <c r="Z102" s="4" t="str">
        <f t="shared" si="3"/>
        <v>SCU</v>
      </c>
      <c r="AA102" s="4" t="str">
        <f t="shared" si="4"/>
        <v>KSPA_SCU</v>
      </c>
    </row>
    <row r="103" spans="1:27" x14ac:dyDescent="0.25">
      <c r="A103" t="s">
        <v>101</v>
      </c>
      <c r="B103" t="s">
        <v>102</v>
      </c>
      <c r="C103">
        <v>3</v>
      </c>
      <c r="D103">
        <v>2</v>
      </c>
      <c r="E103">
        <v>6</v>
      </c>
      <c r="F103">
        <v>732.42009129999997</v>
      </c>
      <c r="G103">
        <v>1940.9132420000001</v>
      </c>
      <c r="H103">
        <v>304.76</v>
      </c>
      <c r="I103">
        <v>0.30475999999999998</v>
      </c>
      <c r="J103">
        <v>3.0476E-4</v>
      </c>
      <c r="K103">
        <v>0.67187999099999995</v>
      </c>
      <c r="L103">
        <v>1.2E-2</v>
      </c>
      <c r="M103">
        <v>3.1</v>
      </c>
      <c r="N103">
        <v>26.35698417</v>
      </c>
      <c r="O103">
        <v>6.4555947235383959</v>
      </c>
      <c r="P103">
        <v>21.530004077517109</v>
      </c>
      <c r="Q103">
        <v>54.686210356893454</v>
      </c>
      <c r="R103">
        <v>2928.2119927871449</v>
      </c>
      <c r="S103">
        <v>7037.2794827857379</v>
      </c>
      <c r="T103">
        <v>18648.790629382205</v>
      </c>
      <c r="U103">
        <v>150.03333333333333</v>
      </c>
      <c r="V103">
        <v>0.11333333333333334</v>
      </c>
      <c r="W103">
        <v>2</v>
      </c>
      <c r="Y103" s="4">
        <f t="shared" si="2"/>
        <v>256.86070112167943</v>
      </c>
      <c r="Z103" s="4" t="str">
        <f t="shared" si="3"/>
        <v>SDF</v>
      </c>
      <c r="AA103" s="4" t="str">
        <f t="shared" si="4"/>
        <v>KSPA_SDF</v>
      </c>
    </row>
    <row r="104" spans="1:27" x14ac:dyDescent="0.25">
      <c r="A104" t="s">
        <v>103</v>
      </c>
      <c r="B104" t="s">
        <v>104</v>
      </c>
      <c r="C104">
        <v>3</v>
      </c>
      <c r="D104">
        <v>1</v>
      </c>
      <c r="E104">
        <v>3</v>
      </c>
      <c r="F104">
        <v>233.91011779999999</v>
      </c>
      <c r="G104">
        <v>619.86181209999995</v>
      </c>
      <c r="H104">
        <v>97.33000002</v>
      </c>
      <c r="I104">
        <v>9.733E-2</v>
      </c>
      <c r="J104">
        <v>9.7299999999999993E-5</v>
      </c>
      <c r="K104">
        <v>0.214575665</v>
      </c>
      <c r="L104">
        <v>1.2999999999999999E-2</v>
      </c>
      <c r="M104">
        <v>2.8</v>
      </c>
      <c r="N104">
        <v>24.192445729999999</v>
      </c>
      <c r="O104">
        <v>0.30061431036597802</v>
      </c>
      <c r="P104">
        <v>10.743411139661841</v>
      </c>
      <c r="Q104">
        <v>27.288264294741079</v>
      </c>
      <c r="R104">
        <v>136.35651965689235</v>
      </c>
      <c r="S104">
        <v>327.70132097306498</v>
      </c>
      <c r="T104">
        <v>868.40850057862212</v>
      </c>
      <c r="U104">
        <v>65.400000000000006</v>
      </c>
      <c r="V104">
        <v>0.18</v>
      </c>
      <c r="W104">
        <v>0</v>
      </c>
      <c r="Y104" s="4">
        <f t="shared" si="2"/>
        <v>11.961098215516872</v>
      </c>
      <c r="Z104" s="4" t="str">
        <f t="shared" si="3"/>
        <v>SHK</v>
      </c>
      <c r="AA104" s="4" t="str">
        <f t="shared" si="4"/>
        <v>KSPA_SHK</v>
      </c>
    </row>
    <row r="105" spans="1:27" x14ac:dyDescent="0.25">
      <c r="A105" t="s">
        <v>105</v>
      </c>
      <c r="B105" t="s">
        <v>700</v>
      </c>
      <c r="C105">
        <v>3</v>
      </c>
      <c r="D105">
        <v>3</v>
      </c>
      <c r="E105">
        <v>9</v>
      </c>
      <c r="F105">
        <v>1800</v>
      </c>
      <c r="G105">
        <v>4770</v>
      </c>
      <c r="H105">
        <v>748.98</v>
      </c>
      <c r="I105">
        <v>0.74897999999999998</v>
      </c>
      <c r="J105">
        <v>7.4898E-4</v>
      </c>
      <c r="K105">
        <v>1.65075192</v>
      </c>
      <c r="L105">
        <v>1.2699999999999999E-2</v>
      </c>
      <c r="M105">
        <v>3.1</v>
      </c>
      <c r="N105">
        <v>34.587938444619454</v>
      </c>
      <c r="O105">
        <v>22.928960978255688</v>
      </c>
      <c r="P105">
        <v>31.817443898557123</v>
      </c>
      <c r="Q105">
        <v>80.816307502335093</v>
      </c>
      <c r="R105">
        <v>10400.414120463249</v>
      </c>
      <c r="S105">
        <v>24994.987071529078</v>
      </c>
      <c r="T105">
        <v>66236.715739552048</v>
      </c>
      <c r="U105">
        <v>109.97499999999999</v>
      </c>
      <c r="V105">
        <v>0.14750000000000002</v>
      </c>
      <c r="W105">
        <v>0</v>
      </c>
      <c r="Y105" s="4">
        <f t="shared" si="2"/>
        <v>912.31702811081129</v>
      </c>
      <c r="Z105" s="4" t="str">
        <f t="shared" si="3"/>
        <v>SK</v>
      </c>
      <c r="AA105" s="4" t="str">
        <f t="shared" si="4"/>
        <v>KSPA_SK</v>
      </c>
    </row>
    <row r="106" spans="1:27" x14ac:dyDescent="0.25">
      <c r="A106" t="s">
        <v>107</v>
      </c>
      <c r="B106" t="s">
        <v>108</v>
      </c>
      <c r="C106">
        <v>3</v>
      </c>
      <c r="D106">
        <v>5</v>
      </c>
      <c r="E106">
        <v>15</v>
      </c>
      <c r="F106">
        <v>5086.8830930000004</v>
      </c>
      <c r="G106">
        <v>13480.2402</v>
      </c>
      <c r="H106">
        <v>2116.652055</v>
      </c>
      <c r="I106">
        <v>2.1166520549999999</v>
      </c>
      <c r="J106">
        <v>2.1166520000000001E-3</v>
      </c>
      <c r="K106">
        <v>4.6664134529999997</v>
      </c>
      <c r="L106">
        <v>3.5999999999999999E-3</v>
      </c>
      <c r="M106">
        <v>3</v>
      </c>
      <c r="N106">
        <v>83.775235480000006</v>
      </c>
      <c r="O106">
        <v>14.633444906214649</v>
      </c>
      <c r="P106">
        <v>48.2765686729362</v>
      </c>
      <c r="Q106">
        <v>122.62248442925795</v>
      </c>
      <c r="R106">
        <v>6637.6268500760443</v>
      </c>
      <c r="S106">
        <v>15951.999159038798</v>
      </c>
      <c r="T106">
        <v>42272.797771452817</v>
      </c>
      <c r="U106">
        <v>124</v>
      </c>
      <c r="V106">
        <v>0.3</v>
      </c>
      <c r="W106">
        <v>0</v>
      </c>
      <c r="Y106" s="4">
        <f t="shared" si="2"/>
        <v>582.24796930491618</v>
      </c>
      <c r="Z106" s="4" t="str">
        <f t="shared" si="3"/>
        <v>SMO</v>
      </c>
      <c r="AA106" s="4" t="str">
        <f t="shared" si="4"/>
        <v>KSPA_SMO</v>
      </c>
    </row>
    <row r="107" spans="1:27" x14ac:dyDescent="0.25">
      <c r="A107" t="s">
        <v>109</v>
      </c>
      <c r="B107" t="s">
        <v>110</v>
      </c>
      <c r="C107">
        <v>3</v>
      </c>
      <c r="D107">
        <v>5</v>
      </c>
      <c r="E107">
        <v>15</v>
      </c>
      <c r="F107">
        <v>5086.8830930000004</v>
      </c>
      <c r="G107">
        <v>13480.2402</v>
      </c>
      <c r="H107">
        <v>2116.652055</v>
      </c>
      <c r="I107">
        <v>2.1166520549999999</v>
      </c>
      <c r="J107">
        <v>2.1166520000000001E-3</v>
      </c>
      <c r="K107">
        <v>4.6664134529999997</v>
      </c>
      <c r="L107">
        <v>4.3E-3</v>
      </c>
      <c r="M107">
        <v>3.1</v>
      </c>
      <c r="N107">
        <v>68.578412069999999</v>
      </c>
      <c r="O107">
        <v>56.662299651630804</v>
      </c>
      <c r="P107">
        <v>60.413144874422372</v>
      </c>
      <c r="Q107">
        <v>153.44938798103283</v>
      </c>
      <c r="R107">
        <v>25701.61735429725</v>
      </c>
      <c r="S107">
        <v>61767.885975239726</v>
      </c>
      <c r="T107">
        <v>163684.89783438528</v>
      </c>
      <c r="U107">
        <v>267</v>
      </c>
      <c r="V107">
        <v>5.7000000000000002E-2</v>
      </c>
      <c r="W107">
        <v>0</v>
      </c>
      <c r="Y107" s="4">
        <f t="shared" si="2"/>
        <v>2254.5278380962504</v>
      </c>
      <c r="Z107" s="4" t="str">
        <f t="shared" si="3"/>
        <v>SSH</v>
      </c>
      <c r="AA107" s="4" t="str">
        <f t="shared" si="4"/>
        <v>KSPA_SSH</v>
      </c>
    </row>
    <row r="108" spans="1:27" x14ac:dyDescent="0.25">
      <c r="A108" t="s">
        <v>111</v>
      </c>
      <c r="B108" t="s">
        <v>112</v>
      </c>
      <c r="C108">
        <v>3</v>
      </c>
      <c r="D108">
        <v>2</v>
      </c>
      <c r="E108">
        <v>6</v>
      </c>
      <c r="F108">
        <v>732.42009129999997</v>
      </c>
      <c r="G108">
        <v>1940.9132420000001</v>
      </c>
      <c r="H108">
        <v>304.76</v>
      </c>
      <c r="I108">
        <v>0.30475999999999998</v>
      </c>
      <c r="J108">
        <v>3.0476E-4</v>
      </c>
      <c r="K108">
        <v>0.67187999099999995</v>
      </c>
      <c r="L108">
        <v>1.2200000000000001E-2</v>
      </c>
      <c r="M108">
        <v>2.9</v>
      </c>
      <c r="N108">
        <v>32.84075627</v>
      </c>
      <c r="O108">
        <v>5.9657721643235062</v>
      </c>
      <c r="P108">
        <v>27.453977907406433</v>
      </c>
      <c r="Q108">
        <v>69.733103884812337</v>
      </c>
      <c r="R108">
        <v>2706.0319530456522</v>
      </c>
      <c r="S108">
        <v>6503.3212041472061</v>
      </c>
      <c r="T108">
        <v>17233.801190990096</v>
      </c>
      <c r="U108">
        <v>113</v>
      </c>
      <c r="V108">
        <v>0.16</v>
      </c>
      <c r="W108">
        <v>0</v>
      </c>
      <c r="Y108" s="4">
        <f t="shared" si="2"/>
        <v>237.37122395137303</v>
      </c>
      <c r="Z108" s="4" t="str">
        <f t="shared" si="3"/>
        <v>STB</v>
      </c>
      <c r="AA108" s="4" t="str">
        <f t="shared" si="4"/>
        <v>KSPA_STB</v>
      </c>
    </row>
    <row r="109" spans="1:27" x14ac:dyDescent="0.25">
      <c r="A109" t="s">
        <v>113</v>
      </c>
      <c r="B109" t="s">
        <v>114</v>
      </c>
      <c r="C109">
        <v>3</v>
      </c>
      <c r="D109">
        <v>2</v>
      </c>
      <c r="E109">
        <v>6</v>
      </c>
      <c r="F109">
        <v>1548.9065129999999</v>
      </c>
      <c r="G109">
        <v>4104.6022599999997</v>
      </c>
      <c r="H109">
        <v>644.50000009999997</v>
      </c>
      <c r="I109">
        <v>0.64449999999999996</v>
      </c>
      <c r="J109">
        <v>6.445E-4</v>
      </c>
      <c r="K109">
        <v>1.4208775899999999</v>
      </c>
      <c r="L109">
        <v>1.2E-2</v>
      </c>
      <c r="M109">
        <v>3.05</v>
      </c>
      <c r="N109">
        <v>35.549486860000002</v>
      </c>
      <c r="O109">
        <v>7.8474803509363218</v>
      </c>
      <c r="P109">
        <v>24.509543201807197</v>
      </c>
      <c r="Q109">
        <v>62.254239732590285</v>
      </c>
      <c r="R109">
        <v>3559.561444120221</v>
      </c>
      <c r="S109">
        <v>8554.5816969964453</v>
      </c>
      <c r="T109">
        <v>22669.641497040579</v>
      </c>
      <c r="U109">
        <v>85.9</v>
      </c>
      <c r="V109">
        <v>0.215</v>
      </c>
      <c r="W109">
        <v>0</v>
      </c>
      <c r="Y109" s="4">
        <f t="shared" si="2"/>
        <v>312.24223194037029</v>
      </c>
      <c r="Z109" s="4" t="str">
        <f t="shared" si="3"/>
        <v>SUF</v>
      </c>
      <c r="AA109" s="4" t="str">
        <f t="shared" si="4"/>
        <v>KSPA_SUF</v>
      </c>
    </row>
    <row r="110" spans="1:27" x14ac:dyDescent="0.25">
      <c r="A110" t="s">
        <v>115</v>
      </c>
      <c r="B110" t="s">
        <v>116</v>
      </c>
      <c r="C110">
        <v>3</v>
      </c>
      <c r="D110">
        <v>7</v>
      </c>
      <c r="E110">
        <v>21</v>
      </c>
      <c r="F110">
        <v>9235805.5920000002</v>
      </c>
      <c r="G110">
        <v>24474884.82</v>
      </c>
      <c r="H110">
        <v>3843018.7069999999</v>
      </c>
      <c r="I110">
        <v>3843.0187070000002</v>
      </c>
      <c r="J110">
        <v>3.8430187070000001</v>
      </c>
      <c r="K110">
        <v>8472.3959009999999</v>
      </c>
      <c r="L110">
        <v>1.4999999999999999E-2</v>
      </c>
      <c r="M110">
        <v>3</v>
      </c>
      <c r="N110">
        <v>727.03865089999999</v>
      </c>
      <c r="O110">
        <v>653.46537198936403</v>
      </c>
      <c r="P110">
        <v>106.43851553128759</v>
      </c>
      <c r="Q110">
        <v>270.35382944947048</v>
      </c>
      <c r="R110">
        <v>296407.2592960982</v>
      </c>
      <c r="S110">
        <v>712346.21316053404</v>
      </c>
      <c r="T110">
        <v>1887717.4648754152</v>
      </c>
      <c r="U110">
        <v>271.77999999999997</v>
      </c>
      <c r="V110">
        <v>0.25</v>
      </c>
      <c r="W110">
        <v>0</v>
      </c>
      <c r="Y110" s="4">
        <f t="shared" si="2"/>
        <v>26000.636780359495</v>
      </c>
      <c r="Z110" s="4" t="str">
        <f t="shared" si="3"/>
        <v>SWH</v>
      </c>
      <c r="AA110" s="4" t="str">
        <f t="shared" si="4"/>
        <v>KSPA_SWH</v>
      </c>
    </row>
    <row r="111" spans="1:27" x14ac:dyDescent="0.25">
      <c r="A111" t="s">
        <v>117</v>
      </c>
      <c r="B111" t="s">
        <v>118</v>
      </c>
      <c r="C111">
        <v>3</v>
      </c>
      <c r="D111">
        <v>2</v>
      </c>
      <c r="E111">
        <v>6</v>
      </c>
      <c r="F111">
        <v>732.42009129999997</v>
      </c>
      <c r="G111">
        <v>1940.9132420000001</v>
      </c>
      <c r="H111">
        <v>304.76</v>
      </c>
      <c r="I111">
        <v>0.30475999999999998</v>
      </c>
      <c r="J111">
        <v>3.0476E-4</v>
      </c>
      <c r="K111">
        <v>0.67187999099999995</v>
      </c>
      <c r="L111">
        <v>1.4999999999999999E-2</v>
      </c>
      <c r="M111">
        <v>3</v>
      </c>
      <c r="N111">
        <v>27.286986030000001</v>
      </c>
      <c r="O111">
        <v>1.1913295584543824</v>
      </c>
      <c r="P111">
        <v>13.00275127477058</v>
      </c>
      <c r="Q111">
        <v>33.026988237917273</v>
      </c>
      <c r="R111">
        <v>540.37864051599934</v>
      </c>
      <c r="S111">
        <v>1298.6749351502026</v>
      </c>
      <c r="T111">
        <v>3441.4885781480366</v>
      </c>
      <c r="U111">
        <v>73.2</v>
      </c>
      <c r="V111">
        <v>0.1</v>
      </c>
      <c r="W111">
        <v>0</v>
      </c>
      <c r="Y111" s="4">
        <f t="shared" si="2"/>
        <v>47.401635132982392</v>
      </c>
      <c r="Z111" s="4" t="str">
        <f t="shared" si="3"/>
        <v>TAU</v>
      </c>
      <c r="AA111" s="4" t="str">
        <f t="shared" si="4"/>
        <v>KSPA_TAU</v>
      </c>
    </row>
    <row r="112" spans="1:27" x14ac:dyDescent="0.25">
      <c r="A112" t="s">
        <v>119</v>
      </c>
      <c r="B112" t="s">
        <v>120</v>
      </c>
      <c r="C112">
        <v>3</v>
      </c>
      <c r="D112">
        <v>3</v>
      </c>
      <c r="E112">
        <v>9</v>
      </c>
      <c r="F112">
        <v>124433.10189999999</v>
      </c>
      <c r="G112">
        <v>329747.71999999997</v>
      </c>
      <c r="H112">
        <v>51776.613700000002</v>
      </c>
      <c r="I112">
        <v>51.776613699999999</v>
      </c>
      <c r="J112">
        <v>5.1776613999999999E-2</v>
      </c>
      <c r="K112">
        <v>114.1477581</v>
      </c>
      <c r="L112">
        <v>2.1399999999999999E-2</v>
      </c>
      <c r="M112">
        <v>2.96</v>
      </c>
      <c r="N112">
        <v>143.43730550000001</v>
      </c>
      <c r="O112">
        <v>63.068519356800429</v>
      </c>
      <c r="P112">
        <v>46.214991514708451</v>
      </c>
      <c r="Q112">
        <v>117.38607844735947</v>
      </c>
      <c r="R112">
        <v>28607.433188849067</v>
      </c>
      <c r="S112">
        <v>68751.341477647366</v>
      </c>
      <c r="T112">
        <v>182191.0549157655</v>
      </c>
      <c r="U112">
        <v>133.76666666666668</v>
      </c>
      <c r="V112">
        <v>0.3</v>
      </c>
      <c r="W112">
        <v>2</v>
      </c>
      <c r="Y112" s="4">
        <f t="shared" si="2"/>
        <v>2509.4239639341286</v>
      </c>
      <c r="Z112" s="4" t="str">
        <f t="shared" si="3"/>
        <v>TUN</v>
      </c>
      <c r="AA112" s="4" t="str">
        <f t="shared" si="4"/>
        <v>KSPA_TUN</v>
      </c>
    </row>
    <row r="113" spans="1:27" x14ac:dyDescent="0.25">
      <c r="A113" t="s">
        <v>121</v>
      </c>
      <c r="B113" t="s">
        <v>122</v>
      </c>
      <c r="C113">
        <v>3</v>
      </c>
      <c r="D113">
        <v>7</v>
      </c>
      <c r="E113">
        <v>21</v>
      </c>
      <c r="F113">
        <v>9235805.5920000002</v>
      </c>
      <c r="G113">
        <v>24474884.82</v>
      </c>
      <c r="H113">
        <v>3843018.7069999999</v>
      </c>
      <c r="I113">
        <v>3843.0187070000002</v>
      </c>
      <c r="J113">
        <v>3.8430187070000001</v>
      </c>
      <c r="K113">
        <v>8472.3959009999999</v>
      </c>
      <c r="L113">
        <v>1E-3</v>
      </c>
      <c r="M113">
        <v>3</v>
      </c>
      <c r="N113">
        <v>727.03865089999999</v>
      </c>
      <c r="O113">
        <v>38839.400660066996</v>
      </c>
      <c r="P113">
        <v>1024.4227367213218</v>
      </c>
      <c r="Q113">
        <v>2602.0337512721576</v>
      </c>
      <c r="R113">
        <v>17617276.746136293</v>
      </c>
      <c r="S113">
        <v>42339045.292324662</v>
      </c>
      <c r="T113">
        <v>112198470.02466035</v>
      </c>
      <c r="U113">
        <v>2615.7600000000002</v>
      </c>
      <c r="V113">
        <v>0.25</v>
      </c>
      <c r="W113">
        <v>0</v>
      </c>
      <c r="Y113" s="4">
        <f t="shared" si="2"/>
        <v>1545375.1531698501</v>
      </c>
      <c r="Z113" s="4" t="str">
        <f t="shared" si="3"/>
        <v>TWH</v>
      </c>
      <c r="AA113" s="4" t="str">
        <f t="shared" si="4"/>
        <v>KSPA_TWH</v>
      </c>
    </row>
    <row r="114" spans="1:27" x14ac:dyDescent="0.25">
      <c r="A114" t="s">
        <v>123</v>
      </c>
      <c r="B114" t="s">
        <v>124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9.4999999999999998E-3</v>
      </c>
      <c r="M114">
        <v>3.1</v>
      </c>
      <c r="N114">
        <v>28.419994330000002</v>
      </c>
      <c r="O114">
        <v>6.3456182847985039</v>
      </c>
      <c r="P114">
        <v>23.086876790543517</v>
      </c>
      <c r="Q114">
        <v>58.640667047980536</v>
      </c>
      <c r="R114">
        <v>2878.327459969747</v>
      </c>
      <c r="S114">
        <v>6917.3935591678619</v>
      </c>
      <c r="T114">
        <v>18331.092931794832</v>
      </c>
      <c r="U114">
        <v>111</v>
      </c>
      <c r="V114">
        <v>0.13</v>
      </c>
      <c r="W114">
        <v>0.22</v>
      </c>
      <c r="Y114" s="4">
        <f t="shared" si="2"/>
        <v>252.48486490962694</v>
      </c>
      <c r="Z114" s="4" t="str">
        <f t="shared" si="3"/>
        <v>TYL</v>
      </c>
      <c r="AA114" s="4" t="str">
        <f t="shared" si="4"/>
        <v>KSPA_TYL</v>
      </c>
    </row>
    <row r="115" spans="1:27" x14ac:dyDescent="0.25">
      <c r="A115" t="s">
        <v>125</v>
      </c>
      <c r="B115" t="s">
        <v>126</v>
      </c>
      <c r="C115">
        <v>3</v>
      </c>
      <c r="D115">
        <v>1</v>
      </c>
      <c r="E115">
        <v>3</v>
      </c>
      <c r="F115">
        <v>789.95433809999997</v>
      </c>
      <c r="G115">
        <v>2093.3789959999999</v>
      </c>
      <c r="H115">
        <v>328.70000010000001</v>
      </c>
      <c r="I115">
        <v>0.32869999999999999</v>
      </c>
      <c r="J115">
        <v>3.2870000000000002E-4</v>
      </c>
      <c r="K115">
        <v>0.72465859399999999</v>
      </c>
      <c r="L115">
        <v>1.4999999999999999E-2</v>
      </c>
      <c r="M115">
        <v>2.9</v>
      </c>
      <c r="N115">
        <v>31.390339699999998</v>
      </c>
      <c r="O115">
        <v>1.0142401313462461</v>
      </c>
      <c r="P115">
        <v>13.877449601293845</v>
      </c>
      <c r="Q115">
        <v>35.248721987286366</v>
      </c>
      <c r="R115">
        <v>460.05213204372916</v>
      </c>
      <c r="S115">
        <v>1105.6287720349176</v>
      </c>
      <c r="T115">
        <v>2929.9162458925316</v>
      </c>
      <c r="U115">
        <v>136</v>
      </c>
      <c r="V115">
        <v>0.1</v>
      </c>
      <c r="W115">
        <v>0</v>
      </c>
      <c r="Y115" s="4">
        <f t="shared" si="2"/>
        <v>40.355450179274492</v>
      </c>
      <c r="Z115" s="4" t="str">
        <f t="shared" si="3"/>
        <v>WHK</v>
      </c>
      <c r="AA115" s="4" t="str">
        <f t="shared" si="4"/>
        <v>KSPA_WHK</v>
      </c>
    </row>
    <row r="116" spans="1:27" x14ac:dyDescent="0.25">
      <c r="A116" t="s">
        <v>127</v>
      </c>
      <c r="B116" t="s">
        <v>128</v>
      </c>
      <c r="C116">
        <v>3</v>
      </c>
      <c r="D116">
        <v>2</v>
      </c>
      <c r="E116">
        <v>6</v>
      </c>
      <c r="F116">
        <v>1548.9065129999999</v>
      </c>
      <c r="G116">
        <v>4104.6022599999997</v>
      </c>
      <c r="H116">
        <v>644.50000009999997</v>
      </c>
      <c r="I116">
        <v>0.64449999999999996</v>
      </c>
      <c r="J116">
        <v>6.445E-4</v>
      </c>
      <c r="K116">
        <v>1.4208775899999999</v>
      </c>
      <c r="L116">
        <v>1.4E-2</v>
      </c>
      <c r="M116">
        <v>3</v>
      </c>
      <c r="N116">
        <v>35.839749210000001</v>
      </c>
      <c r="O116">
        <v>6.9586331639951604</v>
      </c>
      <c r="P116">
        <v>23.961849604856461</v>
      </c>
      <c r="Q116">
        <v>60.863097996335412</v>
      </c>
      <c r="R116">
        <v>3156.3866625518958</v>
      </c>
      <c r="S116">
        <v>7585.6444665991248</v>
      </c>
      <c r="T116">
        <v>20101.95783648768</v>
      </c>
      <c r="U116">
        <v>62.2</v>
      </c>
      <c r="V116">
        <v>0.64</v>
      </c>
      <c r="W116">
        <v>0</v>
      </c>
      <c r="Y116" s="4">
        <f t="shared" si="2"/>
        <v>276.87602303086805</v>
      </c>
      <c r="Z116" s="4" t="str">
        <f t="shared" si="3"/>
        <v>WIF</v>
      </c>
      <c r="AA116" s="4" t="str">
        <f t="shared" si="4"/>
        <v>KSPA_WIF</v>
      </c>
    </row>
    <row r="117" spans="1:27" x14ac:dyDescent="0.25">
      <c r="A117" t="s">
        <v>129</v>
      </c>
      <c r="B117" t="s">
        <v>130</v>
      </c>
      <c r="C117">
        <v>3</v>
      </c>
      <c r="D117">
        <v>2</v>
      </c>
      <c r="E117">
        <v>6</v>
      </c>
      <c r="F117">
        <v>732.42009129999997</v>
      </c>
      <c r="G117">
        <v>1940.9132420000001</v>
      </c>
      <c r="H117">
        <v>304.76</v>
      </c>
      <c r="I117">
        <v>0.30475999999999998</v>
      </c>
      <c r="J117">
        <v>3.0476E-4</v>
      </c>
      <c r="K117">
        <v>0.67187999099999995</v>
      </c>
      <c r="L117">
        <v>1.2500000000000001E-2</v>
      </c>
      <c r="M117">
        <v>2.88</v>
      </c>
      <c r="N117">
        <v>33.364186400000001</v>
      </c>
      <c r="O117">
        <v>0.83168509193668805</v>
      </c>
      <c r="P117">
        <v>14.145650916183214</v>
      </c>
      <c r="Q117">
        <v>35.929953327105366</v>
      </c>
      <c r="R117">
        <v>377.24646058580981</v>
      </c>
      <c r="S117">
        <v>906.624514745998</v>
      </c>
      <c r="T117">
        <v>2402.5549640768945</v>
      </c>
      <c r="U117">
        <v>158</v>
      </c>
      <c r="V117">
        <v>4.2999999999999997E-2</v>
      </c>
      <c r="W117">
        <v>0</v>
      </c>
      <c r="Y117" s="4">
        <f t="shared" si="2"/>
        <v>33.091794788228924</v>
      </c>
      <c r="Z117" s="4" t="str">
        <f t="shared" si="3"/>
        <v>WOL</v>
      </c>
      <c r="AA117" s="4" t="str">
        <f t="shared" si="4"/>
        <v>KSPA_WOL</v>
      </c>
    </row>
    <row r="118" spans="1:27" x14ac:dyDescent="0.25">
      <c r="A118" t="s">
        <v>131</v>
      </c>
      <c r="B118" t="s">
        <v>132</v>
      </c>
      <c r="C118">
        <v>3</v>
      </c>
      <c r="D118">
        <v>2</v>
      </c>
      <c r="E118">
        <v>6</v>
      </c>
      <c r="F118">
        <v>1548.9065129999999</v>
      </c>
      <c r="G118">
        <v>4104.6022599999997</v>
      </c>
      <c r="H118">
        <v>644.50000009999997</v>
      </c>
      <c r="I118">
        <v>0.64449999999999996</v>
      </c>
      <c r="J118">
        <v>6.445E-4</v>
      </c>
      <c r="K118">
        <v>1.4208775899999999</v>
      </c>
      <c r="L118">
        <v>1.4E-2</v>
      </c>
      <c r="M118">
        <v>2.9</v>
      </c>
      <c r="N118">
        <v>40.547469309999997</v>
      </c>
      <c r="O118">
        <v>0.71097215166475058</v>
      </c>
      <c r="P118">
        <v>12.573001777800146</v>
      </c>
      <c r="Q118">
        <v>31.935424515612372</v>
      </c>
      <c r="R118">
        <v>322.49192680133109</v>
      </c>
      <c r="S118">
        <v>775.03467147640254</v>
      </c>
      <c r="T118">
        <v>2053.8418794124668</v>
      </c>
      <c r="U118">
        <v>45.7</v>
      </c>
      <c r="V118">
        <v>0.2</v>
      </c>
      <c r="W118">
        <v>0</v>
      </c>
      <c r="Y118" s="4">
        <f t="shared" si="2"/>
        <v>28.288765508888691</v>
      </c>
      <c r="Z118" s="4" t="str">
        <f t="shared" si="3"/>
        <v>WPF</v>
      </c>
      <c r="AA118" s="4" t="str">
        <f t="shared" si="4"/>
        <v>KSPA_WPF</v>
      </c>
    </row>
    <row r="119" spans="1:27" x14ac:dyDescent="0.25">
      <c r="A119" t="s">
        <v>133</v>
      </c>
      <c r="B119" t="s">
        <v>134</v>
      </c>
      <c r="C119">
        <v>3</v>
      </c>
      <c r="D119">
        <v>3</v>
      </c>
      <c r="E119">
        <v>9</v>
      </c>
      <c r="F119">
        <v>1800</v>
      </c>
      <c r="G119">
        <v>4770</v>
      </c>
      <c r="H119">
        <v>748.98</v>
      </c>
      <c r="I119">
        <v>0.74897999999999998</v>
      </c>
      <c r="J119">
        <v>7.4898E-4</v>
      </c>
      <c r="K119">
        <v>1.6512162880000001</v>
      </c>
      <c r="L119">
        <v>1.2699999999999999E-2</v>
      </c>
      <c r="M119">
        <v>3.1</v>
      </c>
      <c r="N119">
        <v>34.587938440000002</v>
      </c>
      <c r="O119">
        <v>13.212613096263208</v>
      </c>
      <c r="P119">
        <v>26.634275114004609</v>
      </c>
      <c r="Q119">
        <v>67.651058789571707</v>
      </c>
      <c r="R119">
        <v>5993.1476155814644</v>
      </c>
      <c r="S119">
        <v>14403.142551265233</v>
      </c>
      <c r="T119">
        <v>38168.327760852866</v>
      </c>
      <c r="U119">
        <v>114</v>
      </c>
      <c r="V119">
        <v>0.1</v>
      </c>
      <c r="W119">
        <v>0</v>
      </c>
      <c r="Y119" s="4">
        <f t="shared" si="2"/>
        <v>525.71470312118106</v>
      </c>
      <c r="Z119" s="4" t="str">
        <f t="shared" si="3"/>
        <v>WSK</v>
      </c>
      <c r="AA119" s="4" t="str">
        <f t="shared" si="4"/>
        <v>KSPA_WSK</v>
      </c>
    </row>
    <row r="120" spans="1:27" x14ac:dyDescent="0.25">
      <c r="A120" t="s">
        <v>135</v>
      </c>
      <c r="B120" t="s">
        <v>136</v>
      </c>
      <c r="C120">
        <v>3</v>
      </c>
      <c r="D120">
        <v>2</v>
      </c>
      <c r="E120">
        <v>6</v>
      </c>
      <c r="F120">
        <v>1548.9065129999999</v>
      </c>
      <c r="G120">
        <v>4104.6022599999997</v>
      </c>
      <c r="H120">
        <v>644.50000009999997</v>
      </c>
      <c r="I120">
        <v>0.64449999999999996</v>
      </c>
      <c r="J120">
        <v>6.445E-4</v>
      </c>
      <c r="K120">
        <v>1.4208775899999999</v>
      </c>
      <c r="L120">
        <v>1.2E-2</v>
      </c>
      <c r="M120">
        <v>3</v>
      </c>
      <c r="N120">
        <v>37.729457320000002</v>
      </c>
      <c r="O120">
        <v>0.52635941956984167</v>
      </c>
      <c r="P120">
        <v>10.66814115725618</v>
      </c>
      <c r="Q120">
        <v>27.097078539430697</v>
      </c>
      <c r="R120">
        <v>238.75290053153907</v>
      </c>
      <c r="S120">
        <v>573.7873120200411</v>
      </c>
      <c r="T120">
        <v>1520.5363768531088</v>
      </c>
      <c r="U120">
        <v>60.5</v>
      </c>
      <c r="V120">
        <v>9.9000000000000005E-2</v>
      </c>
      <c r="W120">
        <v>0</v>
      </c>
      <c r="Y120" s="4">
        <f t="shared" si="2"/>
        <v>20.943236888731498</v>
      </c>
      <c r="Z120" s="4" t="str">
        <f t="shared" si="3"/>
        <v>WTF</v>
      </c>
      <c r="AA120" s="4" t="str">
        <f t="shared" si="4"/>
        <v>KSPA_WTF</v>
      </c>
    </row>
    <row r="121" spans="1:27" x14ac:dyDescent="0.25">
      <c r="A121" t="s">
        <v>137</v>
      </c>
      <c r="B121" t="s">
        <v>138</v>
      </c>
      <c r="C121">
        <v>3</v>
      </c>
      <c r="D121">
        <v>1</v>
      </c>
      <c r="E121">
        <v>3</v>
      </c>
      <c r="F121">
        <v>518.3850036</v>
      </c>
      <c r="G121">
        <v>1373.7202600000001</v>
      </c>
      <c r="H121">
        <v>215.7</v>
      </c>
      <c r="I121">
        <v>0.2157</v>
      </c>
      <c r="J121">
        <v>2.1570000000000001E-4</v>
      </c>
      <c r="K121">
        <v>0.47553653400000001</v>
      </c>
      <c r="L121">
        <v>1.2500000000000001E-2</v>
      </c>
      <c r="M121">
        <v>2.82</v>
      </c>
      <c r="N121">
        <v>31.802483779999999</v>
      </c>
      <c r="O121">
        <v>0.47113422091654195</v>
      </c>
      <c r="P121">
        <v>12.479436322755602</v>
      </c>
      <c r="Q121">
        <v>31.697768259799229</v>
      </c>
      <c r="R121">
        <v>213.70314200022767</v>
      </c>
      <c r="S121">
        <v>513.58601778473371</v>
      </c>
      <c r="T121">
        <v>1361.0029471295443</v>
      </c>
      <c r="U121">
        <v>50</v>
      </c>
      <c r="V121">
        <v>0.33500000000000002</v>
      </c>
      <c r="W121">
        <v>0</v>
      </c>
      <c r="Y121" s="4">
        <f t="shared" si="2"/>
        <v>18.745889649142779</v>
      </c>
      <c r="Z121" s="4" t="str">
        <f t="shared" si="3"/>
        <v>YTF</v>
      </c>
      <c r="AA121" s="4" t="str">
        <f t="shared" si="4"/>
        <v>KSPA_YTF</v>
      </c>
    </row>
  </sheetData>
  <conditionalFormatting sqref="W1">
    <cfRule type="cellIs" dxfId="1" priority="2" operator="lessThan">
      <formula>0</formula>
    </cfRule>
  </conditionalFormatting>
  <conditionalFormatting sqref="D1">
    <cfRule type="cellIs" dxfId="0" priority="1" operator="greaterThan">
      <formula>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zoomScaleNormal="100" workbookViewId="0">
      <pane xSplit="2" ySplit="1" topLeftCell="H2" activePane="bottomRight" state="frozen"/>
      <selection pane="topRight" activeCell="E1" sqref="E1"/>
      <selection pane="bottomLeft" activeCell="A368" sqref="A368"/>
      <selection pane="bottomRight" activeCell="R2" sqref="R2:T2"/>
    </sheetView>
  </sheetViews>
  <sheetFormatPr defaultRowHeight="15" x14ac:dyDescent="0.25"/>
  <cols>
    <col min="1" max="23" width="9.140625" style="4"/>
    <col min="24" max="24" width="27.85546875" style="4" customWidth="1"/>
    <col min="25" max="16384" width="9.140625" style="4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400</v>
      </c>
      <c r="P1" s="1" t="s">
        <v>401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5" x14ac:dyDescent="0.25">
      <c r="A2" s="4" t="s">
        <v>21</v>
      </c>
      <c r="B2" s="4" t="s">
        <v>22</v>
      </c>
      <c r="C2" s="4">
        <v>1</v>
      </c>
      <c r="D2" s="4">
        <v>1</v>
      </c>
      <c r="E2" s="4">
        <f t="shared" ref="E2:E51" si="0">C2*D2</f>
        <v>1</v>
      </c>
      <c r="F2" s="4">
        <v>49.194905069999997</v>
      </c>
      <c r="G2" s="4">
        <v>130.36649840000001</v>
      </c>
      <c r="H2" s="4">
        <v>20.47</v>
      </c>
      <c r="I2" s="4">
        <v>2.0469999999999999E-2</v>
      </c>
      <c r="J2" s="4">
        <v>2.05E-5</v>
      </c>
      <c r="K2" s="4">
        <v>4.5128570999999999E-2</v>
      </c>
      <c r="L2" s="4">
        <v>1.6E-2</v>
      </c>
      <c r="M2" s="4">
        <v>3</v>
      </c>
      <c r="N2" s="4">
        <v>10.85590298</v>
      </c>
      <c r="O2" s="4">
        <f t="shared" ref="O2:O65" si="1">R2*0.00220462</f>
        <v>4.312265116177349E-3</v>
      </c>
      <c r="P2" s="4">
        <f t="shared" ref="P2:P65" si="2">Q2/2.54</f>
        <v>1.953965355498311</v>
      </c>
      <c r="Q2" s="4">
        <f>U2*(1-EXP(-V2*(E2-W2)))</f>
        <v>4.9630720029657098</v>
      </c>
      <c r="R2" s="4">
        <f t="shared" ref="R2:R65" si="3">L2*(Q2^M2)</f>
        <v>1.9560128803047006</v>
      </c>
      <c r="S2" s="4">
        <f t="shared" ref="S2:S65" si="4">R2/20/5.7/3.65*1000</f>
        <v>4.7008240334167279</v>
      </c>
      <c r="T2" s="4">
        <f t="shared" ref="T2:T65" si="5">S2*2.65</f>
        <v>12.457183688554329</v>
      </c>
      <c r="U2" s="4">
        <v>11</v>
      </c>
      <c r="V2" s="4">
        <v>0.6</v>
      </c>
      <c r="W2" s="4">
        <v>0</v>
      </c>
      <c r="Y2" s="4" t="s">
        <v>402</v>
      </c>
    </row>
    <row r="3" spans="1:25" x14ac:dyDescent="0.25">
      <c r="A3" s="4" t="s">
        <v>21</v>
      </c>
      <c r="B3" s="4" t="s">
        <v>22</v>
      </c>
      <c r="C3" s="4">
        <v>2</v>
      </c>
      <c r="D3" s="4">
        <v>1</v>
      </c>
      <c r="E3" s="4">
        <f t="shared" si="0"/>
        <v>2</v>
      </c>
      <c r="F3" s="4">
        <v>86.10910835</v>
      </c>
      <c r="G3" s="4">
        <v>228.18913710000001</v>
      </c>
      <c r="H3" s="4">
        <v>35.829999979999997</v>
      </c>
      <c r="I3" s="4">
        <v>3.5830000000000001E-2</v>
      </c>
      <c r="J3" s="4">
        <v>3.5800000000000003E-5</v>
      </c>
      <c r="K3" s="4">
        <v>7.8991535000000002E-2</v>
      </c>
      <c r="L3" s="4">
        <v>1.6E-2</v>
      </c>
      <c r="M3" s="4">
        <v>3</v>
      </c>
      <c r="N3" s="4">
        <v>13.083048209999999</v>
      </c>
      <c r="O3" s="4">
        <f t="shared" si="1"/>
        <v>1.6021429446310197E-2</v>
      </c>
      <c r="P3" s="4">
        <f t="shared" si="2"/>
        <v>3.0263242791203844</v>
      </c>
      <c r="Q3" s="4">
        <f t="shared" ref="Q3:Q66" si="6">U3*(1-EXP(-V3*(E3-W3)))</f>
        <v>7.6868636689657759</v>
      </c>
      <c r="R3" s="4">
        <f t="shared" si="3"/>
        <v>7.2672067958696731</v>
      </c>
      <c r="S3" s="4">
        <f t="shared" si="4"/>
        <v>17.465048776423149</v>
      </c>
      <c r="T3" s="4">
        <f t="shared" si="5"/>
        <v>46.282379257521342</v>
      </c>
      <c r="U3" s="4">
        <v>11</v>
      </c>
      <c r="V3" s="4">
        <v>0.6</v>
      </c>
      <c r="W3" s="4">
        <v>0</v>
      </c>
      <c r="Y3" s="4" t="s">
        <v>1037</v>
      </c>
    </row>
    <row r="4" spans="1:25" x14ac:dyDescent="0.25">
      <c r="A4" s="4" t="s">
        <v>21</v>
      </c>
      <c r="B4" s="4" t="s">
        <v>22</v>
      </c>
      <c r="C4" s="4">
        <v>3</v>
      </c>
      <c r="D4" s="4">
        <v>1</v>
      </c>
      <c r="E4" s="4">
        <f t="shared" si="0"/>
        <v>3</v>
      </c>
      <c r="F4" s="4">
        <v>123.02331169999999</v>
      </c>
      <c r="G4" s="4">
        <v>326.011776</v>
      </c>
      <c r="H4" s="4">
        <v>51.19</v>
      </c>
      <c r="I4" s="4">
        <v>5.1189999999999999E-2</v>
      </c>
      <c r="J4" s="4">
        <v>5.1199999999999998E-5</v>
      </c>
      <c r="K4" s="4">
        <v>0.112854498</v>
      </c>
      <c r="L4" s="4">
        <v>1.6E-2</v>
      </c>
      <c r="M4" s="4">
        <v>3</v>
      </c>
      <c r="N4" s="4">
        <v>14.735166550000001</v>
      </c>
      <c r="O4" s="4">
        <f t="shared" si="1"/>
        <v>2.7303904544423465E-2</v>
      </c>
      <c r="P4" s="4">
        <f t="shared" si="2"/>
        <v>3.6148473344734438</v>
      </c>
      <c r="Q4" s="4">
        <f t="shared" si="6"/>
        <v>9.1817122295625477</v>
      </c>
      <c r="R4" s="4">
        <f t="shared" si="3"/>
        <v>12.384857501258024</v>
      </c>
      <c r="S4" s="4">
        <f t="shared" si="4"/>
        <v>29.764137229651585</v>
      </c>
      <c r="T4" s="4">
        <f t="shared" si="5"/>
        <v>78.874963658576704</v>
      </c>
      <c r="U4" s="4">
        <v>11</v>
      </c>
      <c r="V4" s="4">
        <v>0.6</v>
      </c>
      <c r="W4" s="4">
        <v>0</v>
      </c>
    </row>
    <row r="5" spans="1:25" x14ac:dyDescent="0.25">
      <c r="A5" s="4" t="s">
        <v>21</v>
      </c>
      <c r="B5" s="4" t="s">
        <v>22</v>
      </c>
      <c r="C5" s="4">
        <v>4</v>
      </c>
      <c r="D5" s="4">
        <v>1</v>
      </c>
      <c r="E5" s="4">
        <f t="shared" si="0"/>
        <v>4</v>
      </c>
      <c r="F5" s="4">
        <v>164.56380680000001</v>
      </c>
      <c r="G5" s="4">
        <v>436.094088</v>
      </c>
      <c r="H5" s="4">
        <v>68.475000010000002</v>
      </c>
      <c r="I5" s="4">
        <v>6.8474999999999994E-2</v>
      </c>
      <c r="J5" s="4">
        <v>6.8499999999999998E-5</v>
      </c>
      <c r="K5" s="4">
        <v>0.15096135499999999</v>
      </c>
      <c r="L5" s="4">
        <v>1.6E-2</v>
      </c>
      <c r="M5" s="4">
        <v>3</v>
      </c>
      <c r="N5" s="4">
        <v>16.235687599999999</v>
      </c>
      <c r="O5" s="4">
        <f t="shared" si="1"/>
        <v>3.5296173849495099E-2</v>
      </c>
      <c r="P5" s="4">
        <f t="shared" si="2"/>
        <v>3.9378356353608126</v>
      </c>
      <c r="Q5" s="4">
        <f t="shared" si="6"/>
        <v>10.002102513816464</v>
      </c>
      <c r="R5" s="4">
        <f t="shared" si="3"/>
        <v>16.010094188338623</v>
      </c>
      <c r="S5" s="4">
        <f t="shared" si="4"/>
        <v>38.476554165678017</v>
      </c>
      <c r="T5" s="4">
        <f t="shared" si="5"/>
        <v>101.96286853904674</v>
      </c>
      <c r="U5" s="4">
        <v>11</v>
      </c>
      <c r="V5" s="4">
        <v>0.6</v>
      </c>
      <c r="W5" s="4">
        <v>0</v>
      </c>
    </row>
    <row r="6" spans="1:25" x14ac:dyDescent="0.25">
      <c r="A6" s="4" t="s">
        <v>21</v>
      </c>
      <c r="B6" s="4" t="s">
        <v>22</v>
      </c>
      <c r="C6" s="4">
        <v>5</v>
      </c>
      <c r="D6" s="4">
        <v>1</v>
      </c>
      <c r="E6" s="4">
        <f t="shared" si="0"/>
        <v>5</v>
      </c>
      <c r="F6" s="4">
        <v>206.1043018</v>
      </c>
      <c r="G6" s="4">
        <v>546.17639980000001</v>
      </c>
      <c r="H6" s="4">
        <v>85.759999980000003</v>
      </c>
      <c r="I6" s="4">
        <v>8.5760000000000003E-2</v>
      </c>
      <c r="J6" s="4">
        <v>8.5799999999999998E-5</v>
      </c>
      <c r="K6" s="4">
        <v>0.18906821100000001</v>
      </c>
      <c r="L6" s="4">
        <v>1.6E-2</v>
      </c>
      <c r="M6" s="4">
        <v>3</v>
      </c>
      <c r="N6" s="4">
        <v>17.500680240000001</v>
      </c>
      <c r="O6" s="4">
        <f t="shared" si="1"/>
        <v>4.0280475686274811E-2</v>
      </c>
      <c r="P6" s="4">
        <f t="shared" si="2"/>
        <v>4.1150953732100373</v>
      </c>
      <c r="Q6" s="4">
        <f t="shared" si="6"/>
        <v>10.452342247953496</v>
      </c>
      <c r="R6" s="4">
        <f t="shared" si="3"/>
        <v>18.270938159988937</v>
      </c>
      <c r="S6" s="4">
        <f t="shared" si="4"/>
        <v>43.909969142006574</v>
      </c>
      <c r="T6" s="4">
        <f t="shared" si="5"/>
        <v>116.36141822631741</v>
      </c>
      <c r="U6" s="4">
        <v>11</v>
      </c>
      <c r="V6" s="4">
        <v>0.6</v>
      </c>
      <c r="W6" s="4">
        <v>0</v>
      </c>
    </row>
    <row r="7" spans="1:25" x14ac:dyDescent="0.25">
      <c r="A7" s="4" t="s">
        <v>21</v>
      </c>
      <c r="B7" s="4" t="s">
        <v>22</v>
      </c>
      <c r="C7" s="4">
        <v>6</v>
      </c>
      <c r="D7" s="4">
        <v>1</v>
      </c>
      <c r="E7" s="4">
        <f t="shared" si="0"/>
        <v>6</v>
      </c>
      <c r="F7" s="4">
        <v>244.71280949999999</v>
      </c>
      <c r="G7" s="4">
        <v>648.48894510000002</v>
      </c>
      <c r="H7" s="4">
        <v>101.825</v>
      </c>
      <c r="I7" s="4">
        <v>0.101825</v>
      </c>
      <c r="J7" s="4">
        <v>1.0182499999999999E-4</v>
      </c>
      <c r="K7" s="4">
        <v>0.22448543200000001</v>
      </c>
      <c r="L7" s="4">
        <v>1.6E-2</v>
      </c>
      <c r="M7" s="4">
        <v>3</v>
      </c>
      <c r="N7" s="4">
        <v>18.531538609999998</v>
      </c>
      <c r="O7" s="4">
        <f t="shared" si="1"/>
        <v>4.3205272963749902E-2</v>
      </c>
      <c r="P7" s="4">
        <f t="shared" si="2"/>
        <v>4.2123775799526699</v>
      </c>
      <c r="Q7" s="4">
        <f t="shared" si="6"/>
        <v>10.699439053079782</v>
      </c>
      <c r="R7" s="4">
        <f t="shared" si="3"/>
        <v>19.597605466588302</v>
      </c>
      <c r="S7" s="4">
        <f t="shared" si="4"/>
        <v>47.098306817083156</v>
      </c>
      <c r="T7" s="4">
        <f t="shared" si="5"/>
        <v>124.81051306527036</v>
      </c>
      <c r="U7" s="4">
        <v>11</v>
      </c>
      <c r="V7" s="4">
        <v>0.6</v>
      </c>
      <c r="W7" s="4">
        <v>0</v>
      </c>
    </row>
    <row r="8" spans="1:25" x14ac:dyDescent="0.25">
      <c r="A8" s="4" t="s">
        <v>21</v>
      </c>
      <c r="B8" s="4" t="s">
        <v>22</v>
      </c>
      <c r="C8" s="4">
        <v>7</v>
      </c>
      <c r="D8" s="4">
        <v>1</v>
      </c>
      <c r="E8" s="4">
        <f t="shared" si="0"/>
        <v>7</v>
      </c>
      <c r="F8" s="4">
        <v>283.32131700000002</v>
      </c>
      <c r="G8" s="4">
        <v>750.80149010000002</v>
      </c>
      <c r="H8" s="4">
        <v>117.89</v>
      </c>
      <c r="I8" s="4">
        <v>0.11788999999999999</v>
      </c>
      <c r="J8" s="4">
        <v>1.1789E-4</v>
      </c>
      <c r="K8" s="4">
        <v>0.25990265200000001</v>
      </c>
      <c r="L8" s="4">
        <v>1.6E-2</v>
      </c>
      <c r="M8" s="4">
        <v>3</v>
      </c>
      <c r="N8" s="4">
        <v>19.458931759999999</v>
      </c>
      <c r="O8" s="4">
        <f t="shared" si="1"/>
        <v>4.4868993050588703E-2</v>
      </c>
      <c r="P8" s="4">
        <f t="shared" si="2"/>
        <v>4.2657671869979312</v>
      </c>
      <c r="Q8" s="4">
        <f t="shared" si="6"/>
        <v>10.835048654974745</v>
      </c>
      <c r="R8" s="4">
        <f t="shared" si="3"/>
        <v>20.35225710126403</v>
      </c>
      <c r="S8" s="4">
        <f t="shared" si="4"/>
        <v>48.91193727773139</v>
      </c>
      <c r="T8" s="4">
        <f t="shared" si="5"/>
        <v>129.61663378598817</v>
      </c>
      <c r="U8" s="4">
        <v>11</v>
      </c>
      <c r="V8" s="4">
        <v>0.6</v>
      </c>
      <c r="W8" s="4">
        <v>0</v>
      </c>
    </row>
    <row r="9" spans="1:25" x14ac:dyDescent="0.25">
      <c r="A9" s="4" t="s">
        <v>21</v>
      </c>
      <c r="B9" s="4" t="s">
        <v>22</v>
      </c>
      <c r="C9" s="4">
        <v>8</v>
      </c>
      <c r="D9" s="4">
        <v>1</v>
      </c>
      <c r="E9" s="4">
        <f t="shared" si="0"/>
        <v>8</v>
      </c>
      <c r="F9" s="4">
        <v>314.44364339999998</v>
      </c>
      <c r="G9" s="4">
        <v>833.27565500000003</v>
      </c>
      <c r="H9" s="4">
        <v>130.84</v>
      </c>
      <c r="I9" s="4">
        <v>0.13084000000000001</v>
      </c>
      <c r="J9" s="4">
        <v>1.3083999999999999E-4</v>
      </c>
      <c r="K9" s="4">
        <v>0.28845248099999998</v>
      </c>
      <c r="L9" s="4">
        <v>1.6E-2</v>
      </c>
      <c r="M9" s="4">
        <v>3</v>
      </c>
      <c r="N9" s="4">
        <v>20.14683599</v>
      </c>
      <c r="O9" s="4">
        <f t="shared" si="1"/>
        <v>4.5799951171440277E-2</v>
      </c>
      <c r="P9" s="4">
        <f t="shared" si="2"/>
        <v>4.2950680245908579</v>
      </c>
      <c r="Q9" s="4">
        <f t="shared" si="6"/>
        <v>10.90947278246078</v>
      </c>
      <c r="R9" s="4">
        <f t="shared" si="3"/>
        <v>20.774533103863831</v>
      </c>
      <c r="S9" s="4">
        <f t="shared" si="4"/>
        <v>49.926779869896251</v>
      </c>
      <c r="T9" s="4">
        <f t="shared" si="5"/>
        <v>132.30596665522506</v>
      </c>
      <c r="U9" s="4">
        <v>11</v>
      </c>
      <c r="V9" s="4">
        <v>0.6</v>
      </c>
      <c r="W9" s="4">
        <v>0</v>
      </c>
    </row>
    <row r="10" spans="1:25" x14ac:dyDescent="0.25">
      <c r="A10" s="4" t="s">
        <v>21</v>
      </c>
      <c r="B10" s="4" t="s">
        <v>22</v>
      </c>
      <c r="C10" s="4">
        <v>9</v>
      </c>
      <c r="D10" s="4">
        <v>1</v>
      </c>
      <c r="E10" s="4">
        <f t="shared" si="0"/>
        <v>9</v>
      </c>
      <c r="F10" s="4">
        <v>345.5659698</v>
      </c>
      <c r="G10" s="4">
        <v>915.74981979999995</v>
      </c>
      <c r="H10" s="4">
        <v>143.79</v>
      </c>
      <c r="I10" s="4">
        <v>0.14379</v>
      </c>
      <c r="J10" s="4">
        <v>1.4379E-4</v>
      </c>
      <c r="K10" s="4">
        <v>0.31700231000000001</v>
      </c>
      <c r="L10" s="4">
        <v>1.6E-2</v>
      </c>
      <c r="M10" s="4">
        <v>3</v>
      </c>
      <c r="N10" s="4">
        <v>20.790721789999999</v>
      </c>
      <c r="O10" s="4">
        <f t="shared" si="1"/>
        <v>4.6316301602295648E-2</v>
      </c>
      <c r="P10" s="4">
        <f t="shared" si="2"/>
        <v>4.3111486652091582</v>
      </c>
      <c r="Q10" s="4">
        <f t="shared" si="6"/>
        <v>10.950317609631261</v>
      </c>
      <c r="R10" s="4">
        <f t="shared" si="3"/>
        <v>21.008745998083864</v>
      </c>
      <c r="S10" s="4">
        <f t="shared" si="4"/>
        <v>50.489656328007364</v>
      </c>
      <c r="T10" s="4">
        <f t="shared" si="5"/>
        <v>133.79758926921951</v>
      </c>
      <c r="U10" s="4">
        <v>11</v>
      </c>
      <c r="V10" s="4">
        <v>0.6</v>
      </c>
      <c r="W10" s="4">
        <v>0</v>
      </c>
    </row>
    <row r="11" spans="1:25" x14ac:dyDescent="0.25">
      <c r="A11" s="4" t="s">
        <v>21</v>
      </c>
      <c r="B11" s="4" t="s">
        <v>22</v>
      </c>
      <c r="C11" s="4">
        <v>10</v>
      </c>
      <c r="D11" s="4">
        <v>1</v>
      </c>
      <c r="E11" s="4">
        <f t="shared" si="0"/>
        <v>10</v>
      </c>
      <c r="F11" s="4">
        <v>372.74693589999998</v>
      </c>
      <c r="G11" s="4">
        <v>987.77937999999995</v>
      </c>
      <c r="H11" s="4">
        <v>155.1</v>
      </c>
      <c r="I11" s="4">
        <v>0.15509999999999999</v>
      </c>
      <c r="J11" s="4">
        <v>1.551E-4</v>
      </c>
      <c r="K11" s="4">
        <v>0.341936562</v>
      </c>
      <c r="L11" s="4">
        <v>1.6E-2</v>
      </c>
      <c r="M11" s="4">
        <v>3</v>
      </c>
      <c r="N11" s="4">
        <v>21.32213089</v>
      </c>
      <c r="O11" s="4">
        <f t="shared" si="1"/>
        <v>4.6601323032889247E-2</v>
      </c>
      <c r="P11" s="4">
        <f t="shared" si="2"/>
        <v>4.3199739078963271</v>
      </c>
      <c r="Q11" s="4">
        <f t="shared" si="6"/>
        <v>10.972733726056671</v>
      </c>
      <c r="R11" s="4">
        <f t="shared" si="3"/>
        <v>21.138029698038324</v>
      </c>
      <c r="S11" s="4">
        <f t="shared" si="4"/>
        <v>50.800359764571795</v>
      </c>
      <c r="T11" s="4">
        <f t="shared" si="5"/>
        <v>134.62095337611524</v>
      </c>
      <c r="U11" s="4">
        <v>11</v>
      </c>
      <c r="V11" s="4">
        <v>0.6</v>
      </c>
      <c r="W11" s="4">
        <v>0</v>
      </c>
    </row>
    <row r="12" spans="1:25" x14ac:dyDescent="0.25">
      <c r="A12" s="4" t="s">
        <v>23</v>
      </c>
      <c r="B12" s="4" t="s">
        <v>24</v>
      </c>
      <c r="C12" s="4">
        <v>1</v>
      </c>
      <c r="D12" s="4">
        <v>3</v>
      </c>
      <c r="E12" s="4">
        <f t="shared" si="0"/>
        <v>3</v>
      </c>
      <c r="F12" s="4">
        <v>829.48845900000003</v>
      </c>
      <c r="G12" s="4">
        <v>2197.74442</v>
      </c>
      <c r="H12" s="4">
        <v>345.15014780000001</v>
      </c>
      <c r="I12" s="4">
        <v>0.34515014799999999</v>
      </c>
      <c r="J12" s="4">
        <v>3.4515000000000001E-4</v>
      </c>
      <c r="K12" s="4">
        <v>0.76092491900000003</v>
      </c>
      <c r="L12" s="4">
        <v>0.03</v>
      </c>
      <c r="M12" s="4">
        <v>3</v>
      </c>
      <c r="N12" s="4">
        <v>30.046246140000001</v>
      </c>
      <c r="O12" s="4">
        <f t="shared" si="1"/>
        <v>41.381880133243143</v>
      </c>
      <c r="P12" s="4">
        <f t="shared" si="2"/>
        <v>33.673223297257124</v>
      </c>
      <c r="Q12" s="4">
        <f t="shared" si="6"/>
        <v>85.529987175033099</v>
      </c>
      <c r="R12" s="4">
        <f t="shared" si="3"/>
        <v>18770.527407554655</v>
      </c>
      <c r="S12" s="4">
        <f t="shared" si="4"/>
        <v>45110.616216185175</v>
      </c>
      <c r="T12" s="4">
        <f t="shared" si="5"/>
        <v>119543.13297289071</v>
      </c>
      <c r="U12" s="4">
        <v>330</v>
      </c>
      <c r="V12" s="4">
        <v>0.1</v>
      </c>
      <c r="W12" s="4">
        <v>0</v>
      </c>
      <c r="Y12" s="4" t="s">
        <v>402</v>
      </c>
    </row>
    <row r="13" spans="1:25" x14ac:dyDescent="0.25">
      <c r="A13" s="4" t="s">
        <v>23</v>
      </c>
      <c r="B13" s="4" t="s">
        <v>24</v>
      </c>
      <c r="C13" s="4">
        <v>2</v>
      </c>
      <c r="D13" s="4">
        <v>3</v>
      </c>
      <c r="E13" s="4">
        <f t="shared" si="0"/>
        <v>6</v>
      </c>
      <c r="F13" s="4">
        <v>67705.010320000001</v>
      </c>
      <c r="G13" s="4">
        <v>179418.27739999999</v>
      </c>
      <c r="H13" s="4">
        <v>28172.054789999998</v>
      </c>
      <c r="I13" s="4">
        <v>28.172054790000001</v>
      </c>
      <c r="J13" s="4">
        <v>2.8172055000000001E-2</v>
      </c>
      <c r="K13" s="4">
        <v>62.108675439999999</v>
      </c>
      <c r="L13" s="4">
        <v>2.5999999999999999E-2</v>
      </c>
      <c r="M13" s="4">
        <v>3</v>
      </c>
      <c r="N13" s="4">
        <v>145.55493849999999</v>
      </c>
      <c r="O13" s="4">
        <f t="shared" si="1"/>
        <v>189.20063197228112</v>
      </c>
      <c r="P13" s="4">
        <f t="shared" si="2"/>
        <v>58.61896066494932</v>
      </c>
      <c r="Q13" s="4">
        <f t="shared" si="6"/>
        <v>148.89216008897128</v>
      </c>
      <c r="R13" s="4">
        <f t="shared" si="3"/>
        <v>85820.065123368709</v>
      </c>
      <c r="S13" s="4">
        <f t="shared" si="4"/>
        <v>206248.65446615889</v>
      </c>
      <c r="T13" s="4">
        <f t="shared" si="5"/>
        <v>546558.93433532107</v>
      </c>
      <c r="U13" s="4">
        <v>330</v>
      </c>
      <c r="V13" s="4">
        <v>0.1</v>
      </c>
      <c r="W13" s="4">
        <v>0</v>
      </c>
      <c r="Y13" s="4" t="s">
        <v>1037</v>
      </c>
    </row>
    <row r="14" spans="1:25" x14ac:dyDescent="0.25">
      <c r="A14" s="4" t="s">
        <v>23</v>
      </c>
      <c r="B14" s="4" t="s">
        <v>24</v>
      </c>
      <c r="C14" s="4">
        <v>3</v>
      </c>
      <c r="D14" s="4">
        <v>3</v>
      </c>
      <c r="E14" s="4">
        <f t="shared" si="0"/>
        <v>9</v>
      </c>
      <c r="F14" s="4">
        <v>124433.10189999999</v>
      </c>
      <c r="G14" s="4">
        <v>329747.71999999997</v>
      </c>
      <c r="H14" s="4">
        <v>51776.613700000002</v>
      </c>
      <c r="I14" s="4">
        <v>51.776613699999999</v>
      </c>
      <c r="J14" s="4">
        <v>5.1776613999999999E-2</v>
      </c>
      <c r="K14" s="4">
        <v>114.1477581</v>
      </c>
      <c r="L14" s="4">
        <v>2.5999999999999999E-2</v>
      </c>
      <c r="M14" s="4">
        <v>3</v>
      </c>
      <c r="N14" s="4">
        <v>181.035417</v>
      </c>
      <c r="O14" s="4">
        <f t="shared" si="1"/>
        <v>430.48512617683502</v>
      </c>
      <c r="P14" s="4">
        <f t="shared" si="2"/>
        <v>77.099217435276501</v>
      </c>
      <c r="Q14" s="4">
        <f t="shared" si="6"/>
        <v>195.8320122856023</v>
      </c>
      <c r="R14" s="4">
        <f t="shared" si="3"/>
        <v>195265.00085131906</v>
      </c>
      <c r="S14" s="4">
        <f t="shared" si="4"/>
        <v>469274.21497553244</v>
      </c>
      <c r="T14" s="4">
        <f t="shared" si="5"/>
        <v>1243576.669685161</v>
      </c>
      <c r="U14" s="4">
        <v>330</v>
      </c>
      <c r="V14" s="4">
        <v>0.1</v>
      </c>
      <c r="W14" s="4">
        <v>0</v>
      </c>
    </row>
    <row r="15" spans="1:25" x14ac:dyDescent="0.25">
      <c r="A15" s="4" t="s">
        <v>23</v>
      </c>
      <c r="B15" s="4" t="s">
        <v>24</v>
      </c>
      <c r="C15" s="4">
        <v>4</v>
      </c>
      <c r="D15" s="4">
        <v>3</v>
      </c>
      <c r="E15" s="4">
        <f t="shared" si="0"/>
        <v>12</v>
      </c>
      <c r="F15" s="4">
        <v>157775.1923</v>
      </c>
      <c r="G15" s="4">
        <v>418104.2597</v>
      </c>
      <c r="H15" s="4">
        <v>65650.257519999999</v>
      </c>
      <c r="I15" s="4">
        <v>65.650257519999997</v>
      </c>
      <c r="J15" s="4">
        <v>6.5650258000000003E-2</v>
      </c>
      <c r="K15" s="4">
        <v>144.73387070000001</v>
      </c>
      <c r="L15" s="4">
        <v>2.5999999999999999E-2</v>
      </c>
      <c r="M15" s="4">
        <v>3</v>
      </c>
      <c r="N15" s="4">
        <v>197.1142183</v>
      </c>
      <c r="O15" s="4">
        <f t="shared" si="1"/>
        <v>702.94021695686058</v>
      </c>
      <c r="P15" s="4">
        <f t="shared" si="2"/>
        <v>90.789728373611553</v>
      </c>
      <c r="Q15" s="4">
        <f t="shared" si="6"/>
        <v>230.60591006897334</v>
      </c>
      <c r="R15" s="4">
        <f t="shared" si="3"/>
        <v>318848.69816878217</v>
      </c>
      <c r="S15" s="4">
        <f t="shared" si="4"/>
        <v>766279.0150655664</v>
      </c>
      <c r="T15" s="4">
        <f t="shared" si="5"/>
        <v>2030639.3899237509</v>
      </c>
      <c r="U15" s="4">
        <v>330</v>
      </c>
      <c r="V15" s="4">
        <v>0.1</v>
      </c>
      <c r="W15" s="4">
        <v>0</v>
      </c>
    </row>
    <row r="16" spans="1:25" x14ac:dyDescent="0.25">
      <c r="A16" s="4" t="s">
        <v>23</v>
      </c>
      <c r="B16" s="4" t="s">
        <v>24</v>
      </c>
      <c r="C16" s="4">
        <v>5</v>
      </c>
      <c r="D16" s="4">
        <v>3</v>
      </c>
      <c r="E16" s="4">
        <f t="shared" si="0"/>
        <v>15</v>
      </c>
      <c r="F16" s="4">
        <v>174502.53330000001</v>
      </c>
      <c r="G16" s="4">
        <v>462431.7133</v>
      </c>
      <c r="H16" s="4">
        <v>72610.504109999994</v>
      </c>
      <c r="I16" s="4">
        <v>72.610504109999994</v>
      </c>
      <c r="J16" s="4">
        <v>7.2610504000000006E-2</v>
      </c>
      <c r="K16" s="4">
        <v>160.07856960000001</v>
      </c>
      <c r="L16" s="4">
        <v>2.5999999999999999E-2</v>
      </c>
      <c r="M16" s="4">
        <v>3</v>
      </c>
      <c r="N16" s="4">
        <v>204.3636362</v>
      </c>
      <c r="O16" s="4">
        <f t="shared" si="1"/>
        <v>965.81444043025897</v>
      </c>
      <c r="P16" s="4">
        <f t="shared" si="2"/>
        <v>100.93190832717249</v>
      </c>
      <c r="Q16" s="4">
        <f t="shared" si="6"/>
        <v>256.36704715101814</v>
      </c>
      <c r="R16" s="4">
        <f t="shared" si="3"/>
        <v>438086.58200971549</v>
      </c>
      <c r="S16" s="4">
        <f t="shared" si="4"/>
        <v>1052839.6587592296</v>
      </c>
      <c r="T16" s="4">
        <f t="shared" si="5"/>
        <v>2790025.0957119581</v>
      </c>
      <c r="U16" s="4">
        <v>330</v>
      </c>
      <c r="V16" s="4">
        <v>0.1</v>
      </c>
      <c r="W16" s="4">
        <v>0</v>
      </c>
    </row>
    <row r="17" spans="1:25" x14ac:dyDescent="0.25">
      <c r="A17" s="4" t="s">
        <v>23</v>
      </c>
      <c r="B17" s="4" t="s">
        <v>24</v>
      </c>
      <c r="C17" s="4">
        <v>6</v>
      </c>
      <c r="D17" s="4">
        <v>3</v>
      </c>
      <c r="E17" s="4">
        <f t="shared" si="0"/>
        <v>18</v>
      </c>
      <c r="F17" s="4">
        <v>182386.1888</v>
      </c>
      <c r="G17" s="4">
        <v>483323.40029999998</v>
      </c>
      <c r="H17" s="4">
        <v>75890.893160000007</v>
      </c>
      <c r="I17" s="4">
        <v>75.890893160000005</v>
      </c>
      <c r="J17" s="4">
        <v>7.5890893000000001E-2</v>
      </c>
      <c r="K17" s="4">
        <v>167.31058089999999</v>
      </c>
      <c r="L17" s="4">
        <v>2.5999999999999999E-2</v>
      </c>
      <c r="M17" s="4">
        <v>3</v>
      </c>
      <c r="N17" s="4">
        <v>207.62604619999999</v>
      </c>
      <c r="O17" s="4">
        <f t="shared" si="1"/>
        <v>1197.9588118865795</v>
      </c>
      <c r="P17" s="4">
        <f t="shared" si="2"/>
        <v>108.44542003420332</v>
      </c>
      <c r="Q17" s="4">
        <f t="shared" si="6"/>
        <v>275.45136688687643</v>
      </c>
      <c r="R17" s="4">
        <f t="shared" si="3"/>
        <v>543385.62286769575</v>
      </c>
      <c r="S17" s="4">
        <f t="shared" si="4"/>
        <v>1305901.5209509633</v>
      </c>
      <c r="T17" s="4">
        <f t="shared" si="5"/>
        <v>3460639.0305200526</v>
      </c>
      <c r="U17" s="4">
        <v>330</v>
      </c>
      <c r="V17" s="4">
        <v>0.1</v>
      </c>
      <c r="W17" s="4">
        <v>0</v>
      </c>
    </row>
    <row r="18" spans="1:25" x14ac:dyDescent="0.25">
      <c r="A18" s="4" t="s">
        <v>23</v>
      </c>
      <c r="B18" s="4" t="s">
        <v>24</v>
      </c>
      <c r="C18" s="4">
        <v>7</v>
      </c>
      <c r="D18" s="4">
        <v>3</v>
      </c>
      <c r="E18" s="4">
        <f t="shared" si="0"/>
        <v>21</v>
      </c>
      <c r="F18" s="4">
        <v>186004.12839999999</v>
      </c>
      <c r="G18" s="4">
        <v>492910.94010000001</v>
      </c>
      <c r="H18" s="4">
        <v>77396.31783</v>
      </c>
      <c r="I18" s="4">
        <v>77.396317830000001</v>
      </c>
      <c r="J18" s="4">
        <v>7.7396318000000006E-2</v>
      </c>
      <c r="K18" s="4">
        <v>170.62947019999999</v>
      </c>
      <c r="L18" s="4">
        <v>2.5999999999999999E-2</v>
      </c>
      <c r="M18" s="4">
        <v>3</v>
      </c>
      <c r="N18" s="4">
        <v>209.0929592</v>
      </c>
      <c r="O18" s="4">
        <f t="shared" si="1"/>
        <v>1392.0504603632614</v>
      </c>
      <c r="P18" s="4">
        <f t="shared" si="2"/>
        <v>114.01156640807716</v>
      </c>
      <c r="Q18" s="4">
        <f t="shared" si="6"/>
        <v>289.58937867651599</v>
      </c>
      <c r="R18" s="4">
        <f t="shared" si="3"/>
        <v>631424.21839739336</v>
      </c>
      <c r="S18" s="4">
        <f t="shared" si="4"/>
        <v>1517481.8995371144</v>
      </c>
      <c r="T18" s="4">
        <f t="shared" si="5"/>
        <v>4021327.0337733533</v>
      </c>
      <c r="U18" s="4">
        <v>330</v>
      </c>
      <c r="V18" s="4">
        <v>0.1</v>
      </c>
      <c r="W18" s="4">
        <v>0</v>
      </c>
    </row>
    <row r="19" spans="1:25" x14ac:dyDescent="0.25">
      <c r="A19" s="4" t="s">
        <v>23</v>
      </c>
      <c r="B19" s="4" t="s">
        <v>24</v>
      </c>
      <c r="C19" s="4">
        <v>8</v>
      </c>
      <c r="D19" s="4">
        <v>3</v>
      </c>
      <c r="E19" s="4">
        <f t="shared" si="0"/>
        <v>24</v>
      </c>
      <c r="F19" s="4">
        <v>187644.9615</v>
      </c>
      <c r="G19" s="4">
        <v>497259.14809999999</v>
      </c>
      <c r="H19" s="4">
        <v>78079.068480000002</v>
      </c>
      <c r="I19" s="4">
        <v>78.079068480000004</v>
      </c>
      <c r="J19" s="4">
        <v>7.8079068000000001E-2</v>
      </c>
      <c r="K19" s="4">
        <v>172.13467600000001</v>
      </c>
      <c r="L19" s="4">
        <v>2.5999999999999999E-2</v>
      </c>
      <c r="M19" s="4">
        <v>3</v>
      </c>
      <c r="N19" s="4">
        <v>209.75221239999999</v>
      </c>
      <c r="O19" s="4">
        <f t="shared" si="1"/>
        <v>1548.6196276465967</v>
      </c>
      <c r="P19" s="4">
        <f t="shared" si="2"/>
        <v>118.13506906082436</v>
      </c>
      <c r="Q19" s="4">
        <f t="shared" si="6"/>
        <v>300.06307541449388</v>
      </c>
      <c r="R19" s="4">
        <f t="shared" si="3"/>
        <v>702442.88251335674</v>
      </c>
      <c r="S19" s="4">
        <f t="shared" si="4"/>
        <v>1688158.8140191219</v>
      </c>
      <c r="T19" s="4">
        <f t="shared" si="5"/>
        <v>4473620.8571506729</v>
      </c>
      <c r="U19" s="4">
        <v>330</v>
      </c>
      <c r="V19" s="4">
        <v>0.1</v>
      </c>
      <c r="W19" s="4">
        <v>0</v>
      </c>
    </row>
    <row r="20" spans="1:25" x14ac:dyDescent="0.25">
      <c r="A20" s="4" t="s">
        <v>23</v>
      </c>
      <c r="B20" s="4" t="s">
        <v>24</v>
      </c>
      <c r="C20" s="4">
        <v>9</v>
      </c>
      <c r="D20" s="4">
        <v>3</v>
      </c>
      <c r="E20" s="4">
        <f t="shared" si="0"/>
        <v>27</v>
      </c>
      <c r="F20" s="4">
        <v>188385.81349999999</v>
      </c>
      <c r="G20" s="4">
        <v>499222.4057</v>
      </c>
      <c r="H20" s="4">
        <v>78387.337</v>
      </c>
      <c r="I20" s="4">
        <v>78.387337000000002</v>
      </c>
      <c r="J20" s="4">
        <v>7.8387337000000001E-2</v>
      </c>
      <c r="K20" s="4">
        <v>172.8142909</v>
      </c>
      <c r="L20" s="4">
        <v>2.5999999999999999E-2</v>
      </c>
      <c r="M20" s="4">
        <v>3</v>
      </c>
      <c r="N20" s="4">
        <v>210.0486598</v>
      </c>
      <c r="O20" s="4">
        <f t="shared" si="1"/>
        <v>1671.886622813181</v>
      </c>
      <c r="P20" s="4">
        <f t="shared" si="2"/>
        <v>121.18983495900891</v>
      </c>
      <c r="Q20" s="4">
        <f t="shared" si="6"/>
        <v>307.82218079588262</v>
      </c>
      <c r="R20" s="4">
        <f t="shared" si="3"/>
        <v>758355.9174883567</v>
      </c>
      <c r="S20" s="4">
        <f t="shared" si="4"/>
        <v>1822532.8466434909</v>
      </c>
      <c r="T20" s="4">
        <f t="shared" si="5"/>
        <v>4829712.0436052512</v>
      </c>
      <c r="U20" s="4">
        <v>330</v>
      </c>
      <c r="V20" s="4">
        <v>0.1</v>
      </c>
      <c r="W20" s="4">
        <v>0</v>
      </c>
    </row>
    <row r="21" spans="1:25" x14ac:dyDescent="0.25">
      <c r="A21" s="4" t="s">
        <v>23</v>
      </c>
      <c r="B21" s="4" t="s">
        <v>24</v>
      </c>
      <c r="C21" s="4">
        <v>10</v>
      </c>
      <c r="D21" s="4">
        <v>3</v>
      </c>
      <c r="E21" s="4">
        <f t="shared" si="0"/>
        <v>30</v>
      </c>
      <c r="F21" s="4">
        <v>188718.33360000001</v>
      </c>
      <c r="G21" s="4">
        <v>500103.58419999998</v>
      </c>
      <c r="H21" s="4">
        <v>78525.698610000007</v>
      </c>
      <c r="I21" s="4">
        <v>78.525698610000006</v>
      </c>
      <c r="J21" s="4">
        <v>7.8525699000000004E-2</v>
      </c>
      <c r="K21" s="4">
        <v>173.11932569999999</v>
      </c>
      <c r="L21" s="4">
        <v>2.5999999999999999E-2</v>
      </c>
      <c r="M21" s="4">
        <v>3</v>
      </c>
      <c r="N21" s="4">
        <v>210.18147250000001</v>
      </c>
      <c r="O21" s="4">
        <f t="shared" si="1"/>
        <v>1767.3058707353075</v>
      </c>
      <c r="P21" s="4">
        <f t="shared" si="2"/>
        <v>123.45286119630114</v>
      </c>
      <c r="Q21" s="4">
        <f t="shared" si="6"/>
        <v>313.5702674386049</v>
      </c>
      <c r="R21" s="4">
        <f t="shared" si="3"/>
        <v>801637.41176951467</v>
      </c>
      <c r="S21" s="4">
        <f t="shared" si="4"/>
        <v>1926549.8961055388</v>
      </c>
      <c r="T21" s="4">
        <f t="shared" si="5"/>
        <v>5105357.2246796777</v>
      </c>
      <c r="U21" s="4">
        <v>330</v>
      </c>
      <c r="V21" s="4">
        <v>0.1</v>
      </c>
      <c r="W21" s="4">
        <v>0</v>
      </c>
    </row>
    <row r="22" spans="1:25" x14ac:dyDescent="0.25">
      <c r="A22" s="4" t="s">
        <v>25</v>
      </c>
      <c r="B22" s="4" t="s">
        <v>26</v>
      </c>
      <c r="C22" s="4">
        <v>1</v>
      </c>
      <c r="D22" s="4">
        <v>3</v>
      </c>
      <c r="E22" s="4">
        <f t="shared" si="0"/>
        <v>3</v>
      </c>
      <c r="F22" s="4">
        <v>829.48845900000003</v>
      </c>
      <c r="G22" s="4">
        <v>2197.74442</v>
      </c>
      <c r="H22" s="4">
        <v>345.15014780000001</v>
      </c>
      <c r="I22" s="4">
        <v>0.34515014799999999</v>
      </c>
      <c r="J22" s="4">
        <v>3.4515000000000001E-4</v>
      </c>
      <c r="K22" s="4">
        <v>0.76092491900000003</v>
      </c>
      <c r="L22" s="4">
        <v>2.1399999999999999E-2</v>
      </c>
      <c r="M22" s="4">
        <v>2.96</v>
      </c>
      <c r="N22" s="4">
        <v>26.392744749999999</v>
      </c>
      <c r="O22" s="4">
        <f t="shared" si="1"/>
        <v>25.557613093704639</v>
      </c>
      <c r="P22" s="4">
        <f t="shared" si="2"/>
        <v>34.060551864544379</v>
      </c>
      <c r="Q22" s="4">
        <f t="shared" si="6"/>
        <v>86.513801735942721</v>
      </c>
      <c r="R22" s="4">
        <f t="shared" si="3"/>
        <v>11592.752081403887</v>
      </c>
      <c r="S22" s="4">
        <f t="shared" si="4"/>
        <v>27860.495268935083</v>
      </c>
      <c r="T22" s="4">
        <f t="shared" si="5"/>
        <v>73830.312462677961</v>
      </c>
      <c r="U22" s="4">
        <v>358.7</v>
      </c>
      <c r="V22" s="4">
        <v>9.1999999999999998E-2</v>
      </c>
      <c r="W22" s="4">
        <v>0</v>
      </c>
      <c r="Y22" s="4" t="s">
        <v>1038</v>
      </c>
    </row>
    <row r="23" spans="1:25" x14ac:dyDescent="0.25">
      <c r="A23" s="4" t="s">
        <v>25</v>
      </c>
      <c r="B23" s="4" t="s">
        <v>26</v>
      </c>
      <c r="C23" s="4">
        <v>2</v>
      </c>
      <c r="D23" s="4">
        <v>3</v>
      </c>
      <c r="E23" s="4">
        <f t="shared" si="0"/>
        <v>6</v>
      </c>
      <c r="F23" s="4">
        <v>67705.010320000001</v>
      </c>
      <c r="G23" s="4">
        <v>179418.27739999999</v>
      </c>
      <c r="H23" s="4">
        <v>28172.054789999998</v>
      </c>
      <c r="I23" s="4">
        <v>28.172054790000001</v>
      </c>
      <c r="J23" s="4">
        <v>2.8172055000000001E-2</v>
      </c>
      <c r="K23" s="4">
        <v>62.108675439999999</v>
      </c>
      <c r="L23" s="4">
        <v>2.1399999999999999E-2</v>
      </c>
      <c r="M23" s="4">
        <v>2.96</v>
      </c>
      <c r="N23" s="4">
        <v>116.779462</v>
      </c>
      <c r="O23" s="4">
        <f t="shared" si="1"/>
        <v>135.94725876141783</v>
      </c>
      <c r="P23" s="4">
        <f t="shared" si="2"/>
        <v>59.90613904822456</v>
      </c>
      <c r="Q23" s="4">
        <f t="shared" si="6"/>
        <v>152.16159318249038</v>
      </c>
      <c r="R23" s="4">
        <f t="shared" si="3"/>
        <v>61664.712631391267</v>
      </c>
      <c r="S23" s="4">
        <f t="shared" si="4"/>
        <v>148196.85804227652</v>
      </c>
      <c r="T23" s="4">
        <f t="shared" si="5"/>
        <v>392721.67381203279</v>
      </c>
      <c r="U23" s="4">
        <v>358.7</v>
      </c>
      <c r="V23" s="4">
        <v>9.1999999999999998E-2</v>
      </c>
      <c r="W23" s="4">
        <v>0</v>
      </c>
    </row>
    <row r="24" spans="1:25" x14ac:dyDescent="0.25">
      <c r="A24" s="4" t="s">
        <v>25</v>
      </c>
      <c r="B24" s="4" t="s">
        <v>26</v>
      </c>
      <c r="C24" s="4">
        <v>3</v>
      </c>
      <c r="D24" s="4">
        <v>3</v>
      </c>
      <c r="E24" s="4">
        <f t="shared" si="0"/>
        <v>9</v>
      </c>
      <c r="F24" s="4">
        <v>124433.10189999999</v>
      </c>
      <c r="G24" s="4">
        <v>329747.71999999997</v>
      </c>
      <c r="H24" s="4">
        <v>51776.613700000002</v>
      </c>
      <c r="I24" s="4">
        <v>51.776613699999999</v>
      </c>
      <c r="J24" s="4">
        <v>5.1776613999999999E-2</v>
      </c>
      <c r="K24" s="4">
        <v>114.1477581</v>
      </c>
      <c r="L24" s="4">
        <v>2.1399999999999999E-2</v>
      </c>
      <c r="M24" s="4">
        <v>2.96</v>
      </c>
      <c r="N24" s="4">
        <v>143.43730550000001</v>
      </c>
      <c r="O24" s="4">
        <f t="shared" si="1"/>
        <v>314.36539906417744</v>
      </c>
      <c r="P24" s="4">
        <f t="shared" si="2"/>
        <v>79.518104806318092</v>
      </c>
      <c r="Q24" s="4">
        <f t="shared" si="6"/>
        <v>201.97598620804794</v>
      </c>
      <c r="R24" s="4">
        <f t="shared" si="3"/>
        <v>142593.91598741617</v>
      </c>
      <c r="S24" s="4">
        <f t="shared" si="4"/>
        <v>342691.45875370386</v>
      </c>
      <c r="T24" s="4">
        <f t="shared" si="5"/>
        <v>908132.3656973152</v>
      </c>
      <c r="U24" s="4">
        <v>358.7</v>
      </c>
      <c r="V24" s="4">
        <v>9.1999999999999998E-2</v>
      </c>
      <c r="W24" s="4">
        <v>0</v>
      </c>
    </row>
    <row r="25" spans="1:25" x14ac:dyDescent="0.25">
      <c r="A25" s="4" t="s">
        <v>25</v>
      </c>
      <c r="B25" s="4" t="s">
        <v>26</v>
      </c>
      <c r="C25" s="4">
        <v>4</v>
      </c>
      <c r="D25" s="4">
        <v>3</v>
      </c>
      <c r="E25" s="4">
        <f t="shared" si="0"/>
        <v>12</v>
      </c>
      <c r="F25" s="4">
        <v>157775.1923</v>
      </c>
      <c r="G25" s="4">
        <v>418104.2597</v>
      </c>
      <c r="H25" s="4">
        <v>65650.257519999999</v>
      </c>
      <c r="I25" s="4">
        <v>65.650257519999997</v>
      </c>
      <c r="J25" s="4">
        <v>6.5650258000000003E-2</v>
      </c>
      <c r="K25" s="4">
        <v>144.73387070000001</v>
      </c>
      <c r="L25" s="4">
        <v>2.1399999999999999E-2</v>
      </c>
      <c r="M25" s="4">
        <v>2.96</v>
      </c>
      <c r="N25" s="4">
        <v>155.41543279999999</v>
      </c>
      <c r="O25" s="4">
        <f t="shared" si="1"/>
        <v>522.3616731288356</v>
      </c>
      <c r="P25" s="4">
        <f t="shared" si="2"/>
        <v>94.399918021206148</v>
      </c>
      <c r="Q25" s="4">
        <f t="shared" si="6"/>
        <v>239.77579177386363</v>
      </c>
      <c r="R25" s="4">
        <f t="shared" si="3"/>
        <v>236939.55109217713</v>
      </c>
      <c r="S25" s="4">
        <f t="shared" si="4"/>
        <v>569429.34653250931</v>
      </c>
      <c r="T25" s="4">
        <f t="shared" si="5"/>
        <v>1508987.7683111497</v>
      </c>
      <c r="U25" s="4">
        <v>358.7</v>
      </c>
      <c r="V25" s="4">
        <v>9.1999999999999998E-2</v>
      </c>
      <c r="W25" s="4">
        <v>0</v>
      </c>
    </row>
    <row r="26" spans="1:25" x14ac:dyDescent="0.25">
      <c r="A26" s="4" t="s">
        <v>25</v>
      </c>
      <c r="B26" s="4" t="s">
        <v>26</v>
      </c>
      <c r="C26" s="4">
        <v>5</v>
      </c>
      <c r="D26" s="4">
        <v>3</v>
      </c>
      <c r="E26" s="4">
        <f t="shared" si="0"/>
        <v>15</v>
      </c>
      <c r="F26" s="4">
        <v>174502.53330000001</v>
      </c>
      <c r="G26" s="4">
        <v>462431.7133</v>
      </c>
      <c r="H26" s="4">
        <v>72610.504109999994</v>
      </c>
      <c r="I26" s="4">
        <v>72.610504109999994</v>
      </c>
      <c r="J26" s="4">
        <v>7.2610504000000006E-2</v>
      </c>
      <c r="K26" s="4">
        <v>160.07856960000001</v>
      </c>
      <c r="L26" s="4">
        <v>2.1399999999999999E-2</v>
      </c>
      <c r="M26" s="4">
        <v>2.96</v>
      </c>
      <c r="N26" s="4">
        <v>160.79737159999999</v>
      </c>
      <c r="O26" s="4">
        <f t="shared" si="1"/>
        <v>729.83588810113429</v>
      </c>
      <c r="P26" s="4">
        <f t="shared" si="2"/>
        <v>105.69243032183674</v>
      </c>
      <c r="Q26" s="4">
        <f t="shared" si="6"/>
        <v>268.45877301746532</v>
      </c>
      <c r="R26" s="4">
        <f t="shared" si="3"/>
        <v>331048.38389433746</v>
      </c>
      <c r="S26" s="4">
        <f t="shared" si="4"/>
        <v>795598.13480975106</v>
      </c>
      <c r="T26" s="4">
        <f t="shared" si="5"/>
        <v>2108335.0572458403</v>
      </c>
      <c r="U26" s="4">
        <v>358.7</v>
      </c>
      <c r="V26" s="4">
        <v>9.1999999999999998E-2</v>
      </c>
      <c r="W26" s="4">
        <v>0</v>
      </c>
    </row>
    <row r="27" spans="1:25" x14ac:dyDescent="0.25">
      <c r="A27" s="4" t="s">
        <v>25</v>
      </c>
      <c r="B27" s="4" t="s">
        <v>26</v>
      </c>
      <c r="C27" s="4">
        <v>6</v>
      </c>
      <c r="D27" s="4">
        <v>3</v>
      </c>
      <c r="E27" s="4">
        <f t="shared" si="0"/>
        <v>18</v>
      </c>
      <c r="F27" s="4">
        <v>182386.1888</v>
      </c>
      <c r="G27" s="4">
        <v>483323.40029999998</v>
      </c>
      <c r="H27" s="4">
        <v>75890.893160000007</v>
      </c>
      <c r="I27" s="4">
        <v>75.890893160000005</v>
      </c>
      <c r="J27" s="4">
        <v>7.5890893000000001E-2</v>
      </c>
      <c r="K27" s="4">
        <v>167.31058089999999</v>
      </c>
      <c r="L27" s="4">
        <v>2.1399999999999999E-2</v>
      </c>
      <c r="M27" s="4">
        <v>2.96</v>
      </c>
      <c r="N27" s="4">
        <v>163.21577260000001</v>
      </c>
      <c r="O27" s="4">
        <f t="shared" si="1"/>
        <v>919.25758901967242</v>
      </c>
      <c r="P27" s="4">
        <f t="shared" si="2"/>
        <v>114.26133467633561</v>
      </c>
      <c r="Q27" s="4">
        <f t="shared" si="6"/>
        <v>290.22379007789243</v>
      </c>
      <c r="R27" s="4">
        <f t="shared" si="3"/>
        <v>416968.72432422475</v>
      </c>
      <c r="S27" s="4">
        <f t="shared" si="4"/>
        <v>1002087.7777558874</v>
      </c>
      <c r="T27" s="4">
        <f t="shared" si="5"/>
        <v>2655532.6110531013</v>
      </c>
      <c r="U27" s="4">
        <v>358.7</v>
      </c>
      <c r="V27" s="4">
        <v>9.1999999999999998E-2</v>
      </c>
      <c r="W27" s="4">
        <v>0</v>
      </c>
    </row>
    <row r="28" spans="1:25" x14ac:dyDescent="0.25">
      <c r="A28" s="4" t="s">
        <v>25</v>
      </c>
      <c r="B28" s="4" t="s">
        <v>26</v>
      </c>
      <c r="C28" s="4">
        <v>7</v>
      </c>
      <c r="D28" s="4">
        <v>3</v>
      </c>
      <c r="E28" s="4">
        <f t="shared" si="0"/>
        <v>21</v>
      </c>
      <c r="F28" s="4">
        <v>186004.12839999999</v>
      </c>
      <c r="G28" s="4">
        <v>492910.94010000001</v>
      </c>
      <c r="H28" s="4">
        <v>77396.31783</v>
      </c>
      <c r="I28" s="4">
        <v>77.396317830000001</v>
      </c>
      <c r="J28" s="4">
        <v>7.7396318000000006E-2</v>
      </c>
      <c r="K28" s="4">
        <v>170.62947019999999</v>
      </c>
      <c r="L28" s="4">
        <v>2.1399999999999999E-2</v>
      </c>
      <c r="M28" s="4">
        <v>2.96</v>
      </c>
      <c r="N28" s="4">
        <v>164.30247159999999</v>
      </c>
      <c r="O28" s="4">
        <f t="shared" si="1"/>
        <v>1082.8923467907612</v>
      </c>
      <c r="P28" s="4">
        <f t="shared" si="2"/>
        <v>120.76353010298567</v>
      </c>
      <c r="Q28" s="4">
        <f t="shared" si="6"/>
        <v>306.73936646158359</v>
      </c>
      <c r="R28" s="4">
        <f t="shared" si="3"/>
        <v>491192.29018640902</v>
      </c>
      <c r="S28" s="4">
        <f t="shared" si="4"/>
        <v>1180466.9314741865</v>
      </c>
      <c r="T28" s="4">
        <f t="shared" si="5"/>
        <v>3128237.3684065943</v>
      </c>
      <c r="U28" s="4">
        <v>358.7</v>
      </c>
      <c r="V28" s="4">
        <v>9.1999999999999998E-2</v>
      </c>
      <c r="W28" s="4">
        <v>0</v>
      </c>
    </row>
    <row r="29" spans="1:25" x14ac:dyDescent="0.25">
      <c r="A29" s="4" t="s">
        <v>25</v>
      </c>
      <c r="B29" s="4" t="s">
        <v>26</v>
      </c>
      <c r="C29" s="4">
        <v>8</v>
      </c>
      <c r="D29" s="4">
        <v>3</v>
      </c>
      <c r="E29" s="4">
        <f t="shared" si="0"/>
        <v>24</v>
      </c>
      <c r="F29" s="4">
        <v>187644.9615</v>
      </c>
      <c r="G29" s="4">
        <v>497259.14809999999</v>
      </c>
      <c r="H29" s="4">
        <v>78079.068480000002</v>
      </c>
      <c r="I29" s="4">
        <v>78.079068480000004</v>
      </c>
      <c r="J29" s="4">
        <v>7.8079068000000001E-2</v>
      </c>
      <c r="K29" s="4">
        <v>172.13467600000001</v>
      </c>
      <c r="L29" s="4">
        <v>2.1399999999999999E-2</v>
      </c>
      <c r="M29" s="4">
        <v>2.96</v>
      </c>
      <c r="N29" s="4">
        <v>164.790708</v>
      </c>
      <c r="O29" s="4">
        <f t="shared" si="1"/>
        <v>1219.1635457118855</v>
      </c>
      <c r="P29" s="4">
        <f t="shared" si="2"/>
        <v>125.69748007106431</v>
      </c>
      <c r="Q29" s="4">
        <f t="shared" si="6"/>
        <v>319.27159938050335</v>
      </c>
      <c r="R29" s="4">
        <f t="shared" si="3"/>
        <v>553003.93977732467</v>
      </c>
      <c r="S29" s="4">
        <f t="shared" si="4"/>
        <v>1329016.918474705</v>
      </c>
      <c r="T29" s="4">
        <f t="shared" si="5"/>
        <v>3521894.8339579678</v>
      </c>
      <c r="U29" s="4">
        <v>358.7</v>
      </c>
      <c r="V29" s="4">
        <v>9.1999999999999998E-2</v>
      </c>
      <c r="W29" s="4">
        <v>0</v>
      </c>
    </row>
    <row r="30" spans="1:25" x14ac:dyDescent="0.25">
      <c r="A30" s="4" t="s">
        <v>25</v>
      </c>
      <c r="B30" s="4" t="s">
        <v>26</v>
      </c>
      <c r="C30" s="4">
        <v>9</v>
      </c>
      <c r="D30" s="4">
        <v>3</v>
      </c>
      <c r="E30" s="4">
        <f t="shared" si="0"/>
        <v>27</v>
      </c>
      <c r="F30" s="4">
        <v>188385.81349999999</v>
      </c>
      <c r="G30" s="4">
        <v>499222.4057</v>
      </c>
      <c r="H30" s="4">
        <v>78387.337</v>
      </c>
      <c r="I30" s="4">
        <v>78.387337000000002</v>
      </c>
      <c r="J30" s="4">
        <v>7.8387337000000001E-2</v>
      </c>
      <c r="K30" s="4">
        <v>172.8142909</v>
      </c>
      <c r="L30" s="4">
        <v>2.1399999999999999E-2</v>
      </c>
      <c r="M30" s="4">
        <v>2.96</v>
      </c>
      <c r="N30" s="4">
        <v>165.0102253</v>
      </c>
      <c r="O30" s="4">
        <f t="shared" si="1"/>
        <v>1329.8181106350455</v>
      </c>
      <c r="P30" s="4">
        <f t="shared" si="2"/>
        <v>129.44142510657142</v>
      </c>
      <c r="Q30" s="4">
        <f t="shared" si="6"/>
        <v>328.78121977069139</v>
      </c>
      <c r="R30" s="4">
        <f t="shared" si="3"/>
        <v>603196.06582315569</v>
      </c>
      <c r="S30" s="4">
        <f t="shared" si="4"/>
        <v>1449642.0711923952</v>
      </c>
      <c r="T30" s="4">
        <f t="shared" si="5"/>
        <v>3841551.4886598471</v>
      </c>
      <c r="U30" s="4">
        <v>358.7</v>
      </c>
      <c r="V30" s="4">
        <v>9.1999999999999998E-2</v>
      </c>
      <c r="W30" s="4">
        <v>0</v>
      </c>
    </row>
    <row r="31" spans="1:25" x14ac:dyDescent="0.25">
      <c r="A31" s="4" t="s">
        <v>25</v>
      </c>
      <c r="B31" s="4" t="s">
        <v>26</v>
      </c>
      <c r="C31" s="4">
        <v>10</v>
      </c>
      <c r="D31" s="4">
        <v>3</v>
      </c>
      <c r="E31" s="4">
        <f t="shared" si="0"/>
        <v>30</v>
      </c>
      <c r="F31" s="4">
        <v>188718.33360000001</v>
      </c>
      <c r="G31" s="4">
        <v>500103.58419999998</v>
      </c>
      <c r="H31" s="4">
        <v>78525.698610000007</v>
      </c>
      <c r="I31" s="4">
        <v>78.525698610000006</v>
      </c>
      <c r="J31" s="4">
        <v>7.8525699000000004E-2</v>
      </c>
      <c r="K31" s="4">
        <v>173.11932569999999</v>
      </c>
      <c r="L31" s="4">
        <v>2.1399999999999999E-2</v>
      </c>
      <c r="M31" s="4">
        <v>2.96</v>
      </c>
      <c r="N31" s="4">
        <v>165.1085664</v>
      </c>
      <c r="O31" s="4">
        <f t="shared" si="1"/>
        <v>1418.0816198990503</v>
      </c>
      <c r="P31" s="4">
        <f t="shared" si="2"/>
        <v>132.28237901157357</v>
      </c>
      <c r="Q31" s="4">
        <f t="shared" si="6"/>
        <v>335.99724268939684</v>
      </c>
      <c r="R31" s="4">
        <f t="shared" si="3"/>
        <v>643231.76778721518</v>
      </c>
      <c r="S31" s="4">
        <f t="shared" si="4"/>
        <v>1545858.61039946</v>
      </c>
      <c r="T31" s="4">
        <f t="shared" si="5"/>
        <v>4096525.3175585689</v>
      </c>
      <c r="U31" s="4">
        <v>358.7</v>
      </c>
      <c r="V31" s="4">
        <v>9.1999999999999998E-2</v>
      </c>
      <c r="W31" s="4">
        <v>0</v>
      </c>
    </row>
    <row r="32" spans="1:25" x14ac:dyDescent="0.25">
      <c r="A32" s="4" t="s">
        <v>27</v>
      </c>
      <c r="B32" s="4" t="s">
        <v>28</v>
      </c>
      <c r="C32" s="4">
        <v>1</v>
      </c>
      <c r="D32" s="4">
        <v>1</v>
      </c>
      <c r="E32" s="4">
        <f t="shared" si="0"/>
        <v>1</v>
      </c>
      <c r="F32" s="4">
        <v>269.40639270000003</v>
      </c>
      <c r="G32" s="4">
        <v>713.92694070000005</v>
      </c>
      <c r="H32" s="4">
        <v>112.1</v>
      </c>
      <c r="I32" s="4">
        <v>0.11210000000000001</v>
      </c>
      <c r="J32" s="4">
        <v>1.121E-4</v>
      </c>
      <c r="K32" s="4">
        <v>0.24713790199999999</v>
      </c>
      <c r="L32" s="4">
        <v>1.0999999999999999E-2</v>
      </c>
      <c r="M32" s="4">
        <v>2.9</v>
      </c>
      <c r="N32" s="4">
        <v>24.106956749999998</v>
      </c>
      <c r="O32" s="4">
        <f t="shared" si="1"/>
        <v>9.2034509503643405E-2</v>
      </c>
      <c r="P32" s="4">
        <f t="shared" si="2"/>
        <v>6.7512089601665028</v>
      </c>
      <c r="Q32" s="4">
        <f t="shared" si="6"/>
        <v>17.148070758822918</v>
      </c>
      <c r="R32" s="4">
        <f t="shared" si="3"/>
        <v>41.746200934239646</v>
      </c>
      <c r="S32" s="4">
        <f t="shared" si="4"/>
        <v>100.32732740744927</v>
      </c>
      <c r="T32" s="4">
        <f t="shared" si="5"/>
        <v>265.86741762974054</v>
      </c>
      <c r="U32" s="4">
        <v>94.6</v>
      </c>
      <c r="V32" s="4">
        <v>0.2</v>
      </c>
      <c r="W32" s="4">
        <v>0</v>
      </c>
      <c r="Y32" s="4" t="s">
        <v>402</v>
      </c>
    </row>
    <row r="33" spans="1:25" x14ac:dyDescent="0.25">
      <c r="A33" s="4" t="s">
        <v>27</v>
      </c>
      <c r="B33" s="4" t="s">
        <v>28</v>
      </c>
      <c r="C33" s="4">
        <v>2</v>
      </c>
      <c r="D33" s="4">
        <v>1</v>
      </c>
      <c r="E33" s="4">
        <f t="shared" si="0"/>
        <v>2</v>
      </c>
      <c r="F33" s="4">
        <v>1159.3366980000001</v>
      </c>
      <c r="G33" s="4">
        <v>3072.2422499999998</v>
      </c>
      <c r="H33" s="4">
        <v>482.4</v>
      </c>
      <c r="I33" s="4">
        <v>0.4824</v>
      </c>
      <c r="J33" s="4">
        <v>4.8240000000000002E-4</v>
      </c>
      <c r="K33" s="4">
        <v>1.063508688</v>
      </c>
      <c r="L33" s="4">
        <v>1.0999999999999999E-2</v>
      </c>
      <c r="M33" s="4">
        <v>2.9</v>
      </c>
      <c r="N33" s="4">
        <v>39.874448970000003</v>
      </c>
      <c r="O33" s="4">
        <f t="shared" si="1"/>
        <v>0.52152975596050932</v>
      </c>
      <c r="P33" s="4">
        <f t="shared" si="2"/>
        <v>12.27863135631044</v>
      </c>
      <c r="Q33" s="4">
        <f t="shared" si="6"/>
        <v>31.187723645028516</v>
      </c>
      <c r="R33" s="4">
        <f t="shared" si="3"/>
        <v>236.56219936338658</v>
      </c>
      <c r="S33" s="4">
        <f t="shared" si="4"/>
        <v>568.52246903000855</v>
      </c>
      <c r="T33" s="4">
        <f t="shared" si="5"/>
        <v>1506.5845429295225</v>
      </c>
      <c r="U33" s="4">
        <v>94.6</v>
      </c>
      <c r="V33" s="4">
        <v>0.2</v>
      </c>
      <c r="W33" s="4">
        <v>0</v>
      </c>
    </row>
    <row r="34" spans="1:25" x14ac:dyDescent="0.25">
      <c r="A34" s="4" t="s">
        <v>27</v>
      </c>
      <c r="B34" s="4" t="s">
        <v>28</v>
      </c>
      <c r="C34" s="4">
        <v>3</v>
      </c>
      <c r="D34" s="4">
        <v>1</v>
      </c>
      <c r="E34" s="4">
        <f t="shared" si="0"/>
        <v>3</v>
      </c>
      <c r="F34" s="4">
        <v>3106.2244649999998</v>
      </c>
      <c r="G34" s="4">
        <v>8231.4948330000007</v>
      </c>
      <c r="H34" s="4">
        <v>1292.5</v>
      </c>
      <c r="I34" s="4">
        <v>1.2925</v>
      </c>
      <c r="J34" s="4">
        <v>1.2925E-3</v>
      </c>
      <c r="K34" s="4">
        <v>2.84947135</v>
      </c>
      <c r="L34" s="4">
        <v>1.0999999999999999E-2</v>
      </c>
      <c r="M34" s="4">
        <v>2.9</v>
      </c>
      <c r="N34" s="4">
        <v>56.013011069999997</v>
      </c>
      <c r="O34" s="4">
        <f t="shared" si="1"/>
        <v>1.2955333785002165</v>
      </c>
      <c r="P34" s="4">
        <f t="shared" si="2"/>
        <v>16.804102057285473</v>
      </c>
      <c r="Q34" s="4">
        <f t="shared" si="6"/>
        <v>42.6824192255051</v>
      </c>
      <c r="R34" s="4">
        <f t="shared" si="3"/>
        <v>587.64475442489709</v>
      </c>
      <c r="S34" s="4">
        <f t="shared" si="4"/>
        <v>1412.2680952292651</v>
      </c>
      <c r="T34" s="4">
        <f t="shared" si="5"/>
        <v>3742.5104523575524</v>
      </c>
      <c r="U34" s="4">
        <v>94.6</v>
      </c>
      <c r="V34" s="4">
        <v>0.2</v>
      </c>
      <c r="W34" s="4">
        <v>0</v>
      </c>
    </row>
    <row r="35" spans="1:25" x14ac:dyDescent="0.25">
      <c r="A35" s="4" t="s">
        <v>27</v>
      </c>
      <c r="B35" s="4" t="s">
        <v>28</v>
      </c>
      <c r="C35" s="4">
        <v>4</v>
      </c>
      <c r="D35" s="4">
        <v>1</v>
      </c>
      <c r="E35" s="4">
        <f t="shared" si="0"/>
        <v>4</v>
      </c>
      <c r="F35" s="4">
        <v>5996.8757509999996</v>
      </c>
      <c r="G35" s="4">
        <v>15891.720740000001</v>
      </c>
      <c r="H35" s="4">
        <v>2495.3000000000002</v>
      </c>
      <c r="I35" s="4">
        <v>2.4952999999999999</v>
      </c>
      <c r="J35" s="4">
        <v>2.4953000000000002E-3</v>
      </c>
      <c r="K35" s="4">
        <v>5.5011882859999996</v>
      </c>
      <c r="L35" s="4">
        <v>1.0999999999999999E-2</v>
      </c>
      <c r="M35" s="4">
        <v>2.9</v>
      </c>
      <c r="N35" s="4">
        <v>70.275424290000004</v>
      </c>
      <c r="O35" s="4">
        <f t="shared" si="1"/>
        <v>2.30886320464082</v>
      </c>
      <c r="P35" s="4">
        <f t="shared" si="2"/>
        <v>20.509244092327101</v>
      </c>
      <c r="Q35" s="4">
        <f t="shared" si="6"/>
        <v>52.093479994510837</v>
      </c>
      <c r="R35" s="4">
        <f t="shared" si="3"/>
        <v>1047.2839784819244</v>
      </c>
      <c r="S35" s="4">
        <f t="shared" si="4"/>
        <v>2516.9045385290178</v>
      </c>
      <c r="T35" s="4">
        <f t="shared" si="5"/>
        <v>6669.7970271018967</v>
      </c>
      <c r="U35" s="4">
        <v>94.6</v>
      </c>
      <c r="V35" s="4">
        <v>0.2</v>
      </c>
      <c r="W35" s="4">
        <v>0</v>
      </c>
    </row>
    <row r="36" spans="1:25" x14ac:dyDescent="0.25">
      <c r="A36" s="4" t="s">
        <v>27</v>
      </c>
      <c r="B36" s="4" t="s">
        <v>28</v>
      </c>
      <c r="C36" s="4">
        <v>5</v>
      </c>
      <c r="D36" s="4">
        <v>1</v>
      </c>
      <c r="E36" s="4">
        <f t="shared" si="0"/>
        <v>5</v>
      </c>
      <c r="F36" s="4">
        <v>7692.14131</v>
      </c>
      <c r="G36" s="4">
        <v>20384.174470000002</v>
      </c>
      <c r="H36" s="4">
        <v>3200.6999989999999</v>
      </c>
      <c r="I36" s="4">
        <v>3.2006999989999998</v>
      </c>
      <c r="J36" s="4">
        <v>3.2006999999999999E-3</v>
      </c>
      <c r="K36" s="4">
        <v>7.0563272320000001</v>
      </c>
      <c r="L36" s="4">
        <v>1.0999999999999999E-2</v>
      </c>
      <c r="M36" s="4">
        <v>2.9</v>
      </c>
      <c r="N36" s="4">
        <v>76.574998100000002</v>
      </c>
      <c r="O36" s="4">
        <f t="shared" si="1"/>
        <v>3.4445340186513107</v>
      </c>
      <c r="P36" s="4">
        <f t="shared" si="2"/>
        <v>23.54275782093762</v>
      </c>
      <c r="Q36" s="4">
        <f t="shared" si="6"/>
        <v>59.798604865181552</v>
      </c>
      <c r="R36" s="4">
        <f t="shared" si="3"/>
        <v>1562.4162071700841</v>
      </c>
      <c r="S36" s="4">
        <f t="shared" si="4"/>
        <v>3754.9055687817449</v>
      </c>
      <c r="T36" s="4">
        <f t="shared" si="5"/>
        <v>9950.4997572716238</v>
      </c>
      <c r="U36" s="4">
        <v>94.6</v>
      </c>
      <c r="V36" s="4">
        <v>0.2</v>
      </c>
      <c r="W36" s="4">
        <v>0</v>
      </c>
    </row>
    <row r="37" spans="1:25" x14ac:dyDescent="0.25">
      <c r="A37" s="4" t="s">
        <v>27</v>
      </c>
      <c r="B37" s="4" t="s">
        <v>28</v>
      </c>
      <c r="C37" s="4">
        <v>6</v>
      </c>
      <c r="D37" s="4">
        <v>1</v>
      </c>
      <c r="E37" s="4">
        <f t="shared" si="0"/>
        <v>6</v>
      </c>
      <c r="F37" s="4">
        <v>10142.27349</v>
      </c>
      <c r="G37" s="4">
        <v>26877.02475</v>
      </c>
      <c r="H37" s="4">
        <v>4220.1999990000004</v>
      </c>
      <c r="I37" s="4">
        <v>4.2201999990000001</v>
      </c>
      <c r="J37" s="4">
        <v>4.2202000000000003E-3</v>
      </c>
      <c r="K37" s="4">
        <v>9.3039373219999995</v>
      </c>
      <c r="L37" s="4">
        <v>1.0999999999999999E-2</v>
      </c>
      <c r="M37" s="4">
        <v>2.9</v>
      </c>
      <c r="N37" s="4">
        <v>84.235793580000006</v>
      </c>
      <c r="O37" s="4">
        <f t="shared" si="1"/>
        <v>4.6072794511240875</v>
      </c>
      <c r="P37" s="4">
        <f t="shared" si="2"/>
        <v>26.026388800435313</v>
      </c>
      <c r="Q37" s="4">
        <f t="shared" si="6"/>
        <v>66.107027553105695</v>
      </c>
      <c r="R37" s="4">
        <f t="shared" si="3"/>
        <v>2089.8292908184121</v>
      </c>
      <c r="S37" s="4">
        <f t="shared" si="4"/>
        <v>5022.4207902389144</v>
      </c>
      <c r="T37" s="4">
        <f t="shared" si="5"/>
        <v>13309.415094133123</v>
      </c>
      <c r="U37" s="4">
        <v>94.6</v>
      </c>
      <c r="V37" s="4">
        <v>0.2</v>
      </c>
      <c r="W37" s="4">
        <v>0</v>
      </c>
    </row>
    <row r="38" spans="1:25" x14ac:dyDescent="0.25">
      <c r="A38" s="4" t="s">
        <v>27</v>
      </c>
      <c r="B38" s="4" t="s">
        <v>28</v>
      </c>
      <c r="C38" s="4">
        <v>7</v>
      </c>
      <c r="D38" s="4">
        <v>1</v>
      </c>
      <c r="E38" s="4">
        <f t="shared" si="0"/>
        <v>7</v>
      </c>
      <c r="F38" s="4">
        <v>11392.21341</v>
      </c>
      <c r="G38" s="4">
        <v>30189.365549999999</v>
      </c>
      <c r="H38" s="4">
        <v>4740.3</v>
      </c>
      <c r="I38" s="4">
        <v>4.7403000000000004</v>
      </c>
      <c r="J38" s="4">
        <v>4.7403000000000002E-3</v>
      </c>
      <c r="K38" s="4">
        <v>10.450560189999999</v>
      </c>
      <c r="L38" s="4">
        <v>1.0999999999999999E-2</v>
      </c>
      <c r="M38" s="4">
        <v>2.9</v>
      </c>
      <c r="N38" s="4">
        <v>87.680109529999996</v>
      </c>
      <c r="O38" s="4">
        <f t="shared" si="1"/>
        <v>5.730467912253193</v>
      </c>
      <c r="P38" s="4">
        <f t="shared" si="2"/>
        <v>28.059813862647253</v>
      </c>
      <c r="Q38" s="4">
        <f t="shared" si="6"/>
        <v>71.271927211124023</v>
      </c>
      <c r="R38" s="4">
        <f t="shared" si="3"/>
        <v>2599.2996127465017</v>
      </c>
      <c r="S38" s="4">
        <f t="shared" si="4"/>
        <v>6246.8147386361488</v>
      </c>
      <c r="T38" s="4">
        <f t="shared" si="5"/>
        <v>16554.059057385795</v>
      </c>
      <c r="U38" s="4">
        <v>94.6</v>
      </c>
      <c r="V38" s="4">
        <v>0.2</v>
      </c>
      <c r="W38" s="4">
        <v>0</v>
      </c>
    </row>
    <row r="39" spans="1:25" x14ac:dyDescent="0.25">
      <c r="A39" s="4" t="s">
        <v>27</v>
      </c>
      <c r="B39" s="4" t="s">
        <v>28</v>
      </c>
      <c r="C39" s="4">
        <v>8</v>
      </c>
      <c r="D39" s="4">
        <v>1</v>
      </c>
      <c r="E39" s="4">
        <f t="shared" si="0"/>
        <v>8</v>
      </c>
      <c r="F39" s="4">
        <v>12774.81374</v>
      </c>
      <c r="G39" s="4">
        <v>33853.256419999998</v>
      </c>
      <c r="H39" s="4">
        <v>5315.5999970000003</v>
      </c>
      <c r="I39" s="4">
        <v>5.3155999969999996</v>
      </c>
      <c r="J39" s="4">
        <v>5.3156000000000002E-3</v>
      </c>
      <c r="K39" s="4">
        <v>11.718878070000001</v>
      </c>
      <c r="L39" s="4">
        <v>1.0999999999999999E-2</v>
      </c>
      <c r="M39" s="4">
        <v>2.9</v>
      </c>
      <c r="N39" s="4">
        <v>91.212642349999996</v>
      </c>
      <c r="O39" s="4">
        <f t="shared" si="1"/>
        <v>6.7730209639303141</v>
      </c>
      <c r="P39" s="4">
        <f t="shared" si="2"/>
        <v>29.724641495159684</v>
      </c>
      <c r="Q39" s="4">
        <f t="shared" si="6"/>
        <v>75.500589397705596</v>
      </c>
      <c r="R39" s="4">
        <f t="shared" si="3"/>
        <v>3072.1942846977322</v>
      </c>
      <c r="S39" s="4">
        <f t="shared" si="4"/>
        <v>7383.3075815855145</v>
      </c>
      <c r="T39" s="4">
        <f t="shared" si="5"/>
        <v>19565.765091201614</v>
      </c>
      <c r="U39" s="4">
        <v>94.6</v>
      </c>
      <c r="V39" s="4">
        <v>0.2</v>
      </c>
      <c r="W39" s="4">
        <v>0</v>
      </c>
    </row>
    <row r="40" spans="1:25" x14ac:dyDescent="0.25">
      <c r="A40" s="4" t="s">
        <v>27</v>
      </c>
      <c r="B40" s="4" t="s">
        <v>28</v>
      </c>
      <c r="C40" s="4">
        <v>9</v>
      </c>
      <c r="D40" s="4">
        <v>1</v>
      </c>
      <c r="E40" s="4">
        <f t="shared" si="0"/>
        <v>9</v>
      </c>
      <c r="F40" s="4">
        <v>13862.052390000001</v>
      </c>
      <c r="G40" s="4">
        <v>36734.438840000003</v>
      </c>
      <c r="H40" s="4">
        <v>5767.9999989999997</v>
      </c>
      <c r="I40" s="4">
        <v>5.7679999989999997</v>
      </c>
      <c r="J40" s="4">
        <v>5.7679999999999997E-3</v>
      </c>
      <c r="K40" s="4">
        <v>12.716248159999999</v>
      </c>
      <c r="L40" s="4">
        <v>1.0999999999999999E-2</v>
      </c>
      <c r="M40" s="4">
        <v>2.9</v>
      </c>
      <c r="N40" s="4">
        <v>93.818199050000004</v>
      </c>
      <c r="O40" s="4">
        <f t="shared" si="1"/>
        <v>7.7134843081816431</v>
      </c>
      <c r="P40" s="4">
        <f t="shared" si="2"/>
        <v>31.087687076471614</v>
      </c>
      <c r="Q40" s="4">
        <f t="shared" si="6"/>
        <v>78.962725174237903</v>
      </c>
      <c r="R40" s="4">
        <f t="shared" si="3"/>
        <v>3498.7817892342641</v>
      </c>
      <c r="S40" s="4">
        <f t="shared" si="4"/>
        <v>8408.5118703058488</v>
      </c>
      <c r="T40" s="4">
        <f t="shared" si="5"/>
        <v>22282.5564563105</v>
      </c>
      <c r="U40" s="4">
        <v>94.6</v>
      </c>
      <c r="V40" s="4">
        <v>0.2</v>
      </c>
      <c r="W40" s="4">
        <v>0</v>
      </c>
    </row>
    <row r="41" spans="1:25" x14ac:dyDescent="0.25">
      <c r="A41" s="4" t="s">
        <v>27</v>
      </c>
      <c r="B41" s="4" t="s">
        <v>28</v>
      </c>
      <c r="C41" s="4">
        <v>10</v>
      </c>
      <c r="D41" s="4">
        <v>1</v>
      </c>
      <c r="E41" s="4">
        <f t="shared" si="0"/>
        <v>10</v>
      </c>
      <c r="F41" s="4">
        <v>14179.28383</v>
      </c>
      <c r="G41" s="4">
        <v>37575.102140000003</v>
      </c>
      <c r="H41" s="4">
        <v>5900.0000019999998</v>
      </c>
      <c r="I41" s="4">
        <v>5.9000000019999996</v>
      </c>
      <c r="J41" s="4">
        <v>5.8999999999999999E-3</v>
      </c>
      <c r="K41" s="4">
        <v>13.007258</v>
      </c>
      <c r="L41" s="4">
        <v>1.0999999999999999E-2</v>
      </c>
      <c r="M41" s="4">
        <v>2.9</v>
      </c>
      <c r="N41" s="4">
        <v>94.553069030000003</v>
      </c>
      <c r="O41" s="4">
        <f t="shared" si="1"/>
        <v>8.5441558765404739</v>
      </c>
      <c r="P41" s="4">
        <f t="shared" si="2"/>
        <v>32.203654411738754</v>
      </c>
      <c r="Q41" s="4">
        <f t="shared" si="6"/>
        <v>81.79728220581643</v>
      </c>
      <c r="R41" s="4">
        <f t="shared" si="3"/>
        <v>3875.5685227116119</v>
      </c>
      <c r="S41" s="4">
        <f t="shared" si="4"/>
        <v>9314.0315373987305</v>
      </c>
      <c r="T41" s="4">
        <f t="shared" si="5"/>
        <v>24682.183574106635</v>
      </c>
      <c r="U41" s="4">
        <v>94.6</v>
      </c>
      <c r="V41" s="4">
        <v>0.2</v>
      </c>
      <c r="W41" s="4">
        <v>0</v>
      </c>
    </row>
    <row r="42" spans="1:25" x14ac:dyDescent="0.25">
      <c r="A42" s="4" t="s">
        <v>29</v>
      </c>
      <c r="B42" s="4" t="s">
        <v>30</v>
      </c>
      <c r="C42" s="4">
        <v>1</v>
      </c>
      <c r="D42" s="4">
        <v>7</v>
      </c>
      <c r="E42" s="2">
        <f t="shared" si="0"/>
        <v>7</v>
      </c>
      <c r="F42" s="4">
        <v>1355.00938</v>
      </c>
      <c r="G42" s="4">
        <v>3590.52486</v>
      </c>
      <c r="H42" s="4">
        <v>563.81940299999997</v>
      </c>
      <c r="I42" s="4">
        <v>0.563819403</v>
      </c>
      <c r="J42" s="4">
        <v>5.6381900000000002E-4</v>
      </c>
      <c r="K42" s="4">
        <v>1.243007532</v>
      </c>
      <c r="L42" s="4">
        <v>3.2499999999999999E-3</v>
      </c>
      <c r="M42" s="4">
        <v>3</v>
      </c>
      <c r="N42" s="4">
        <v>55.772342469999998</v>
      </c>
      <c r="O42" s="4">
        <f t="shared" si="1"/>
        <v>27.496406542055972</v>
      </c>
      <c r="P42" s="4">
        <f t="shared" si="2"/>
        <v>61.63857107120932</v>
      </c>
      <c r="Q42" s="4">
        <f t="shared" si="6"/>
        <v>156.56197052087168</v>
      </c>
      <c r="R42" s="4">
        <f t="shared" si="3"/>
        <v>12472.175042436325</v>
      </c>
      <c r="S42" s="4">
        <f t="shared" si="4"/>
        <v>29973.984721067831</v>
      </c>
      <c r="T42" s="4">
        <f t="shared" si="5"/>
        <v>79431.059510829742</v>
      </c>
      <c r="U42" s="4">
        <v>311</v>
      </c>
      <c r="V42" s="4">
        <v>0.1</v>
      </c>
      <c r="W42" s="4">
        <v>0</v>
      </c>
      <c r="Y42" s="4" t="s">
        <v>402</v>
      </c>
    </row>
    <row r="43" spans="1:25" x14ac:dyDescent="0.25">
      <c r="A43" s="4" t="s">
        <v>29</v>
      </c>
      <c r="B43" s="4" t="s">
        <v>30</v>
      </c>
      <c r="C43" s="4">
        <v>2</v>
      </c>
      <c r="D43" s="4">
        <v>7</v>
      </c>
      <c r="E43" s="2">
        <f t="shared" si="0"/>
        <v>14</v>
      </c>
      <c r="F43" s="4">
        <v>9019.2820400000001</v>
      </c>
      <c r="G43" s="4">
        <v>23901.197400000001</v>
      </c>
      <c r="H43" s="4">
        <v>3752.9232569999999</v>
      </c>
      <c r="I43" s="4">
        <v>3.752923257</v>
      </c>
      <c r="J43" s="4">
        <v>3.752923E-3</v>
      </c>
      <c r="K43" s="4">
        <v>8.2737696710000002</v>
      </c>
      <c r="L43" s="4">
        <v>3.2499999999999999E-3</v>
      </c>
      <c r="M43" s="4">
        <v>3</v>
      </c>
      <c r="N43" s="4">
        <v>104.9128716</v>
      </c>
      <c r="O43" s="4">
        <f t="shared" si="1"/>
        <v>92.168043582290295</v>
      </c>
      <c r="P43" s="4">
        <f t="shared" si="2"/>
        <v>92.247379611874166</v>
      </c>
      <c r="Q43" s="4">
        <f t="shared" si="6"/>
        <v>234.3083442141604</v>
      </c>
      <c r="R43" s="4">
        <f t="shared" si="3"/>
        <v>41806.771045481895</v>
      </c>
      <c r="S43" s="4">
        <f t="shared" si="4"/>
        <v>100472.89364451308</v>
      </c>
      <c r="T43" s="4">
        <f t="shared" si="5"/>
        <v>266253.16815795965</v>
      </c>
      <c r="U43" s="4">
        <v>311</v>
      </c>
      <c r="V43" s="4">
        <v>0.1</v>
      </c>
      <c r="W43" s="4">
        <v>0</v>
      </c>
    </row>
    <row r="44" spans="1:25" x14ac:dyDescent="0.25">
      <c r="A44" s="4" t="s">
        <v>29</v>
      </c>
      <c r="B44" s="4" t="s">
        <v>30</v>
      </c>
      <c r="C44" s="4">
        <v>3</v>
      </c>
      <c r="D44" s="4">
        <v>7</v>
      </c>
      <c r="E44" s="2">
        <f t="shared" si="0"/>
        <v>21</v>
      </c>
      <c r="F44" s="4">
        <v>20847.385399999999</v>
      </c>
      <c r="G44" s="4">
        <v>55245.121400000004</v>
      </c>
      <c r="H44" s="4">
        <v>8674.5970649999999</v>
      </c>
      <c r="I44" s="4">
        <v>8.6745970650000004</v>
      </c>
      <c r="J44" s="4">
        <v>8.6745969999999992E-3</v>
      </c>
      <c r="K44" s="4">
        <v>19.124190179999999</v>
      </c>
      <c r="L44" s="4">
        <v>3.2499999999999999E-3</v>
      </c>
      <c r="M44" s="4">
        <v>3</v>
      </c>
      <c r="N44" s="4">
        <v>138.7145391</v>
      </c>
      <c r="O44" s="4">
        <f t="shared" si="1"/>
        <v>145.64793740220117</v>
      </c>
      <c r="P44" s="4">
        <f t="shared" si="2"/>
        <v>107.44726409973332</v>
      </c>
      <c r="Q44" s="4">
        <f t="shared" si="6"/>
        <v>272.91605081332261</v>
      </c>
      <c r="R44" s="4">
        <f t="shared" si="3"/>
        <v>66064.871679564356</v>
      </c>
      <c r="S44" s="4">
        <f t="shared" si="4"/>
        <v>158771.62143610758</v>
      </c>
      <c r="T44" s="4">
        <f t="shared" si="5"/>
        <v>420744.7968056851</v>
      </c>
      <c r="U44" s="4">
        <v>311</v>
      </c>
      <c r="V44" s="4">
        <v>0.1</v>
      </c>
      <c r="W44" s="4">
        <v>0</v>
      </c>
    </row>
    <row r="45" spans="1:25" x14ac:dyDescent="0.25">
      <c r="A45" s="4" t="s">
        <v>29</v>
      </c>
      <c r="B45" s="4" t="s">
        <v>30</v>
      </c>
      <c r="C45" s="4">
        <v>4</v>
      </c>
      <c r="D45" s="4">
        <v>7</v>
      </c>
      <c r="E45" s="2">
        <f t="shared" si="0"/>
        <v>28</v>
      </c>
      <c r="F45" s="4">
        <v>32899.059300000001</v>
      </c>
      <c r="G45" s="4">
        <v>87183.557100000005</v>
      </c>
      <c r="H45" s="4">
        <v>13689.298570000001</v>
      </c>
      <c r="I45" s="4">
        <v>13.68929857</v>
      </c>
      <c r="J45" s="4">
        <v>1.3689299E-2</v>
      </c>
      <c r="K45" s="4">
        <v>30.179701420000001</v>
      </c>
      <c r="L45" s="4">
        <v>3.2499999999999999E-3</v>
      </c>
      <c r="M45" s="4">
        <v>3</v>
      </c>
      <c r="N45" s="4">
        <v>161.49755250000001</v>
      </c>
      <c r="O45" s="4">
        <f t="shared" si="1"/>
        <v>178.54946922656171</v>
      </c>
      <c r="P45" s="4">
        <f t="shared" si="2"/>
        <v>114.9953033557312</v>
      </c>
      <c r="Q45" s="4">
        <f t="shared" si="6"/>
        <v>292.08807052355723</v>
      </c>
      <c r="R45" s="4">
        <f t="shared" si="3"/>
        <v>80988.773224665347</v>
      </c>
      <c r="S45" s="4">
        <f t="shared" si="4"/>
        <v>194637.76309700878</v>
      </c>
      <c r="T45" s="4">
        <f t="shared" si="5"/>
        <v>515790.07220707322</v>
      </c>
      <c r="U45" s="4">
        <v>311</v>
      </c>
      <c r="V45" s="4">
        <v>0.1</v>
      </c>
      <c r="W45" s="4">
        <v>0</v>
      </c>
    </row>
    <row r="46" spans="1:25" x14ac:dyDescent="0.25">
      <c r="A46" s="4" t="s">
        <v>29</v>
      </c>
      <c r="B46" s="4" t="s">
        <v>30</v>
      </c>
      <c r="C46" s="4">
        <v>5</v>
      </c>
      <c r="D46" s="4">
        <v>7</v>
      </c>
      <c r="E46" s="2">
        <f t="shared" si="0"/>
        <v>35</v>
      </c>
      <c r="F46" s="4">
        <v>43204.537799999998</v>
      </c>
      <c r="G46" s="4">
        <v>114492.325</v>
      </c>
      <c r="H46" s="4">
        <v>17977.408179999999</v>
      </c>
      <c r="I46" s="4">
        <v>17.977408180000001</v>
      </c>
      <c r="J46" s="4">
        <v>1.7977408E-2</v>
      </c>
      <c r="K46" s="4">
        <v>39.633353620000001</v>
      </c>
      <c r="L46" s="4">
        <v>3.2499999999999999E-3</v>
      </c>
      <c r="M46" s="4">
        <v>3</v>
      </c>
      <c r="N46" s="4">
        <v>176.85387209999999</v>
      </c>
      <c r="O46" s="4">
        <f t="shared" si="1"/>
        <v>196.58407150030726</v>
      </c>
      <c r="P46" s="4">
        <f t="shared" si="2"/>
        <v>118.74354872270037</v>
      </c>
      <c r="Q46" s="4">
        <f t="shared" si="6"/>
        <v>301.60861375565895</v>
      </c>
      <c r="R46" s="4">
        <f t="shared" si="3"/>
        <v>89169.140940528188</v>
      </c>
      <c r="S46" s="4">
        <f t="shared" si="4"/>
        <v>214297.38269773658</v>
      </c>
      <c r="T46" s="4">
        <f t="shared" si="5"/>
        <v>567888.06414900196</v>
      </c>
      <c r="U46" s="4">
        <v>311</v>
      </c>
      <c r="V46" s="4">
        <v>0.1</v>
      </c>
      <c r="W46" s="4">
        <v>0</v>
      </c>
    </row>
    <row r="47" spans="1:25" x14ac:dyDescent="0.25">
      <c r="A47" s="4" t="s">
        <v>29</v>
      </c>
      <c r="B47" s="4" t="s">
        <v>30</v>
      </c>
      <c r="C47" s="4">
        <v>6</v>
      </c>
      <c r="D47" s="4">
        <v>7</v>
      </c>
      <c r="E47" s="2">
        <f t="shared" si="0"/>
        <v>42</v>
      </c>
      <c r="F47" s="4">
        <v>51223.1927</v>
      </c>
      <c r="G47" s="4">
        <v>135742.56099999999</v>
      </c>
      <c r="H47" s="4">
        <v>21313.97048</v>
      </c>
      <c r="I47" s="4">
        <v>21.313970479999998</v>
      </c>
      <c r="J47" s="4">
        <v>2.1313970000000002E-2</v>
      </c>
      <c r="K47" s="4">
        <v>46.989205609999999</v>
      </c>
      <c r="L47" s="4">
        <v>3.2499999999999999E-3</v>
      </c>
      <c r="M47" s="4">
        <v>3</v>
      </c>
      <c r="N47" s="4">
        <v>187.1803836</v>
      </c>
      <c r="O47" s="4">
        <f t="shared" si="1"/>
        <v>205.9741944976561</v>
      </c>
      <c r="P47" s="4">
        <f t="shared" si="2"/>
        <v>120.6048722869415</v>
      </c>
      <c r="Q47" s="4">
        <f t="shared" si="6"/>
        <v>306.33637560883142</v>
      </c>
      <c r="R47" s="4">
        <f t="shared" si="3"/>
        <v>93428.434150854155</v>
      </c>
      <c r="S47" s="4">
        <f t="shared" si="4"/>
        <v>224533.60766847909</v>
      </c>
      <c r="T47" s="4">
        <f t="shared" si="5"/>
        <v>595014.06032146956</v>
      </c>
      <c r="U47" s="4">
        <v>311</v>
      </c>
      <c r="V47" s="4">
        <v>0.1</v>
      </c>
      <c r="W47" s="4">
        <v>0</v>
      </c>
    </row>
    <row r="48" spans="1:25" x14ac:dyDescent="0.25">
      <c r="A48" s="4" t="s">
        <v>29</v>
      </c>
      <c r="B48" s="4" t="s">
        <v>30</v>
      </c>
      <c r="C48" s="4">
        <v>7</v>
      </c>
      <c r="D48" s="4">
        <v>7</v>
      </c>
      <c r="E48" s="2">
        <f t="shared" si="0"/>
        <v>49</v>
      </c>
      <c r="F48" s="4">
        <v>57132.702899999997</v>
      </c>
      <c r="G48" s="4">
        <v>151401.76300000001</v>
      </c>
      <c r="H48" s="4">
        <v>23772.917679999999</v>
      </c>
      <c r="I48" s="4">
        <v>23.772917679999999</v>
      </c>
      <c r="J48" s="4">
        <v>2.3772918000000001E-2</v>
      </c>
      <c r="K48" s="4">
        <v>52.41024977</v>
      </c>
      <c r="L48" s="4">
        <v>3.2499999999999999E-3</v>
      </c>
      <c r="M48" s="4">
        <v>3</v>
      </c>
      <c r="N48" s="4">
        <v>194.11825339999999</v>
      </c>
      <c r="O48" s="4">
        <f t="shared" si="1"/>
        <v>210.74628969939025</v>
      </c>
      <c r="P48" s="4">
        <f t="shared" si="2"/>
        <v>121.5291782145443</v>
      </c>
      <c r="Q48" s="4">
        <f t="shared" si="6"/>
        <v>308.68411266494252</v>
      </c>
      <c r="R48" s="4">
        <f t="shared" si="3"/>
        <v>95593.022697512613</v>
      </c>
      <c r="S48" s="4">
        <f t="shared" si="4"/>
        <v>229735.69501925647</v>
      </c>
      <c r="T48" s="4">
        <f t="shared" si="5"/>
        <v>608799.59180102963</v>
      </c>
      <c r="U48" s="4">
        <v>311</v>
      </c>
      <c r="V48" s="4">
        <v>0.1</v>
      </c>
      <c r="W48" s="4">
        <v>0</v>
      </c>
    </row>
    <row r="49" spans="1:44" x14ac:dyDescent="0.25">
      <c r="A49" s="4" t="s">
        <v>29</v>
      </c>
      <c r="B49" s="4" t="s">
        <v>30</v>
      </c>
      <c r="C49" s="4">
        <v>8</v>
      </c>
      <c r="D49" s="4">
        <v>7</v>
      </c>
      <c r="E49" s="2">
        <f t="shared" si="0"/>
        <v>56</v>
      </c>
      <c r="F49" s="4">
        <v>61342.911800000002</v>
      </c>
      <c r="G49" s="4">
        <v>162558.266</v>
      </c>
      <c r="H49" s="4">
        <v>25524.785599999999</v>
      </c>
      <c r="I49" s="4">
        <v>25.524785600000001</v>
      </c>
      <c r="J49" s="4">
        <v>2.5524786000000001E-2</v>
      </c>
      <c r="K49" s="4">
        <v>56.272452829999999</v>
      </c>
      <c r="L49" s="4">
        <v>3.2499999999999999E-3</v>
      </c>
      <c r="M49" s="4">
        <v>3</v>
      </c>
      <c r="N49" s="4">
        <v>198.7740015</v>
      </c>
      <c r="O49" s="4">
        <f t="shared" si="1"/>
        <v>213.14318719559066</v>
      </c>
      <c r="P49" s="4">
        <f t="shared" si="2"/>
        <v>121.98817495439913</v>
      </c>
      <c r="Q49" s="4">
        <f t="shared" si="6"/>
        <v>309.8499643841738</v>
      </c>
      <c r="R49" s="4">
        <f t="shared" si="3"/>
        <v>96680.238406433156</v>
      </c>
      <c r="S49" s="4">
        <f t="shared" si="4"/>
        <v>232348.56622550625</v>
      </c>
      <c r="T49" s="4">
        <f t="shared" si="5"/>
        <v>615723.70049759152</v>
      </c>
      <c r="U49" s="4">
        <v>311</v>
      </c>
      <c r="V49" s="4">
        <v>0.1</v>
      </c>
      <c r="W49" s="4">
        <v>0</v>
      </c>
    </row>
    <row r="50" spans="1:44" x14ac:dyDescent="0.25">
      <c r="A50" s="4" t="s">
        <v>29</v>
      </c>
      <c r="B50" s="4" t="s">
        <v>30</v>
      </c>
      <c r="C50" s="4">
        <v>9</v>
      </c>
      <c r="D50" s="4">
        <v>7</v>
      </c>
      <c r="E50" s="2">
        <f t="shared" si="0"/>
        <v>63</v>
      </c>
      <c r="F50" s="4">
        <v>64280.782099999997</v>
      </c>
      <c r="G50" s="4">
        <v>170344.27299999999</v>
      </c>
      <c r="H50" s="4">
        <v>26747.23343</v>
      </c>
      <c r="I50" s="4">
        <v>26.747233430000001</v>
      </c>
      <c r="J50" s="4">
        <v>2.6747232999999999E-2</v>
      </c>
      <c r="K50" s="4">
        <v>58.967485770000003</v>
      </c>
      <c r="L50" s="4">
        <v>3.2499999999999999E-3</v>
      </c>
      <c r="M50" s="4">
        <v>3</v>
      </c>
      <c r="N50" s="4">
        <v>201.89791579999999</v>
      </c>
      <c r="O50" s="4">
        <f t="shared" si="1"/>
        <v>214.3401747990811</v>
      </c>
      <c r="P50" s="4">
        <f t="shared" si="2"/>
        <v>122.21610598989921</v>
      </c>
      <c r="Q50" s="4">
        <f t="shared" si="6"/>
        <v>310.428909214344</v>
      </c>
      <c r="R50" s="4">
        <f t="shared" si="3"/>
        <v>97223.183496058773</v>
      </c>
      <c r="S50" s="4">
        <f t="shared" si="4"/>
        <v>233653.40902681754</v>
      </c>
      <c r="T50" s="4">
        <f t="shared" si="5"/>
        <v>619181.53392106644</v>
      </c>
      <c r="U50" s="4">
        <v>311</v>
      </c>
      <c r="V50" s="4">
        <v>0.1</v>
      </c>
      <c r="W50" s="4">
        <v>0</v>
      </c>
    </row>
    <row r="51" spans="1:44" x14ac:dyDescent="0.25">
      <c r="A51" s="4" t="s">
        <v>29</v>
      </c>
      <c r="B51" s="4" t="s">
        <v>30</v>
      </c>
      <c r="C51" s="4">
        <v>10</v>
      </c>
      <c r="D51" s="4">
        <v>7</v>
      </c>
      <c r="E51" s="2">
        <f t="shared" si="0"/>
        <v>70</v>
      </c>
      <c r="F51" s="4">
        <v>66302.710800000001</v>
      </c>
      <c r="G51" s="4">
        <v>175702.084</v>
      </c>
      <c r="H51" s="4">
        <v>27588.557959999998</v>
      </c>
      <c r="I51" s="4">
        <v>27.588557959999999</v>
      </c>
      <c r="J51" s="4">
        <v>2.7588557999999999E-2</v>
      </c>
      <c r="K51" s="4">
        <v>60.822286660000003</v>
      </c>
      <c r="L51" s="4">
        <v>3.2499999999999999E-3</v>
      </c>
      <c r="M51" s="4">
        <v>3</v>
      </c>
      <c r="N51" s="4">
        <v>203.99297569999999</v>
      </c>
      <c r="O51" s="4">
        <f t="shared" si="1"/>
        <v>214.93624288163008</v>
      </c>
      <c r="P51" s="4">
        <f t="shared" si="2"/>
        <v>122.32929319240652</v>
      </c>
      <c r="Q51" s="4">
        <f t="shared" si="6"/>
        <v>310.71640470871256</v>
      </c>
      <c r="R51" s="4">
        <f t="shared" si="3"/>
        <v>97493.555751843887</v>
      </c>
      <c r="S51" s="4">
        <f t="shared" si="4"/>
        <v>234303.18613757243</v>
      </c>
      <c r="T51" s="4">
        <f t="shared" si="5"/>
        <v>620903.44326456694</v>
      </c>
      <c r="U51" s="4">
        <v>311</v>
      </c>
      <c r="V51" s="4">
        <v>0.1</v>
      </c>
      <c r="W51" s="4">
        <v>0</v>
      </c>
    </row>
    <row r="52" spans="1:44" x14ac:dyDescent="0.25">
      <c r="A52" s="2" t="s">
        <v>31</v>
      </c>
      <c r="B52" s="4" t="s">
        <v>32</v>
      </c>
      <c r="C52" s="4">
        <v>1</v>
      </c>
      <c r="D52" s="4">
        <v>1</v>
      </c>
      <c r="E52" s="4">
        <v>1</v>
      </c>
      <c r="F52" s="4">
        <v>49.194905069999997</v>
      </c>
      <c r="G52" s="4">
        <v>130.36649840000001</v>
      </c>
      <c r="H52" s="4">
        <f t="shared" ref="H52:H61" si="7">F52*3.65*5.7*20/1000</f>
        <v>20.469999999626999</v>
      </c>
      <c r="I52" s="4">
        <f t="shared" ref="I52:J61" si="8">H52/1000</f>
        <v>2.0469999999626998E-2</v>
      </c>
      <c r="J52" s="4">
        <f t="shared" si="8"/>
        <v>2.0469999999626999E-5</v>
      </c>
      <c r="K52" s="4">
        <f t="shared" ref="K52:K61" si="9">I52*2.20462</f>
        <v>4.5128571399177669E-2</v>
      </c>
      <c r="L52" s="3">
        <v>1.1599999999999999E-2</v>
      </c>
      <c r="M52" s="3">
        <v>3</v>
      </c>
      <c r="N52" s="4">
        <f t="shared" ref="N52:N61" si="10">(H52/L52)^(1/M52)</f>
        <v>12.084256948656494</v>
      </c>
      <c r="O52" s="4">
        <f t="shared" si="1"/>
        <v>0.13993882197345583</v>
      </c>
      <c r="P52" s="4">
        <f t="shared" si="2"/>
        <v>6.9376935203618979</v>
      </c>
      <c r="Q52" s="4">
        <f t="shared" si="6"/>
        <v>17.621741541719221</v>
      </c>
      <c r="R52" s="2">
        <f t="shared" si="3"/>
        <v>63.475257401935856</v>
      </c>
      <c r="S52" s="2">
        <f t="shared" si="4"/>
        <v>152.54808315774056</v>
      </c>
      <c r="T52" s="2">
        <f t="shared" si="5"/>
        <v>404.25242036801251</v>
      </c>
      <c r="U52" s="2">
        <f t="shared" ref="U52:U61" si="11">$AR$54</f>
        <v>29.172666666666665</v>
      </c>
      <c r="V52" s="2">
        <f t="shared" ref="V52:V61" si="12">$AR$55</f>
        <v>0.92646666666666677</v>
      </c>
      <c r="W52" s="2">
        <v>0</v>
      </c>
      <c r="Y52" s="4" t="s">
        <v>403</v>
      </c>
      <c r="Z52" s="4" t="s">
        <v>404</v>
      </c>
      <c r="AA52" s="4" t="s">
        <v>405</v>
      </c>
      <c r="AB52" s="4" t="s">
        <v>406</v>
      </c>
      <c r="AC52" s="4" t="s">
        <v>407</v>
      </c>
      <c r="AD52" s="4" t="s">
        <v>408</v>
      </c>
      <c r="AE52" s="4" t="s">
        <v>409</v>
      </c>
      <c r="AF52" s="4" t="s">
        <v>410</v>
      </c>
      <c r="AG52" s="4" t="s">
        <v>411</v>
      </c>
      <c r="AH52" s="4" t="s">
        <v>412</v>
      </c>
      <c r="AI52" s="4" t="s">
        <v>413</v>
      </c>
      <c r="AJ52" s="4" t="s">
        <v>414</v>
      </c>
      <c r="AK52" s="4" t="s">
        <v>415</v>
      </c>
      <c r="AL52" s="4" t="s">
        <v>416</v>
      </c>
      <c r="AM52" s="4" t="s">
        <v>417</v>
      </c>
      <c r="AN52" s="2" t="s">
        <v>418</v>
      </c>
      <c r="AO52" s="4" t="s">
        <v>419</v>
      </c>
      <c r="AP52" s="4" t="s">
        <v>420</v>
      </c>
      <c r="AR52" s="4" t="s">
        <v>421</v>
      </c>
    </row>
    <row r="53" spans="1:44" x14ac:dyDescent="0.25">
      <c r="A53" s="2" t="s">
        <v>31</v>
      </c>
      <c r="B53" s="4" t="s">
        <v>32</v>
      </c>
      <c r="C53" s="4">
        <v>2</v>
      </c>
      <c r="D53" s="4">
        <v>1</v>
      </c>
      <c r="E53" s="4">
        <f t="shared" ref="E53:E116" si="13">C53*D53</f>
        <v>2</v>
      </c>
      <c r="F53" s="4">
        <v>86.10910835</v>
      </c>
      <c r="G53" s="4">
        <v>228.18913710000001</v>
      </c>
      <c r="H53" s="4">
        <f t="shared" si="7"/>
        <v>35.829999984435005</v>
      </c>
      <c r="I53" s="4">
        <f t="shared" si="8"/>
        <v>3.5829999984435007E-2</v>
      </c>
      <c r="J53" s="4">
        <f t="shared" si="8"/>
        <v>3.5829999984435005E-5</v>
      </c>
      <c r="K53" s="4">
        <f t="shared" si="9"/>
        <v>7.8991534565685098E-2</v>
      </c>
      <c r="L53" s="3">
        <v>1.1599999999999999E-2</v>
      </c>
      <c r="M53" s="3">
        <v>3</v>
      </c>
      <c r="N53" s="4">
        <f t="shared" si="10"/>
        <v>14.563405416509527</v>
      </c>
      <c r="O53" s="4">
        <f t="shared" si="1"/>
        <v>0.3806694731127529</v>
      </c>
      <c r="P53" s="4">
        <f t="shared" si="2"/>
        <v>9.6846751147836159</v>
      </c>
      <c r="Q53" s="4">
        <f t="shared" si="6"/>
        <v>24.599074791550386</v>
      </c>
      <c r="R53" s="2">
        <f t="shared" si="3"/>
        <v>172.6689738425456</v>
      </c>
      <c r="S53" s="2">
        <f t="shared" si="4"/>
        <v>414.9698962810516</v>
      </c>
      <c r="T53" s="2">
        <f t="shared" si="5"/>
        <v>1099.6702251447866</v>
      </c>
      <c r="U53" s="2">
        <f t="shared" si="11"/>
        <v>29.172666666666665</v>
      </c>
      <c r="V53" s="2">
        <f t="shared" si="12"/>
        <v>0.92646666666666677</v>
      </c>
      <c r="W53" s="2">
        <v>0</v>
      </c>
      <c r="X53" s="4" t="s">
        <v>422</v>
      </c>
      <c r="Y53" s="4">
        <v>20</v>
      </c>
      <c r="Z53" s="4">
        <v>30</v>
      </c>
      <c r="AB53" s="4">
        <v>25</v>
      </c>
      <c r="AC53" s="4">
        <v>50</v>
      </c>
      <c r="AD53" s="4">
        <v>46</v>
      </c>
      <c r="AE53" s="4">
        <v>70</v>
      </c>
      <c r="AF53" s="4">
        <v>30</v>
      </c>
      <c r="AG53" s="4">
        <v>40</v>
      </c>
      <c r="AH53" s="4">
        <v>30</v>
      </c>
      <c r="AI53" s="4">
        <v>38</v>
      </c>
      <c r="AJ53" s="4">
        <v>30</v>
      </c>
      <c r="AK53" s="4">
        <v>61</v>
      </c>
      <c r="AL53" s="4">
        <v>75</v>
      </c>
      <c r="AM53" s="4">
        <v>75</v>
      </c>
      <c r="AN53" s="4">
        <v>15</v>
      </c>
      <c r="AO53" s="4">
        <v>70</v>
      </c>
      <c r="AP53" s="4">
        <v>30</v>
      </c>
      <c r="AR53" s="4">
        <f>AVERAGE(Y53:AP53)</f>
        <v>43.235294117647058</v>
      </c>
    </row>
    <row r="54" spans="1:44" x14ac:dyDescent="0.25">
      <c r="A54" s="2" t="s">
        <v>31</v>
      </c>
      <c r="B54" s="4" t="s">
        <v>32</v>
      </c>
      <c r="C54" s="4">
        <v>3</v>
      </c>
      <c r="D54" s="4">
        <v>1</v>
      </c>
      <c r="E54" s="4">
        <f t="shared" si="13"/>
        <v>3</v>
      </c>
      <c r="F54" s="4">
        <v>123.02331169999999</v>
      </c>
      <c r="G54" s="4">
        <v>326.011776</v>
      </c>
      <c r="H54" s="4">
        <f t="shared" si="7"/>
        <v>51.189999998369998</v>
      </c>
      <c r="I54" s="4">
        <f t="shared" si="8"/>
        <v>5.1189999998369998E-2</v>
      </c>
      <c r="J54" s="4">
        <f t="shared" si="8"/>
        <v>5.118999999837E-5</v>
      </c>
      <c r="K54" s="4">
        <f t="shared" si="9"/>
        <v>0.11285449779640645</v>
      </c>
      <c r="L54" s="3">
        <v>1.1599999999999999E-2</v>
      </c>
      <c r="M54" s="3">
        <v>3</v>
      </c>
      <c r="N54" s="4">
        <f t="shared" si="10"/>
        <v>16.402462244751348</v>
      </c>
      <c r="O54" s="4">
        <f t="shared" si="1"/>
        <v>0.52386987705729759</v>
      </c>
      <c r="P54" s="4">
        <f t="shared" si="2"/>
        <v>10.772343207636768</v>
      </c>
      <c r="Q54" s="4">
        <f t="shared" si="6"/>
        <v>27.361751747397392</v>
      </c>
      <c r="R54" s="2">
        <f t="shared" si="3"/>
        <v>237.62366170011049</v>
      </c>
      <c r="S54" s="2">
        <f t="shared" si="4"/>
        <v>571.0734479695036</v>
      </c>
      <c r="T54" s="2">
        <f t="shared" si="5"/>
        <v>1513.3446371191844</v>
      </c>
      <c r="U54" s="2">
        <f t="shared" si="11"/>
        <v>29.172666666666665</v>
      </c>
      <c r="V54" s="2">
        <f t="shared" si="12"/>
        <v>0.92646666666666677</v>
      </c>
      <c r="W54" s="2">
        <v>0</v>
      </c>
      <c r="X54" s="4" t="s">
        <v>18</v>
      </c>
      <c r="Y54" s="4">
        <v>20</v>
      </c>
      <c r="Z54" s="4">
        <v>30.4</v>
      </c>
      <c r="AA54" s="4">
        <v>49.7</v>
      </c>
      <c r="AB54" s="4">
        <v>26.2</v>
      </c>
      <c r="AC54" s="4">
        <v>34.5</v>
      </c>
      <c r="AD54" s="4">
        <v>31.4</v>
      </c>
      <c r="AE54" s="4">
        <v>3.19</v>
      </c>
      <c r="AF54" s="4">
        <v>32.299999999999997</v>
      </c>
      <c r="AG54" s="4">
        <v>27</v>
      </c>
      <c r="AI54" s="4">
        <v>21.6</v>
      </c>
      <c r="AJ54" s="4">
        <v>27.7</v>
      </c>
      <c r="AL54" s="4">
        <v>37.4</v>
      </c>
      <c r="AM54" s="4">
        <v>41.2</v>
      </c>
      <c r="AN54" s="4">
        <v>13</v>
      </c>
      <c r="AO54" s="4">
        <v>42</v>
      </c>
      <c r="AR54" s="4">
        <f>AVERAGE(Y54:AP54)</f>
        <v>29.172666666666665</v>
      </c>
    </row>
    <row r="55" spans="1:44" x14ac:dyDescent="0.25">
      <c r="A55" s="2" t="s">
        <v>31</v>
      </c>
      <c r="B55" s="4" t="s">
        <v>32</v>
      </c>
      <c r="C55" s="4">
        <v>4</v>
      </c>
      <c r="D55" s="4">
        <v>1</v>
      </c>
      <c r="E55" s="4">
        <f t="shared" si="13"/>
        <v>4</v>
      </c>
      <c r="F55" s="4">
        <v>164.56380680000001</v>
      </c>
      <c r="G55" s="4">
        <v>436.094088</v>
      </c>
      <c r="H55" s="4">
        <f t="shared" si="7"/>
        <v>68.475000009479999</v>
      </c>
      <c r="I55" s="4">
        <f t="shared" si="8"/>
        <v>6.8475000009479994E-2</v>
      </c>
      <c r="J55" s="4">
        <f t="shared" si="8"/>
        <v>6.847500000947999E-5</v>
      </c>
      <c r="K55" s="4">
        <f t="shared" si="9"/>
        <v>0.15096135452089976</v>
      </c>
      <c r="L55" s="3">
        <v>1.1599999999999999E-2</v>
      </c>
      <c r="M55" s="3">
        <v>3</v>
      </c>
      <c r="N55" s="4">
        <f t="shared" si="10"/>
        <v>18.072768429706162</v>
      </c>
      <c r="O55" s="4">
        <f t="shared" si="1"/>
        <v>0.58924587416627938</v>
      </c>
      <c r="P55" s="4">
        <f t="shared" si="2"/>
        <v>11.203005678260222</v>
      </c>
      <c r="Q55" s="4">
        <f t="shared" si="6"/>
        <v>28.455634422780964</v>
      </c>
      <c r="R55" s="2">
        <f t="shared" si="3"/>
        <v>267.27775043602952</v>
      </c>
      <c r="S55" s="2">
        <f t="shared" si="4"/>
        <v>642.34018369629791</v>
      </c>
      <c r="T55" s="2">
        <f t="shared" si="5"/>
        <v>1702.2014867951893</v>
      </c>
      <c r="U55" s="2">
        <f t="shared" si="11"/>
        <v>29.172666666666665</v>
      </c>
      <c r="V55" s="2">
        <f t="shared" si="12"/>
        <v>0.92646666666666677</v>
      </c>
      <c r="W55" s="2">
        <v>0</v>
      </c>
      <c r="X55" s="4" t="s">
        <v>19</v>
      </c>
      <c r="Y55" s="4">
        <v>4.8</v>
      </c>
      <c r="Z55" s="4">
        <v>1.5</v>
      </c>
      <c r="AA55" s="4">
        <v>0.3</v>
      </c>
      <c r="AB55" s="4">
        <v>0.3</v>
      </c>
      <c r="AC55" s="4">
        <v>0.71</v>
      </c>
      <c r="AD55" s="4">
        <v>0.3</v>
      </c>
      <c r="AE55" s="4">
        <v>1.9</v>
      </c>
      <c r="AF55" s="4">
        <v>0.3</v>
      </c>
      <c r="AG55" s="4">
        <v>0.3</v>
      </c>
      <c r="AI55" s="4">
        <v>0.38</v>
      </c>
      <c r="AJ55" s="4">
        <v>0.4</v>
      </c>
      <c r="AL55" s="4">
        <v>0.82</v>
      </c>
      <c r="AM55" s="4">
        <v>0.187</v>
      </c>
      <c r="AN55" s="4">
        <v>1.4</v>
      </c>
      <c r="AO55" s="4">
        <v>0.3</v>
      </c>
      <c r="AR55" s="4">
        <f>AVERAGE(Y55:AP55)</f>
        <v>0.92646666666666677</v>
      </c>
    </row>
    <row r="56" spans="1:44" x14ac:dyDescent="0.25">
      <c r="A56" s="2" t="s">
        <v>31</v>
      </c>
      <c r="B56" s="4" t="s">
        <v>32</v>
      </c>
      <c r="C56" s="4">
        <v>5</v>
      </c>
      <c r="D56" s="4">
        <v>1</v>
      </c>
      <c r="E56" s="4">
        <f t="shared" si="13"/>
        <v>5</v>
      </c>
      <c r="F56" s="4">
        <v>206.1043018</v>
      </c>
      <c r="G56" s="4">
        <v>546.17639980000001</v>
      </c>
      <c r="H56" s="4">
        <f t="shared" si="7"/>
        <v>85.759999978980019</v>
      </c>
      <c r="I56" s="4">
        <f t="shared" si="8"/>
        <v>8.5759999978980025E-2</v>
      </c>
      <c r="J56" s="4">
        <f t="shared" si="8"/>
        <v>8.5759999978980022E-5</v>
      </c>
      <c r="K56" s="4">
        <f t="shared" si="9"/>
        <v>0.18906821115365893</v>
      </c>
      <c r="L56" s="3">
        <v>1.1599999999999999E-2</v>
      </c>
      <c r="M56" s="3">
        <v>3</v>
      </c>
      <c r="N56" s="4">
        <f t="shared" si="10"/>
        <v>19.480895992192735</v>
      </c>
      <c r="O56" s="4">
        <f t="shared" si="1"/>
        <v>0.61656422900631602</v>
      </c>
      <c r="P56" s="4">
        <f t="shared" si="2"/>
        <v>11.373526598035458</v>
      </c>
      <c r="Q56" s="4">
        <f t="shared" si="6"/>
        <v>28.888757559010063</v>
      </c>
      <c r="R56" s="2">
        <f t="shared" si="3"/>
        <v>279.66916248891692</v>
      </c>
      <c r="S56" s="2">
        <f t="shared" si="4"/>
        <v>672.12007327305196</v>
      </c>
      <c r="T56" s="2">
        <f t="shared" si="5"/>
        <v>1781.1181941735877</v>
      </c>
      <c r="U56" s="2">
        <f t="shared" si="11"/>
        <v>29.172666666666665</v>
      </c>
      <c r="V56" s="2">
        <f t="shared" si="12"/>
        <v>0.92646666666666677</v>
      </c>
      <c r="W56" s="2">
        <v>0</v>
      </c>
      <c r="X56" s="4" t="s">
        <v>20</v>
      </c>
      <c r="Z56" s="4">
        <v>-0.05</v>
      </c>
      <c r="AC56" s="4">
        <v>-0.19</v>
      </c>
      <c r="AI56" s="4">
        <v>-0.98</v>
      </c>
      <c r="AL56" s="4">
        <v>-1.6</v>
      </c>
      <c r="AM56" s="4">
        <v>-3.03</v>
      </c>
      <c r="AR56" s="4">
        <f>AVERAGE(Y56:AP56)</f>
        <v>-1.17</v>
      </c>
    </row>
    <row r="57" spans="1:44" x14ac:dyDescent="0.25">
      <c r="A57" s="2" t="s">
        <v>31</v>
      </c>
      <c r="B57" s="4" t="s">
        <v>32</v>
      </c>
      <c r="C57" s="4">
        <v>6</v>
      </c>
      <c r="D57" s="4">
        <v>1</v>
      </c>
      <c r="E57" s="4">
        <f t="shared" si="13"/>
        <v>6</v>
      </c>
      <c r="F57" s="4">
        <v>244.71280949999999</v>
      </c>
      <c r="G57" s="4">
        <v>648.48894510000002</v>
      </c>
      <c r="H57" s="4">
        <f t="shared" si="7"/>
        <v>101.82500003294999</v>
      </c>
      <c r="I57" s="4">
        <f t="shared" si="8"/>
        <v>0.10182500003294999</v>
      </c>
      <c r="J57" s="4">
        <f t="shared" si="8"/>
        <v>1.0182500003294998E-4</v>
      </c>
      <c r="K57" s="4">
        <f t="shared" si="9"/>
        <v>0.2244854315726422</v>
      </c>
      <c r="L57" s="3">
        <v>1.1599999999999999E-2</v>
      </c>
      <c r="M57" s="3">
        <v>3</v>
      </c>
      <c r="N57" s="4">
        <f t="shared" si="10"/>
        <v>20.628396791384404</v>
      </c>
      <c r="O57" s="4">
        <f t="shared" si="1"/>
        <v>0.62761005843335349</v>
      </c>
      <c r="P57" s="4">
        <f t="shared" si="2"/>
        <v>11.441044401569391</v>
      </c>
      <c r="Q57" s="4">
        <f t="shared" si="6"/>
        <v>29.060252779986254</v>
      </c>
      <c r="R57" s="2">
        <f t="shared" si="3"/>
        <v>284.67947239585664</v>
      </c>
      <c r="S57" s="2">
        <f t="shared" si="4"/>
        <v>684.1611929724985</v>
      </c>
      <c r="T57" s="2">
        <f t="shared" si="5"/>
        <v>1813.027161377121</v>
      </c>
      <c r="U57" s="2">
        <f t="shared" si="11"/>
        <v>29.172666666666665</v>
      </c>
      <c r="V57" s="2">
        <f t="shared" si="12"/>
        <v>0.92646666666666677</v>
      </c>
      <c r="W57" s="2">
        <v>0</v>
      </c>
      <c r="X57" s="4" t="s">
        <v>423</v>
      </c>
      <c r="Y57" s="4" t="s">
        <v>424</v>
      </c>
      <c r="Z57" s="4" t="s">
        <v>425</v>
      </c>
      <c r="AA57" s="4" t="s">
        <v>426</v>
      </c>
      <c r="AB57" s="4" t="s">
        <v>426</v>
      </c>
      <c r="AC57" s="4" t="s">
        <v>427</v>
      </c>
      <c r="AD57" s="4" t="s">
        <v>426</v>
      </c>
      <c r="AE57" s="4" t="s">
        <v>428</v>
      </c>
      <c r="AF57" s="4" t="s">
        <v>428</v>
      </c>
      <c r="AG57" s="4" t="s">
        <v>428</v>
      </c>
      <c r="AH57" s="4" t="s">
        <v>429</v>
      </c>
      <c r="AI57" s="4" t="s">
        <v>430</v>
      </c>
      <c r="AJ57" s="4" t="s">
        <v>428</v>
      </c>
      <c r="AK57" s="4" t="s">
        <v>429</v>
      </c>
      <c r="AL57" s="4" t="s">
        <v>431</v>
      </c>
      <c r="AM57" s="4" t="s">
        <v>432</v>
      </c>
      <c r="AN57" s="4" t="s">
        <v>428</v>
      </c>
      <c r="AO57" s="4" t="s">
        <v>433</v>
      </c>
      <c r="AP57" s="4" t="s">
        <v>429</v>
      </c>
    </row>
    <row r="58" spans="1:44" x14ac:dyDescent="0.25">
      <c r="A58" s="2" t="s">
        <v>31</v>
      </c>
      <c r="B58" s="4" t="s">
        <v>32</v>
      </c>
      <c r="C58" s="4">
        <v>7</v>
      </c>
      <c r="D58" s="4">
        <v>1</v>
      </c>
      <c r="E58" s="4">
        <f t="shared" si="13"/>
        <v>7</v>
      </c>
      <c r="F58" s="4">
        <v>283.32131700000002</v>
      </c>
      <c r="G58" s="4">
        <v>750.80149010000002</v>
      </c>
      <c r="H58" s="4">
        <f t="shared" si="7"/>
        <v>117.89000000370002</v>
      </c>
      <c r="I58" s="4">
        <f t="shared" si="8"/>
        <v>0.11789000000370002</v>
      </c>
      <c r="J58" s="4">
        <f t="shared" si="8"/>
        <v>1.1789000000370003E-4</v>
      </c>
      <c r="K58" s="4">
        <f t="shared" si="9"/>
        <v>0.25990265180815714</v>
      </c>
      <c r="L58" s="3">
        <v>1.1599999999999999E-2</v>
      </c>
      <c r="M58" s="3">
        <v>3</v>
      </c>
      <c r="N58" s="4">
        <f t="shared" si="10"/>
        <v>21.66072520689421</v>
      </c>
      <c r="O58" s="4">
        <f t="shared" si="1"/>
        <v>0.63201985770595825</v>
      </c>
      <c r="P58" s="4">
        <f t="shared" si="2"/>
        <v>11.467778093834573</v>
      </c>
      <c r="Q58" s="4">
        <f t="shared" si="6"/>
        <v>29.128156358339815</v>
      </c>
      <c r="R58" s="2">
        <f t="shared" si="3"/>
        <v>286.67972607794462</v>
      </c>
      <c r="S58" s="2">
        <f t="shared" si="4"/>
        <v>688.96833952882616</v>
      </c>
      <c r="T58" s="2">
        <f t="shared" si="5"/>
        <v>1825.7660997513892</v>
      </c>
      <c r="U58" s="2">
        <f t="shared" si="11"/>
        <v>29.172666666666665</v>
      </c>
      <c r="V58" s="2">
        <f t="shared" si="12"/>
        <v>0.92646666666666677</v>
      </c>
      <c r="W58" s="2">
        <v>0</v>
      </c>
      <c r="X58" s="4" t="s">
        <v>434</v>
      </c>
      <c r="Y58" s="7" t="s">
        <v>435</v>
      </c>
      <c r="Z58" s="7" t="s">
        <v>436</v>
      </c>
      <c r="AA58" s="7" t="s">
        <v>437</v>
      </c>
      <c r="AB58" s="7" t="s">
        <v>438</v>
      </c>
      <c r="AC58" s="7" t="s">
        <v>439</v>
      </c>
      <c r="AD58" s="7" t="s">
        <v>440</v>
      </c>
      <c r="AE58" s="7" t="s">
        <v>441</v>
      </c>
      <c r="AF58" s="7" t="s">
        <v>442</v>
      </c>
      <c r="AG58" s="7" t="s">
        <v>443</v>
      </c>
      <c r="AH58" s="7" t="s">
        <v>444</v>
      </c>
      <c r="AI58" s="7" t="s">
        <v>445</v>
      </c>
      <c r="AJ58" s="7" t="s">
        <v>446</v>
      </c>
      <c r="AK58" s="7" t="s">
        <v>447</v>
      </c>
      <c r="AL58" s="7" t="s">
        <v>448</v>
      </c>
      <c r="AM58" s="7" t="s">
        <v>449</v>
      </c>
      <c r="AN58" s="7" t="s">
        <v>450</v>
      </c>
      <c r="AO58" s="7" t="s">
        <v>451</v>
      </c>
      <c r="AP58" s="7" t="s">
        <v>452</v>
      </c>
    </row>
    <row r="59" spans="1:44" x14ac:dyDescent="0.25">
      <c r="A59" s="2" t="s">
        <v>31</v>
      </c>
      <c r="B59" s="4" t="s">
        <v>32</v>
      </c>
      <c r="C59" s="4">
        <v>8</v>
      </c>
      <c r="D59" s="4">
        <v>1</v>
      </c>
      <c r="E59" s="4">
        <f t="shared" si="13"/>
        <v>8</v>
      </c>
      <c r="F59" s="4">
        <v>314.44364339999998</v>
      </c>
      <c r="G59" s="4">
        <v>833.27565500000003</v>
      </c>
      <c r="H59" s="4">
        <f t="shared" si="7"/>
        <v>130.84000001874</v>
      </c>
      <c r="I59" s="4">
        <f t="shared" si="8"/>
        <v>0.13084000001873999</v>
      </c>
      <c r="J59" s="4">
        <f t="shared" si="8"/>
        <v>1.3084000001873999E-4</v>
      </c>
      <c r="K59" s="4">
        <f t="shared" si="9"/>
        <v>0.28845248084131453</v>
      </c>
      <c r="L59" s="3">
        <v>1.1599999999999999E-2</v>
      </c>
      <c r="M59" s="3">
        <v>3</v>
      </c>
      <c r="N59" s="4">
        <f t="shared" si="10"/>
        <v>22.426466342807739</v>
      </c>
      <c r="O59" s="4">
        <f t="shared" si="1"/>
        <v>0.63377161159668749</v>
      </c>
      <c r="P59" s="4">
        <f t="shared" si="2"/>
        <v>11.478363306396623</v>
      </c>
      <c r="Q59" s="4">
        <f t="shared" si="6"/>
        <v>29.155042798247422</v>
      </c>
      <c r="R59" s="2">
        <f t="shared" si="3"/>
        <v>287.47430922185566</v>
      </c>
      <c r="S59" s="2">
        <f t="shared" si="4"/>
        <v>690.87793612558437</v>
      </c>
      <c r="T59" s="2">
        <f t="shared" si="5"/>
        <v>1830.8265307327986</v>
      </c>
      <c r="U59" s="2">
        <f t="shared" si="11"/>
        <v>29.172666666666665</v>
      </c>
      <c r="V59" s="2">
        <f t="shared" si="12"/>
        <v>0.92646666666666677</v>
      </c>
      <c r="W59" s="2">
        <v>0</v>
      </c>
    </row>
    <row r="60" spans="1:44" x14ac:dyDescent="0.25">
      <c r="A60" s="2" t="s">
        <v>31</v>
      </c>
      <c r="B60" s="4" t="s">
        <v>32</v>
      </c>
      <c r="C60" s="4">
        <v>9</v>
      </c>
      <c r="D60" s="4">
        <v>1</v>
      </c>
      <c r="E60" s="4">
        <f t="shared" si="13"/>
        <v>9</v>
      </c>
      <c r="F60" s="4">
        <v>345.5659698</v>
      </c>
      <c r="G60" s="4">
        <v>915.74981979999995</v>
      </c>
      <c r="H60" s="4">
        <f t="shared" si="7"/>
        <v>143.79000003377999</v>
      </c>
      <c r="I60" s="4">
        <f t="shared" si="8"/>
        <v>0.14379000003377998</v>
      </c>
      <c r="J60" s="4">
        <f t="shared" si="8"/>
        <v>1.4379000003377998E-4</v>
      </c>
      <c r="K60" s="4">
        <f t="shared" si="9"/>
        <v>0.31700230987447198</v>
      </c>
      <c r="L60" s="3">
        <v>1.1599999999999999E-2</v>
      </c>
      <c r="M60" s="3">
        <v>3</v>
      </c>
      <c r="N60" s="4">
        <f t="shared" si="10"/>
        <v>23.143208333852019</v>
      </c>
      <c r="O60" s="4">
        <f t="shared" si="1"/>
        <v>0.63446611257453456</v>
      </c>
      <c r="P60" s="4">
        <f t="shared" si="2"/>
        <v>11.482554524125634</v>
      </c>
      <c r="Q60" s="4">
        <f t="shared" si="6"/>
        <v>29.165688491279113</v>
      </c>
      <c r="R60" s="2">
        <f t="shared" si="3"/>
        <v>287.78932994100325</v>
      </c>
      <c r="S60" s="2">
        <f t="shared" si="4"/>
        <v>691.63501547945987</v>
      </c>
      <c r="T60" s="2">
        <f t="shared" si="5"/>
        <v>1832.8327910205685</v>
      </c>
      <c r="U60" s="2">
        <f t="shared" si="11"/>
        <v>29.172666666666665</v>
      </c>
      <c r="V60" s="2">
        <f t="shared" si="12"/>
        <v>0.92646666666666677</v>
      </c>
      <c r="W60" s="2">
        <v>0</v>
      </c>
    </row>
    <row r="61" spans="1:44" x14ac:dyDescent="0.25">
      <c r="A61" s="2" t="s">
        <v>31</v>
      </c>
      <c r="B61" s="4" t="s">
        <v>32</v>
      </c>
      <c r="C61" s="4">
        <v>10</v>
      </c>
      <c r="D61" s="4">
        <v>1</v>
      </c>
      <c r="E61" s="4">
        <f t="shared" si="13"/>
        <v>10</v>
      </c>
      <c r="F61" s="4">
        <v>372.74693589999998</v>
      </c>
      <c r="G61" s="4">
        <v>987.77937999999995</v>
      </c>
      <c r="H61" s="4">
        <f t="shared" si="7"/>
        <v>155.10000002799001</v>
      </c>
      <c r="I61" s="4">
        <f t="shared" si="8"/>
        <v>0.15510000002799001</v>
      </c>
      <c r="J61" s="4">
        <f t="shared" si="8"/>
        <v>1.5510000002799001E-4</v>
      </c>
      <c r="K61" s="4">
        <f t="shared" si="9"/>
        <v>0.34193656206170731</v>
      </c>
      <c r="L61" s="3">
        <v>1.1599999999999999E-2</v>
      </c>
      <c r="M61" s="3">
        <v>3</v>
      </c>
      <c r="N61" s="4">
        <f t="shared" si="10"/>
        <v>23.734746790222747</v>
      </c>
      <c r="O61" s="4">
        <f t="shared" si="1"/>
        <v>0.63474124057743342</v>
      </c>
      <c r="P61" s="4">
        <f t="shared" si="2"/>
        <v>11.484214037900063</v>
      </c>
      <c r="Q61" s="4">
        <f t="shared" si="6"/>
        <v>29.169903656266161</v>
      </c>
      <c r="R61" s="2">
        <f t="shared" si="3"/>
        <v>287.91412605230533</v>
      </c>
      <c r="S61" s="2">
        <f t="shared" si="4"/>
        <v>691.93493403582147</v>
      </c>
      <c r="T61" s="2">
        <f t="shared" si="5"/>
        <v>1833.6275751949267</v>
      </c>
      <c r="U61" s="2">
        <f t="shared" si="11"/>
        <v>29.172666666666665</v>
      </c>
      <c r="V61" s="2">
        <f t="shared" si="12"/>
        <v>0.92646666666666677</v>
      </c>
      <c r="W61" s="2">
        <v>0</v>
      </c>
    </row>
    <row r="62" spans="1:44" x14ac:dyDescent="0.25">
      <c r="A62" s="4" t="s">
        <v>33</v>
      </c>
      <c r="B62" s="4" t="s">
        <v>34</v>
      </c>
      <c r="C62" s="4">
        <v>1</v>
      </c>
      <c r="D62" s="4">
        <v>2</v>
      </c>
      <c r="E62" s="4">
        <f t="shared" si="13"/>
        <v>2</v>
      </c>
      <c r="F62" s="4">
        <v>127.5414564</v>
      </c>
      <c r="G62" s="4">
        <v>337.98485950000003</v>
      </c>
      <c r="H62" s="4">
        <v>53.070000010000001</v>
      </c>
      <c r="I62" s="4">
        <v>5.3069999999999999E-2</v>
      </c>
      <c r="J62" s="4">
        <v>5.3100000000000003E-5</v>
      </c>
      <c r="K62" s="4">
        <v>0.11699918300000001</v>
      </c>
      <c r="L62" s="4">
        <v>1.4999999999999999E-2</v>
      </c>
      <c r="M62" s="4">
        <v>3</v>
      </c>
      <c r="N62" s="4">
        <v>15.23769499</v>
      </c>
      <c r="O62" s="4">
        <f t="shared" si="1"/>
        <v>0.23401738730824392</v>
      </c>
      <c r="P62" s="4">
        <f t="shared" si="2"/>
        <v>7.5585877301431781</v>
      </c>
      <c r="Q62" s="4">
        <f t="shared" si="6"/>
        <v>19.198812834563672</v>
      </c>
      <c r="R62" s="4">
        <f t="shared" si="3"/>
        <v>106.1486275676733</v>
      </c>
      <c r="S62" s="4">
        <f t="shared" si="4"/>
        <v>255.10364712250257</v>
      </c>
      <c r="T62" s="4">
        <f t="shared" si="5"/>
        <v>676.02466487463175</v>
      </c>
      <c r="U62" s="4">
        <v>58.9</v>
      </c>
      <c r="V62" s="4">
        <v>0.22</v>
      </c>
      <c r="W62" s="4">
        <v>0.20699999999999999</v>
      </c>
      <c r="Y62" s="4" t="s">
        <v>402</v>
      </c>
    </row>
    <row r="63" spans="1:44" x14ac:dyDescent="0.25">
      <c r="A63" s="4" t="s">
        <v>33</v>
      </c>
      <c r="B63" s="4" t="s">
        <v>34</v>
      </c>
      <c r="C63" s="4">
        <v>2</v>
      </c>
      <c r="D63" s="4">
        <v>2</v>
      </c>
      <c r="E63" s="4">
        <f t="shared" si="13"/>
        <v>4</v>
      </c>
      <c r="F63" s="4">
        <v>347.4885845</v>
      </c>
      <c r="G63" s="4">
        <v>920.84474890000001</v>
      </c>
      <c r="H63" s="4">
        <v>144.59</v>
      </c>
      <c r="I63" s="4">
        <v>0.14459</v>
      </c>
      <c r="J63" s="4">
        <v>1.4459E-4</v>
      </c>
      <c r="K63" s="4">
        <v>0.31876600599999999</v>
      </c>
      <c r="L63" s="4">
        <v>1.4999999999999999E-2</v>
      </c>
      <c r="M63" s="4">
        <v>3</v>
      </c>
      <c r="N63" s="4">
        <v>21.282158150000001</v>
      </c>
      <c r="O63" s="4">
        <f t="shared" si="1"/>
        <v>1.2245305445384709</v>
      </c>
      <c r="P63" s="4">
        <f t="shared" si="2"/>
        <v>13.122436813078915</v>
      </c>
      <c r="Q63" s="4">
        <f t="shared" si="6"/>
        <v>33.330989505220444</v>
      </c>
      <c r="R63" s="4">
        <f t="shared" si="3"/>
        <v>555.43837239001323</v>
      </c>
      <c r="S63" s="4">
        <f t="shared" si="4"/>
        <v>1334.8675135544656</v>
      </c>
      <c r="T63" s="4">
        <f t="shared" si="5"/>
        <v>3537.398910919334</v>
      </c>
      <c r="U63" s="4">
        <v>58.9</v>
      </c>
      <c r="V63" s="4">
        <v>0.22</v>
      </c>
      <c r="W63" s="4">
        <v>0.20699999999999999</v>
      </c>
    </row>
    <row r="64" spans="1:44" x14ac:dyDescent="0.25">
      <c r="A64" s="4" t="s">
        <v>33</v>
      </c>
      <c r="B64" s="4" t="s">
        <v>34</v>
      </c>
      <c r="C64" s="4">
        <v>3</v>
      </c>
      <c r="D64" s="4">
        <v>2</v>
      </c>
      <c r="E64" s="4">
        <f t="shared" si="13"/>
        <v>6</v>
      </c>
      <c r="F64" s="4">
        <v>732.42009129999997</v>
      </c>
      <c r="G64" s="4">
        <v>1940.9132420000001</v>
      </c>
      <c r="H64" s="4">
        <v>304.76</v>
      </c>
      <c r="I64" s="4">
        <v>0.30475999999999998</v>
      </c>
      <c r="J64" s="4">
        <v>3.0476E-4</v>
      </c>
      <c r="K64" s="4">
        <v>0.67187999099999995</v>
      </c>
      <c r="L64" s="4">
        <v>1.4999999999999999E-2</v>
      </c>
      <c r="M64" s="4">
        <v>3</v>
      </c>
      <c r="N64" s="4">
        <v>27.286986030000001</v>
      </c>
      <c r="O64" s="4">
        <f t="shared" si="1"/>
        <v>2.5265315752891411</v>
      </c>
      <c r="P64" s="4">
        <f t="shared" si="2"/>
        <v>16.705758263899565</v>
      </c>
      <c r="Q64" s="4">
        <f t="shared" si="6"/>
        <v>42.432625990304892</v>
      </c>
      <c r="R64" s="4">
        <f t="shared" si="3"/>
        <v>1146.0168080164115</v>
      </c>
      <c r="S64" s="4">
        <f t="shared" si="4"/>
        <v>2754.1860322432385</v>
      </c>
      <c r="T64" s="4">
        <f t="shared" si="5"/>
        <v>7298.5929854445822</v>
      </c>
      <c r="U64" s="4">
        <v>58.9</v>
      </c>
      <c r="V64" s="4">
        <v>0.22</v>
      </c>
      <c r="W64" s="4">
        <v>0.20699999999999999</v>
      </c>
    </row>
    <row r="65" spans="1:30" x14ac:dyDescent="0.25">
      <c r="A65" s="4" t="s">
        <v>33</v>
      </c>
      <c r="B65" s="4" t="s">
        <v>34</v>
      </c>
      <c r="C65" s="4">
        <v>4</v>
      </c>
      <c r="D65" s="4">
        <v>2</v>
      </c>
      <c r="E65" s="4">
        <f t="shared" si="13"/>
        <v>8</v>
      </c>
      <c r="F65" s="4">
        <v>1115.2006730000001</v>
      </c>
      <c r="G65" s="4">
        <v>2955.281782</v>
      </c>
      <c r="H65" s="4">
        <v>464.03500000000003</v>
      </c>
      <c r="I65" s="4">
        <v>0.46403499999999998</v>
      </c>
      <c r="J65" s="4">
        <v>4.6403500000000001E-4</v>
      </c>
      <c r="K65" s="4">
        <v>1.023020842</v>
      </c>
      <c r="L65" s="4">
        <v>1.4999999999999999E-2</v>
      </c>
      <c r="M65" s="4">
        <v>3</v>
      </c>
      <c r="N65" s="4">
        <v>31.392060780000001</v>
      </c>
      <c r="O65" s="4">
        <f t="shared" si="1"/>
        <v>3.7249087098461771</v>
      </c>
      <c r="P65" s="4">
        <f t="shared" si="2"/>
        <v>19.013547786676543</v>
      </c>
      <c r="Q65" s="4">
        <f t="shared" si="6"/>
        <v>48.294411378158422</v>
      </c>
      <c r="R65" s="4">
        <f t="shared" si="3"/>
        <v>1689.5921790812824</v>
      </c>
      <c r="S65" s="4">
        <f t="shared" si="4"/>
        <v>4060.5435690489849</v>
      </c>
      <c r="T65" s="4">
        <f t="shared" si="5"/>
        <v>10760.44045797981</v>
      </c>
      <c r="U65" s="4">
        <v>58.9</v>
      </c>
      <c r="V65" s="4">
        <v>0.22</v>
      </c>
      <c r="W65" s="4">
        <v>0.20699999999999999</v>
      </c>
    </row>
    <row r="66" spans="1:30" x14ac:dyDescent="0.25">
      <c r="A66" s="4" t="s">
        <v>33</v>
      </c>
      <c r="B66" s="4" t="s">
        <v>34</v>
      </c>
      <c r="C66" s="4">
        <v>5</v>
      </c>
      <c r="D66" s="4">
        <v>2</v>
      </c>
      <c r="E66" s="4">
        <f t="shared" si="13"/>
        <v>10</v>
      </c>
      <c r="F66" s="4">
        <v>1550.4325879999999</v>
      </c>
      <c r="G66" s="4">
        <v>4108.6463590000003</v>
      </c>
      <c r="H66" s="4">
        <v>645.13499990000003</v>
      </c>
      <c r="I66" s="4">
        <v>0.64513500000000001</v>
      </c>
      <c r="J66" s="4">
        <v>6.4513500000000002E-4</v>
      </c>
      <c r="K66" s="4">
        <v>1.422277523</v>
      </c>
      <c r="L66" s="4">
        <v>1.4999999999999999E-2</v>
      </c>
      <c r="M66" s="4">
        <v>3</v>
      </c>
      <c r="N66" s="4">
        <v>35.036424660000002</v>
      </c>
      <c r="O66" s="4">
        <f t="shared" ref="O66:O129" si="14">R66*0.00220462</f>
        <v>4.668507847038887</v>
      </c>
      <c r="P66" s="4">
        <f t="shared" ref="P66:P129" si="15">Q66/2.54</f>
        <v>20.499848291538999</v>
      </c>
      <c r="Q66" s="4">
        <f t="shared" si="6"/>
        <v>52.06961466050906</v>
      </c>
      <c r="R66" s="4">
        <f t="shared" ref="R66:R129" si="16">L66*(Q66^M66)</f>
        <v>2117.6020570614833</v>
      </c>
      <c r="S66" s="4">
        <f t="shared" ref="S66:S129" si="17">R66/20/5.7/3.65*1000</f>
        <v>5089.166202983617</v>
      </c>
      <c r="T66" s="4">
        <f t="shared" ref="T66:T129" si="18">S66*2.65</f>
        <v>13486.290437906584</v>
      </c>
      <c r="U66" s="4">
        <v>58.9</v>
      </c>
      <c r="V66" s="4">
        <v>0.22</v>
      </c>
      <c r="W66" s="4">
        <v>0.20699999999999999</v>
      </c>
    </row>
    <row r="67" spans="1:30" x14ac:dyDescent="0.25">
      <c r="A67" s="4" t="s">
        <v>33</v>
      </c>
      <c r="B67" s="4" t="s">
        <v>34</v>
      </c>
      <c r="C67" s="4">
        <v>6</v>
      </c>
      <c r="D67" s="4">
        <v>2</v>
      </c>
      <c r="E67" s="4">
        <f t="shared" si="13"/>
        <v>12</v>
      </c>
      <c r="F67" s="4">
        <v>1976.4359529999999</v>
      </c>
      <c r="G67" s="4">
        <v>5237.5552749999997</v>
      </c>
      <c r="H67" s="4">
        <v>822.39499999999998</v>
      </c>
      <c r="I67" s="4">
        <v>0.82239499999999999</v>
      </c>
      <c r="J67" s="4">
        <v>8.2239499999999996E-4</v>
      </c>
      <c r="K67" s="4">
        <v>1.813068465</v>
      </c>
      <c r="L67" s="4">
        <v>1.4999999999999999E-2</v>
      </c>
      <c r="M67" s="4">
        <v>3</v>
      </c>
      <c r="N67" s="4">
        <v>37.989455370000002</v>
      </c>
      <c r="O67" s="4">
        <f t="shared" si="14"/>
        <v>5.3535025027949148</v>
      </c>
      <c r="P67" s="4">
        <f t="shared" si="15"/>
        <v>21.457079949344685</v>
      </c>
      <c r="Q67" s="4">
        <f t="shared" ref="Q67:Q130" si="19">U67*(1-EXP(-V67*(E67-W67)))</f>
        <v>54.500983071335504</v>
      </c>
      <c r="R67" s="4">
        <f t="shared" si="16"/>
        <v>2428.3107759137242</v>
      </c>
      <c r="S67" s="4">
        <f t="shared" si="17"/>
        <v>5835.8826626140935</v>
      </c>
      <c r="T67" s="4">
        <f t="shared" si="18"/>
        <v>15465.089055927347</v>
      </c>
      <c r="U67" s="4">
        <v>58.9</v>
      </c>
      <c r="V67" s="4">
        <v>0.22</v>
      </c>
      <c r="W67" s="4">
        <v>0.20699999999999999</v>
      </c>
    </row>
    <row r="68" spans="1:30" x14ac:dyDescent="0.25">
      <c r="A68" s="4" t="s">
        <v>33</v>
      </c>
      <c r="B68" s="4" t="s">
        <v>34</v>
      </c>
      <c r="C68" s="4">
        <v>7</v>
      </c>
      <c r="D68" s="4">
        <v>2</v>
      </c>
      <c r="E68" s="4">
        <f t="shared" si="13"/>
        <v>14</v>
      </c>
      <c r="F68" s="4">
        <v>2275.6669069999998</v>
      </c>
      <c r="G68" s="4">
        <v>6030.517304</v>
      </c>
      <c r="H68" s="4">
        <v>946.90499999999997</v>
      </c>
      <c r="I68" s="4">
        <v>0.946905</v>
      </c>
      <c r="J68" s="4">
        <v>9.4690499999999995E-4</v>
      </c>
      <c r="K68" s="4">
        <v>2.0875657009999999</v>
      </c>
      <c r="L68" s="4">
        <v>1.4999999999999999E-2</v>
      </c>
      <c r="M68" s="4">
        <v>3</v>
      </c>
      <c r="N68" s="4">
        <v>39.817291709999999</v>
      </c>
      <c r="O68" s="4">
        <f t="shared" si="14"/>
        <v>5.82832826495014</v>
      </c>
      <c r="P68" s="4">
        <f t="shared" si="15"/>
        <v>22.07357200038534</v>
      </c>
      <c r="Q68" s="4">
        <f t="shared" si="19"/>
        <v>56.066872880978764</v>
      </c>
      <c r="R68" s="4">
        <f t="shared" si="16"/>
        <v>2643.6883748447081</v>
      </c>
      <c r="S68" s="4">
        <f t="shared" si="17"/>
        <v>6353.4928499031676</v>
      </c>
      <c r="T68" s="4">
        <f t="shared" si="18"/>
        <v>16836.756052243392</v>
      </c>
      <c r="U68" s="4">
        <v>58.9</v>
      </c>
      <c r="V68" s="4">
        <v>0.22</v>
      </c>
      <c r="W68" s="4">
        <v>0.20699999999999999</v>
      </c>
    </row>
    <row r="69" spans="1:30" x14ac:dyDescent="0.25">
      <c r="A69" s="4" t="s">
        <v>33</v>
      </c>
      <c r="B69" s="4" t="s">
        <v>34</v>
      </c>
      <c r="C69" s="4">
        <v>8</v>
      </c>
      <c r="D69" s="4">
        <v>2</v>
      </c>
      <c r="E69" s="4">
        <f t="shared" si="13"/>
        <v>16</v>
      </c>
      <c r="F69" s="4">
        <v>2451.3338140000001</v>
      </c>
      <c r="G69" s="4">
        <v>6496.0346079999999</v>
      </c>
      <c r="H69" s="4">
        <v>1020</v>
      </c>
      <c r="I69" s="4">
        <v>1.02</v>
      </c>
      <c r="J69" s="4">
        <v>1.0200000000000001E-3</v>
      </c>
      <c r="K69" s="4">
        <v>2.2487124000000001</v>
      </c>
      <c r="L69" s="4">
        <v>1.4999999999999999E-2</v>
      </c>
      <c r="M69" s="4">
        <v>3</v>
      </c>
      <c r="N69" s="4">
        <v>40.816551019999999</v>
      </c>
      <c r="O69" s="4">
        <f t="shared" si="14"/>
        <v>6.1485264795531931</v>
      </c>
      <c r="P69" s="4">
        <f t="shared" si="15"/>
        <v>22.470615334563767</v>
      </c>
      <c r="Q69" s="4">
        <f t="shared" si="19"/>
        <v>57.075362949791973</v>
      </c>
      <c r="R69" s="4">
        <f t="shared" si="16"/>
        <v>2788.928014602604</v>
      </c>
      <c r="S69" s="4">
        <f t="shared" si="17"/>
        <v>6702.5426931088768</v>
      </c>
      <c r="T69" s="4">
        <f t="shared" si="18"/>
        <v>17761.738136738524</v>
      </c>
      <c r="U69" s="4">
        <v>58.9</v>
      </c>
      <c r="V69" s="4">
        <v>0.22</v>
      </c>
      <c r="W69" s="4">
        <v>0.20699999999999999</v>
      </c>
    </row>
    <row r="70" spans="1:30" x14ac:dyDescent="0.25">
      <c r="A70" s="4" t="s">
        <v>33</v>
      </c>
      <c r="B70" s="4" t="s">
        <v>34</v>
      </c>
      <c r="C70" s="4">
        <v>9</v>
      </c>
      <c r="D70" s="4">
        <v>2</v>
      </c>
      <c r="E70" s="4">
        <f t="shared" si="13"/>
        <v>18</v>
      </c>
      <c r="F70" s="4">
        <v>2643.5952900000002</v>
      </c>
      <c r="G70" s="4">
        <v>7005.5275179999999</v>
      </c>
      <c r="H70" s="4">
        <v>1100</v>
      </c>
      <c r="I70" s="4">
        <v>1.1000000000000001</v>
      </c>
      <c r="J70" s="4">
        <v>1.1000000000000001E-3</v>
      </c>
      <c r="K70" s="4">
        <v>2.4250820000000002</v>
      </c>
      <c r="L70" s="4">
        <v>1.4999999999999999E-2</v>
      </c>
      <c r="M70" s="4">
        <v>3</v>
      </c>
      <c r="N70" s="4">
        <v>41.85690786</v>
      </c>
      <c r="O70" s="4">
        <f t="shared" si="14"/>
        <v>6.3608306234498766</v>
      </c>
      <c r="P70" s="4">
        <f t="shared" si="15"/>
        <v>22.72632570252296</v>
      </c>
      <c r="Q70" s="4">
        <f t="shared" si="19"/>
        <v>57.724867284408319</v>
      </c>
      <c r="R70" s="4">
        <f t="shared" si="16"/>
        <v>2885.2276689179434</v>
      </c>
      <c r="S70" s="4">
        <f t="shared" si="17"/>
        <v>6933.976613597556</v>
      </c>
      <c r="T70" s="4">
        <f t="shared" si="18"/>
        <v>18375.038026033522</v>
      </c>
      <c r="U70" s="4">
        <v>58.9</v>
      </c>
      <c r="V70" s="4">
        <v>0.22</v>
      </c>
      <c r="W70" s="4">
        <v>0.20699999999999999</v>
      </c>
    </row>
    <row r="71" spans="1:30" x14ac:dyDescent="0.25">
      <c r="A71" s="4" t="s">
        <v>33</v>
      </c>
      <c r="B71" s="4" t="s">
        <v>34</v>
      </c>
      <c r="C71" s="4">
        <v>10</v>
      </c>
      <c r="D71" s="4">
        <v>2</v>
      </c>
      <c r="E71" s="4">
        <f t="shared" si="13"/>
        <v>20</v>
      </c>
      <c r="F71" s="4">
        <v>3076.18361</v>
      </c>
      <c r="G71" s="4">
        <v>8151.8865660000001</v>
      </c>
      <c r="H71" s="4">
        <v>1280</v>
      </c>
      <c r="I71" s="4">
        <v>1.28</v>
      </c>
      <c r="J71" s="4">
        <v>1.2800000000000001E-3</v>
      </c>
      <c r="K71" s="4">
        <v>2.8219135999999998</v>
      </c>
      <c r="L71" s="4">
        <v>1.4999999999999999E-2</v>
      </c>
      <c r="M71" s="4">
        <v>3</v>
      </c>
      <c r="N71" s="4">
        <v>44.02569665</v>
      </c>
      <c r="O71" s="4">
        <f t="shared" si="14"/>
        <v>6.5001167777729911</v>
      </c>
      <c r="P71" s="4">
        <f t="shared" si="15"/>
        <v>22.89101249273725</v>
      </c>
      <c r="Q71" s="4">
        <f t="shared" si="19"/>
        <v>58.14317173155262</v>
      </c>
      <c r="R71" s="4">
        <f t="shared" si="16"/>
        <v>2948.4068809014666</v>
      </c>
      <c r="S71" s="4">
        <f t="shared" si="17"/>
        <v>7085.8132201429144</v>
      </c>
      <c r="T71" s="4">
        <f t="shared" si="18"/>
        <v>18777.405033378724</v>
      </c>
      <c r="U71" s="4">
        <v>58.9</v>
      </c>
      <c r="V71" s="4">
        <v>0.22</v>
      </c>
      <c r="W71" s="4">
        <v>0.20699999999999999</v>
      </c>
    </row>
    <row r="72" spans="1:30" x14ac:dyDescent="0.25">
      <c r="A72" s="4" t="s">
        <v>35</v>
      </c>
      <c r="B72" s="4" t="s">
        <v>36</v>
      </c>
      <c r="C72" s="4">
        <v>1</v>
      </c>
      <c r="D72" s="4">
        <v>1</v>
      </c>
      <c r="E72" s="4">
        <f t="shared" si="13"/>
        <v>1</v>
      </c>
      <c r="F72" s="4">
        <v>49.194905069999997</v>
      </c>
      <c r="G72" s="4">
        <v>130.36649840000001</v>
      </c>
      <c r="H72" s="4">
        <v>20.47</v>
      </c>
      <c r="I72" s="4">
        <v>2.0469999999999999E-2</v>
      </c>
      <c r="J72" s="4">
        <v>2.05E-5</v>
      </c>
      <c r="K72" s="4">
        <v>4.5128570999999999E-2</v>
      </c>
      <c r="L72" s="4">
        <v>2.1000000000000001E-2</v>
      </c>
      <c r="M72" s="4">
        <v>3</v>
      </c>
      <c r="N72" s="4">
        <v>9.9151551869999999</v>
      </c>
      <c r="O72" s="4">
        <f t="shared" si="14"/>
        <v>9.3601330346887154E-2</v>
      </c>
      <c r="P72" s="4">
        <f t="shared" si="15"/>
        <v>4.9782413133617949</v>
      </c>
      <c r="Q72" s="4">
        <f t="shared" si="19"/>
        <v>12.64473293593896</v>
      </c>
      <c r="R72" s="4">
        <f t="shared" si="16"/>
        <v>42.45689975909098</v>
      </c>
      <c r="S72" s="4">
        <f t="shared" si="17"/>
        <v>102.03532746717372</v>
      </c>
      <c r="T72" s="4">
        <f t="shared" si="18"/>
        <v>270.39361778801032</v>
      </c>
      <c r="U72" s="4">
        <v>21.02</v>
      </c>
      <c r="V72" s="4">
        <v>0.86</v>
      </c>
      <c r="W72" s="4">
        <v>-6.9989999999999997E-2</v>
      </c>
      <c r="Y72" s="4" t="s">
        <v>402</v>
      </c>
    </row>
    <row r="73" spans="1:30" x14ac:dyDescent="0.25">
      <c r="A73" s="4" t="s">
        <v>35</v>
      </c>
      <c r="B73" s="4" t="s">
        <v>36</v>
      </c>
      <c r="C73" s="4">
        <v>2</v>
      </c>
      <c r="D73" s="4">
        <v>1</v>
      </c>
      <c r="E73" s="4">
        <f t="shared" si="13"/>
        <v>2</v>
      </c>
      <c r="F73" s="4">
        <v>86.10910835</v>
      </c>
      <c r="G73" s="4">
        <v>228.18913710000001</v>
      </c>
      <c r="H73" s="4">
        <v>35.829999979999997</v>
      </c>
      <c r="I73" s="4">
        <v>3.5830000000000001E-2</v>
      </c>
      <c r="J73" s="4">
        <v>3.5800000000000003E-5</v>
      </c>
      <c r="K73" s="4">
        <v>7.8991535000000002E-2</v>
      </c>
      <c r="L73" s="4">
        <v>2.1000000000000001E-2</v>
      </c>
      <c r="M73" s="4">
        <v>3</v>
      </c>
      <c r="N73" s="4">
        <v>11.949301090000001</v>
      </c>
      <c r="O73" s="4">
        <f t="shared" si="14"/>
        <v>0.24709959276742252</v>
      </c>
      <c r="P73" s="4">
        <f t="shared" si="15"/>
        <v>6.8802773815766418</v>
      </c>
      <c r="Q73" s="4">
        <f t="shared" si="19"/>
        <v>17.475904549204671</v>
      </c>
      <c r="R73" s="4">
        <f t="shared" si="16"/>
        <v>112.08262320373693</v>
      </c>
      <c r="S73" s="4">
        <f t="shared" si="17"/>
        <v>269.36463158792822</v>
      </c>
      <c r="T73" s="4">
        <f t="shared" si="18"/>
        <v>713.8162737080097</v>
      </c>
      <c r="U73" s="4">
        <v>21.02</v>
      </c>
      <c r="V73" s="4">
        <v>0.86</v>
      </c>
      <c r="W73" s="4">
        <v>-6.9989999999999997E-2</v>
      </c>
    </row>
    <row r="74" spans="1:30" x14ac:dyDescent="0.25">
      <c r="A74" s="4" t="s">
        <v>35</v>
      </c>
      <c r="B74" s="4" t="s">
        <v>36</v>
      </c>
      <c r="C74" s="4">
        <v>3</v>
      </c>
      <c r="D74" s="4">
        <v>1</v>
      </c>
      <c r="E74" s="4">
        <f t="shared" si="13"/>
        <v>3</v>
      </c>
      <c r="F74" s="4">
        <v>123.02331169999999</v>
      </c>
      <c r="G74" s="4">
        <v>326.011776</v>
      </c>
      <c r="H74" s="4">
        <v>51.19</v>
      </c>
      <c r="I74" s="4">
        <v>5.1189999999999999E-2</v>
      </c>
      <c r="J74" s="4">
        <v>5.1199999999999998E-5</v>
      </c>
      <c r="K74" s="4">
        <v>0.112854498</v>
      </c>
      <c r="L74" s="4">
        <v>2.1000000000000001E-2</v>
      </c>
      <c r="M74" s="4">
        <v>3</v>
      </c>
      <c r="N74" s="4">
        <v>13.458250619999999</v>
      </c>
      <c r="O74" s="4">
        <f t="shared" si="14"/>
        <v>0.34435842424324425</v>
      </c>
      <c r="P74" s="4">
        <f t="shared" si="15"/>
        <v>7.6851469248459017</v>
      </c>
      <c r="Q74" s="4">
        <f t="shared" si="19"/>
        <v>19.52027318910859</v>
      </c>
      <c r="R74" s="4">
        <f t="shared" si="16"/>
        <v>156.19853954116547</v>
      </c>
      <c r="S74" s="4">
        <f t="shared" si="17"/>
        <v>375.38702124769395</v>
      </c>
      <c r="T74" s="4">
        <f t="shared" si="18"/>
        <v>994.77560630638891</v>
      </c>
      <c r="U74" s="4">
        <v>21.02</v>
      </c>
      <c r="V74" s="4">
        <v>0.86</v>
      </c>
      <c r="W74" s="4">
        <v>-6.9989999999999997E-2</v>
      </c>
    </row>
    <row r="75" spans="1:30" x14ac:dyDescent="0.25">
      <c r="A75" s="4" t="s">
        <v>35</v>
      </c>
      <c r="B75" s="4" t="s">
        <v>36</v>
      </c>
      <c r="C75" s="4">
        <v>4</v>
      </c>
      <c r="D75" s="4">
        <v>1</v>
      </c>
      <c r="E75" s="4">
        <f t="shared" si="13"/>
        <v>4</v>
      </c>
      <c r="F75" s="4">
        <v>164.56380680000001</v>
      </c>
      <c r="G75" s="4">
        <v>436.094088</v>
      </c>
      <c r="H75" s="4">
        <v>68.475000010000002</v>
      </c>
      <c r="I75" s="4">
        <v>6.8474999999999994E-2</v>
      </c>
      <c r="J75" s="4">
        <v>6.8499999999999998E-5</v>
      </c>
      <c r="K75" s="4">
        <v>0.15096135499999999</v>
      </c>
      <c r="L75" s="4">
        <v>2.1000000000000001E-2</v>
      </c>
      <c r="M75" s="4">
        <v>3</v>
      </c>
      <c r="N75" s="4">
        <v>14.82873994</v>
      </c>
      <c r="O75" s="4">
        <f t="shared" si="14"/>
        <v>0.39220126621395363</v>
      </c>
      <c r="P75" s="4">
        <f t="shared" si="15"/>
        <v>8.025737196769855</v>
      </c>
      <c r="Q75" s="4">
        <f t="shared" si="19"/>
        <v>20.385372479795432</v>
      </c>
      <c r="R75" s="4">
        <f t="shared" si="16"/>
        <v>177.89971342632907</v>
      </c>
      <c r="S75" s="4">
        <f t="shared" si="17"/>
        <v>427.54076766721715</v>
      </c>
      <c r="T75" s="4">
        <f t="shared" si="18"/>
        <v>1132.9830343181254</v>
      </c>
      <c r="U75" s="4">
        <v>21.02</v>
      </c>
      <c r="V75" s="4">
        <v>0.86</v>
      </c>
      <c r="W75" s="4">
        <v>-6.9989999999999997E-2</v>
      </c>
    </row>
    <row r="76" spans="1:30" x14ac:dyDescent="0.25">
      <c r="A76" s="4" t="s">
        <v>35</v>
      </c>
      <c r="B76" s="4" t="s">
        <v>36</v>
      </c>
      <c r="C76" s="4">
        <v>5</v>
      </c>
      <c r="D76" s="4">
        <v>1</v>
      </c>
      <c r="E76" s="4">
        <f t="shared" si="13"/>
        <v>5</v>
      </c>
      <c r="F76" s="4">
        <v>206.1043018</v>
      </c>
      <c r="G76" s="4">
        <v>546.17639980000001</v>
      </c>
      <c r="H76" s="4">
        <v>85.759999980000003</v>
      </c>
      <c r="I76" s="4">
        <v>8.5760000000000003E-2</v>
      </c>
      <c r="J76" s="4">
        <v>8.5799999999999998E-5</v>
      </c>
      <c r="K76" s="4">
        <v>0.18906821100000001</v>
      </c>
      <c r="L76" s="4">
        <v>2.1000000000000001E-2</v>
      </c>
      <c r="M76" s="4">
        <v>3</v>
      </c>
      <c r="N76" s="4">
        <v>15.98411121</v>
      </c>
      <c r="O76" s="4">
        <f t="shared" si="14"/>
        <v>0.41371223377968153</v>
      </c>
      <c r="P76" s="4">
        <f t="shared" si="15"/>
        <v>8.1698620854543638</v>
      </c>
      <c r="Q76" s="4">
        <f t="shared" si="19"/>
        <v>20.751449697054085</v>
      </c>
      <c r="R76" s="4">
        <f t="shared" si="16"/>
        <v>187.65693578924328</v>
      </c>
      <c r="S76" s="4">
        <f t="shared" si="17"/>
        <v>450.98999228368967</v>
      </c>
      <c r="T76" s="4">
        <f t="shared" si="18"/>
        <v>1195.1234795517776</v>
      </c>
      <c r="U76" s="4">
        <v>21.02</v>
      </c>
      <c r="V76" s="4">
        <v>0.86</v>
      </c>
      <c r="W76" s="4">
        <v>-6.9989999999999997E-2</v>
      </c>
    </row>
    <row r="77" spans="1:30" x14ac:dyDescent="0.25">
      <c r="A77" s="4" t="s">
        <v>35</v>
      </c>
      <c r="B77" s="4" t="s">
        <v>36</v>
      </c>
      <c r="C77" s="4">
        <v>6</v>
      </c>
      <c r="D77" s="4">
        <v>1</v>
      </c>
      <c r="E77" s="4">
        <f t="shared" si="13"/>
        <v>6</v>
      </c>
      <c r="F77" s="4">
        <v>244.71280949999999</v>
      </c>
      <c r="G77" s="4">
        <v>648.48894510000002</v>
      </c>
      <c r="H77" s="4">
        <v>101.825</v>
      </c>
      <c r="I77" s="4">
        <v>0.101825</v>
      </c>
      <c r="J77" s="4">
        <v>1.0182499999999999E-4</v>
      </c>
      <c r="K77" s="4">
        <v>0.22448543200000001</v>
      </c>
      <c r="L77" s="4">
        <v>2.1000000000000001E-2</v>
      </c>
      <c r="M77" s="4">
        <v>3</v>
      </c>
      <c r="N77" s="4">
        <v>16.925637739999999</v>
      </c>
      <c r="O77" s="4">
        <f t="shared" si="14"/>
        <v>0.42304668105475574</v>
      </c>
      <c r="P77" s="4">
        <f t="shared" si="15"/>
        <v>8.2308502734639148</v>
      </c>
      <c r="Q77" s="4">
        <f t="shared" si="19"/>
        <v>20.906359694598343</v>
      </c>
      <c r="R77" s="4">
        <f t="shared" si="16"/>
        <v>191.89097488671777</v>
      </c>
      <c r="S77" s="4">
        <f t="shared" si="17"/>
        <v>461.16552484190765</v>
      </c>
      <c r="T77" s="4">
        <f t="shared" si="18"/>
        <v>1222.0886408310553</v>
      </c>
      <c r="U77" s="4">
        <v>21.02</v>
      </c>
      <c r="V77" s="4">
        <v>0.86</v>
      </c>
      <c r="W77" s="4">
        <v>-6.9989999999999997E-2</v>
      </c>
    </row>
    <row r="78" spans="1:30" x14ac:dyDescent="0.25">
      <c r="A78" s="4" t="s">
        <v>35</v>
      </c>
      <c r="B78" s="4" t="s">
        <v>36</v>
      </c>
      <c r="C78" s="4">
        <v>7</v>
      </c>
      <c r="D78" s="4">
        <v>1</v>
      </c>
      <c r="E78" s="4">
        <f t="shared" si="13"/>
        <v>7</v>
      </c>
      <c r="F78" s="4">
        <v>283.32131700000002</v>
      </c>
      <c r="G78" s="4">
        <v>750.80149010000002</v>
      </c>
      <c r="H78" s="4">
        <v>117.89</v>
      </c>
      <c r="I78" s="4">
        <v>0.11788999999999999</v>
      </c>
      <c r="J78" s="4">
        <v>1.1789E-4</v>
      </c>
      <c r="K78" s="4">
        <v>0.25990265200000001</v>
      </c>
      <c r="L78" s="4">
        <v>2.1000000000000001E-2</v>
      </c>
      <c r="M78" s="4">
        <v>3</v>
      </c>
      <c r="N78" s="4">
        <v>17.772665109999998</v>
      </c>
      <c r="O78" s="4">
        <f t="shared" si="14"/>
        <v>0.42703856901168957</v>
      </c>
      <c r="P78" s="4">
        <f t="shared" si="15"/>
        <v>8.2566581620988213</v>
      </c>
      <c r="Q78" s="4">
        <f t="shared" si="19"/>
        <v>20.971911731731009</v>
      </c>
      <c r="R78" s="4">
        <f t="shared" si="16"/>
        <v>193.70166695924448</v>
      </c>
      <c r="S78" s="4">
        <f t="shared" si="17"/>
        <v>465.5171039635772</v>
      </c>
      <c r="T78" s="4">
        <f t="shared" si="18"/>
        <v>1233.6203255034795</v>
      </c>
      <c r="U78" s="4">
        <v>21.02</v>
      </c>
      <c r="V78" s="4">
        <v>0.86</v>
      </c>
      <c r="W78" s="4">
        <v>-6.9989999999999997E-2</v>
      </c>
    </row>
    <row r="79" spans="1:30" x14ac:dyDescent="0.25">
      <c r="A79" s="4" t="s">
        <v>35</v>
      </c>
      <c r="B79" s="4" t="s">
        <v>36</v>
      </c>
      <c r="C79" s="4">
        <v>8</v>
      </c>
      <c r="D79" s="4">
        <v>1</v>
      </c>
      <c r="E79" s="4">
        <f t="shared" si="13"/>
        <v>8</v>
      </c>
      <c r="F79" s="4">
        <v>314.44364339999998</v>
      </c>
      <c r="G79" s="4">
        <v>833.27565500000003</v>
      </c>
      <c r="H79" s="4">
        <v>130.84</v>
      </c>
      <c r="I79" s="4">
        <v>0.13084000000000001</v>
      </c>
      <c r="J79" s="4">
        <v>1.3083999999999999E-4</v>
      </c>
      <c r="K79" s="4">
        <v>0.28845248099999998</v>
      </c>
      <c r="L79" s="4">
        <v>2.1000000000000001E-2</v>
      </c>
      <c r="M79" s="4">
        <v>3</v>
      </c>
      <c r="N79" s="4">
        <v>18.400957129999998</v>
      </c>
      <c r="O79" s="4">
        <f t="shared" si="14"/>
        <v>0.42873531792242975</v>
      </c>
      <c r="P79" s="4">
        <f t="shared" si="15"/>
        <v>8.2675790819937944</v>
      </c>
      <c r="Q79" s="4">
        <f t="shared" si="19"/>
        <v>20.99965086826424</v>
      </c>
      <c r="R79" s="4">
        <f t="shared" si="16"/>
        <v>194.47130023424887</v>
      </c>
      <c r="S79" s="4">
        <f t="shared" si="17"/>
        <v>467.36673932768292</v>
      </c>
      <c r="T79" s="4">
        <f t="shared" si="18"/>
        <v>1238.5218592183596</v>
      </c>
      <c r="U79" s="4">
        <v>21.02</v>
      </c>
      <c r="V79" s="4">
        <v>0.86</v>
      </c>
      <c r="W79" s="4">
        <v>-6.9989999999999997E-2</v>
      </c>
    </row>
    <row r="80" spans="1:30" x14ac:dyDescent="0.25">
      <c r="A80" s="4" t="s">
        <v>35</v>
      </c>
      <c r="B80" s="4" t="s">
        <v>36</v>
      </c>
      <c r="C80" s="4">
        <v>9</v>
      </c>
      <c r="D80" s="4">
        <v>1</v>
      </c>
      <c r="E80" s="4">
        <f t="shared" si="13"/>
        <v>9</v>
      </c>
      <c r="F80" s="4">
        <v>345.5659698</v>
      </c>
      <c r="G80" s="4">
        <v>915.74981979999995</v>
      </c>
      <c r="H80" s="4">
        <v>143.79</v>
      </c>
      <c r="I80" s="4">
        <v>0.14379</v>
      </c>
      <c r="J80" s="4">
        <v>1.4379E-4</v>
      </c>
      <c r="K80" s="4">
        <v>0.31700231000000001</v>
      </c>
      <c r="L80" s="4">
        <v>2.1000000000000001E-2</v>
      </c>
      <c r="M80" s="4">
        <v>3</v>
      </c>
      <c r="N80" s="4">
        <v>18.989045260000001</v>
      </c>
      <c r="O80" s="4">
        <f t="shared" si="14"/>
        <v>0.42945466893523687</v>
      </c>
      <c r="P80" s="4">
        <f t="shared" si="15"/>
        <v>8.2722004011973755</v>
      </c>
      <c r="Q80" s="4">
        <f t="shared" si="19"/>
        <v>21.011389019041335</v>
      </c>
      <c r="R80" s="4">
        <f t="shared" si="16"/>
        <v>194.79759275305352</v>
      </c>
      <c r="S80" s="4">
        <f t="shared" si="17"/>
        <v>468.15090784199356</v>
      </c>
      <c r="T80" s="4">
        <f t="shared" si="18"/>
        <v>1240.5999057812828</v>
      </c>
      <c r="U80" s="4">
        <v>21.02</v>
      </c>
      <c r="V80" s="4">
        <v>0.86</v>
      </c>
      <c r="W80" s="4">
        <v>-6.9989999999999997E-2</v>
      </c>
      <c r="AD80" s="4" t="s">
        <v>453</v>
      </c>
    </row>
    <row r="81" spans="1:33" x14ac:dyDescent="0.25">
      <c r="A81" s="4" t="s">
        <v>35</v>
      </c>
      <c r="B81" s="4" t="s">
        <v>36</v>
      </c>
      <c r="C81" s="4">
        <v>10</v>
      </c>
      <c r="D81" s="4">
        <v>1</v>
      </c>
      <c r="E81" s="4">
        <f t="shared" si="13"/>
        <v>10</v>
      </c>
      <c r="F81" s="4">
        <v>372.74693589999998</v>
      </c>
      <c r="G81" s="4">
        <v>987.77937999999995</v>
      </c>
      <c r="H81" s="4">
        <v>155.1</v>
      </c>
      <c r="I81" s="4">
        <v>0.15509999999999999</v>
      </c>
      <c r="J81" s="4">
        <v>1.551E-4</v>
      </c>
      <c r="K81" s="4">
        <v>0.341936562</v>
      </c>
      <c r="L81" s="4">
        <v>2.1000000000000001E-2</v>
      </c>
      <c r="M81" s="4">
        <v>3</v>
      </c>
      <c r="N81" s="4">
        <v>19.47440366</v>
      </c>
      <c r="O81" s="4">
        <f t="shared" si="14"/>
        <v>0.42975931313454357</v>
      </c>
      <c r="P81" s="4">
        <f t="shared" si="15"/>
        <v>8.27415596825462</v>
      </c>
      <c r="Q81" s="4">
        <f t="shared" si="19"/>
        <v>21.016356159366733</v>
      </c>
      <c r="R81" s="4">
        <f t="shared" si="16"/>
        <v>194.93577720175975</v>
      </c>
      <c r="S81" s="4">
        <f t="shared" si="17"/>
        <v>468.48300216717075</v>
      </c>
      <c r="T81" s="4">
        <f t="shared" si="18"/>
        <v>1241.4799557430024</v>
      </c>
      <c r="U81" s="4">
        <v>21.02</v>
      </c>
      <c r="V81" s="4">
        <v>0.86</v>
      </c>
      <c r="W81" s="4">
        <v>-6.9989999999999997E-2</v>
      </c>
      <c r="Y81" s="4" t="s">
        <v>454</v>
      </c>
      <c r="Z81" s="4" t="s">
        <v>455</v>
      </c>
      <c r="AA81" s="4" t="s">
        <v>456</v>
      </c>
      <c r="AB81" s="4" t="s">
        <v>457</v>
      </c>
      <c r="AC81" s="4" t="s">
        <v>458</v>
      </c>
    </row>
    <row r="82" spans="1:33" x14ac:dyDescent="0.25">
      <c r="A82" s="4" t="s">
        <v>37</v>
      </c>
      <c r="B82" s="4" t="s">
        <v>38</v>
      </c>
      <c r="C82" s="4">
        <v>1</v>
      </c>
      <c r="D82" s="4">
        <v>9</v>
      </c>
      <c r="E82" s="4">
        <f t="shared" si="13"/>
        <v>9</v>
      </c>
      <c r="F82" s="4">
        <v>1513105530</v>
      </c>
      <c r="G82" s="4">
        <v>4009729654</v>
      </c>
      <c r="H82" s="4">
        <v>629603211</v>
      </c>
      <c r="I82" s="4">
        <v>629603.21100000001</v>
      </c>
      <c r="J82" s="4">
        <v>629.60321099999999</v>
      </c>
      <c r="K82" s="4">
        <v>1388035.831</v>
      </c>
      <c r="L82" s="2">
        <v>6.0000000000000001E-3</v>
      </c>
      <c r="M82" s="4">
        <v>3</v>
      </c>
      <c r="N82" s="4">
        <v>1465.5893920000001</v>
      </c>
      <c r="O82" s="4">
        <f t="shared" si="14"/>
        <v>118018.26184449303</v>
      </c>
      <c r="P82" s="4">
        <f t="shared" si="15"/>
        <v>816.55922638604397</v>
      </c>
      <c r="Q82" s="4">
        <f t="shared" si="19"/>
        <v>2074.0604350205517</v>
      </c>
      <c r="R82" s="2">
        <f t="shared" si="16"/>
        <v>53532246.75658074</v>
      </c>
      <c r="S82" s="2">
        <f t="shared" si="17"/>
        <v>128652359.42461124</v>
      </c>
      <c r="T82" s="2">
        <f t="shared" si="18"/>
        <v>340928752.47521979</v>
      </c>
      <c r="U82" s="2">
        <f t="shared" ref="U82:U91" si="20">$AD$83*100</f>
        <v>2097.3599999999997</v>
      </c>
      <c r="V82" s="2">
        <v>0.5</v>
      </c>
      <c r="W82" s="2">
        <v>0</v>
      </c>
      <c r="X82" s="4" t="s">
        <v>459</v>
      </c>
      <c r="Y82" s="4">
        <f>(AVERAGE(40,80))*907.185</f>
        <v>54431.1</v>
      </c>
      <c r="Z82" s="4">
        <f>AVERAGE(22000, 36000)</f>
        <v>29000</v>
      </c>
      <c r="AA82" s="4">
        <f>20000*0.45392</f>
        <v>9078.4</v>
      </c>
      <c r="AB82" s="4">
        <f>100000*0.453592</f>
        <v>45359.199999999997</v>
      </c>
      <c r="AC82" s="4">
        <f>330000*0.453592</f>
        <v>149685.35999999999</v>
      </c>
      <c r="AD82" s="4">
        <f t="shared" ref="AD82:AD91" si="21">AVERAGE(Y82:AC82)</f>
        <v>57510.811999999998</v>
      </c>
      <c r="AF82" s="4">
        <f>AD82*0.001</f>
        <v>57.510812000000001</v>
      </c>
      <c r="AG82" s="4">
        <f t="shared" ref="AG82:AG90" si="22">R82*0.000001</f>
        <v>53.53224675658074</v>
      </c>
    </row>
    <row r="83" spans="1:33" x14ac:dyDescent="0.25">
      <c r="A83" s="4" t="s">
        <v>37</v>
      </c>
      <c r="B83" s="4" t="s">
        <v>38</v>
      </c>
      <c r="C83" s="4">
        <v>2</v>
      </c>
      <c r="D83" s="4">
        <v>9</v>
      </c>
      <c r="E83" s="4">
        <f t="shared" si="13"/>
        <v>18</v>
      </c>
      <c r="F83" s="4">
        <v>1762470683</v>
      </c>
      <c r="G83" s="4">
        <v>4670547309</v>
      </c>
      <c r="H83" s="4">
        <v>733364051.20000005</v>
      </c>
      <c r="I83" s="4">
        <v>733364.05119999999</v>
      </c>
      <c r="J83" s="4">
        <v>733.36405119999995</v>
      </c>
      <c r="K83" s="4">
        <v>1616789.0549999999</v>
      </c>
      <c r="L83" s="2">
        <v>6.0000000000000001E-3</v>
      </c>
      <c r="M83" s="4">
        <v>3</v>
      </c>
      <c r="N83" s="4">
        <v>1542.0432000000001</v>
      </c>
      <c r="O83" s="4">
        <f t="shared" si="14"/>
        <v>121995.31086125968</v>
      </c>
      <c r="P83" s="4">
        <f t="shared" si="15"/>
        <v>825.63038000523647</v>
      </c>
      <c r="Q83" s="4">
        <f t="shared" si="19"/>
        <v>2097.1011652133006</v>
      </c>
      <c r="R83" s="2">
        <f t="shared" si="16"/>
        <v>55336207.991064079</v>
      </c>
      <c r="S83" s="2">
        <f t="shared" si="17"/>
        <v>132987762.5356022</v>
      </c>
      <c r="T83" s="2">
        <f t="shared" si="18"/>
        <v>352417570.71934581</v>
      </c>
      <c r="U83" s="2">
        <f t="shared" si="20"/>
        <v>2097.3599999999997</v>
      </c>
      <c r="V83" s="2">
        <v>0.5</v>
      </c>
      <c r="W83" s="2">
        <v>0</v>
      </c>
      <c r="X83" s="4" t="s">
        <v>460</v>
      </c>
      <c r="Y83" s="4">
        <f>(AVERAGE(75, 85))*0.3048</f>
        <v>24.384</v>
      </c>
      <c r="Z83" s="4">
        <v>18</v>
      </c>
      <c r="AA83" s="4">
        <f>35*0.3048</f>
        <v>10.668000000000001</v>
      </c>
      <c r="AB83" s="4">
        <f>60*0.3048</f>
        <v>18.288</v>
      </c>
      <c r="AC83" s="4">
        <f>110*0.3048</f>
        <v>33.527999999999999</v>
      </c>
      <c r="AD83" s="4">
        <f t="shared" si="21"/>
        <v>20.973599999999998</v>
      </c>
      <c r="AG83" s="4">
        <f t="shared" si="22"/>
        <v>55.336207991064079</v>
      </c>
    </row>
    <row r="84" spans="1:33" x14ac:dyDescent="0.25">
      <c r="A84" s="4" t="s">
        <v>37</v>
      </c>
      <c r="B84" s="4" t="s">
        <v>38</v>
      </c>
      <c r="C84" s="4">
        <v>3</v>
      </c>
      <c r="D84" s="4">
        <v>9</v>
      </c>
      <c r="E84" s="4">
        <f t="shared" si="13"/>
        <v>27</v>
      </c>
      <c r="F84" s="4">
        <v>1772157205</v>
      </c>
      <c r="G84" s="4">
        <v>4696216593</v>
      </c>
      <c r="H84" s="4">
        <v>737394613</v>
      </c>
      <c r="I84" s="4">
        <v>737394.61300000001</v>
      </c>
      <c r="J84" s="4">
        <v>737.39461300000005</v>
      </c>
      <c r="K84" s="4">
        <v>1625674.912</v>
      </c>
      <c r="L84" s="2">
        <v>6.0000000000000001E-3</v>
      </c>
      <c r="M84" s="4">
        <v>3</v>
      </c>
      <c r="N84" s="4">
        <v>1544.863059</v>
      </c>
      <c r="O84" s="4">
        <f t="shared" si="14"/>
        <v>122039.9863268476</v>
      </c>
      <c r="P84" s="4">
        <f t="shared" si="15"/>
        <v>825.73115141938979</v>
      </c>
      <c r="Q84" s="4">
        <f t="shared" si="19"/>
        <v>2097.3571246052502</v>
      </c>
      <c r="R84" s="2">
        <f t="shared" si="16"/>
        <v>55356472.465480492</v>
      </c>
      <c r="S84" s="2">
        <f t="shared" si="17"/>
        <v>133036463.50752342</v>
      </c>
      <c r="T84" s="2">
        <f t="shared" si="18"/>
        <v>352546628.29493707</v>
      </c>
      <c r="U84" s="2">
        <f t="shared" si="20"/>
        <v>2097.3599999999997</v>
      </c>
      <c r="V84" s="2">
        <v>0.5</v>
      </c>
      <c r="W84" s="2">
        <v>0</v>
      </c>
      <c r="X84" s="4" t="s">
        <v>461</v>
      </c>
      <c r="Y84" s="4">
        <v>90</v>
      </c>
      <c r="Z84" s="4">
        <v>50</v>
      </c>
      <c r="AA84" s="4">
        <v>50</v>
      </c>
      <c r="AB84" s="4">
        <v>70</v>
      </c>
      <c r="AD84" s="4">
        <f t="shared" si="21"/>
        <v>65</v>
      </c>
      <c r="AG84" s="4">
        <f t="shared" si="22"/>
        <v>55.356472465480486</v>
      </c>
    </row>
    <row r="85" spans="1:33" x14ac:dyDescent="0.25">
      <c r="A85" s="4" t="s">
        <v>37</v>
      </c>
      <c r="B85" s="4" t="s">
        <v>38</v>
      </c>
      <c r="C85" s="4">
        <v>4</v>
      </c>
      <c r="D85" s="4">
        <v>9</v>
      </c>
      <c r="E85" s="4">
        <f t="shared" si="13"/>
        <v>36</v>
      </c>
      <c r="F85" s="4">
        <v>1772515152</v>
      </c>
      <c r="G85" s="4">
        <v>4697165152</v>
      </c>
      <c r="H85" s="4">
        <v>737543554.70000005</v>
      </c>
      <c r="I85" s="4">
        <v>737543.55469999998</v>
      </c>
      <c r="J85" s="4">
        <v>737.54355469999996</v>
      </c>
      <c r="K85" s="4">
        <v>1626003.2720000001</v>
      </c>
      <c r="L85" s="2">
        <v>6.0000000000000001E-3</v>
      </c>
      <c r="M85" s="4">
        <v>3</v>
      </c>
      <c r="N85" s="4">
        <v>1544.9670639999999</v>
      </c>
      <c r="O85" s="4">
        <f t="shared" si="14"/>
        <v>122040.48268768592</v>
      </c>
      <c r="P85" s="4">
        <f t="shared" si="15"/>
        <v>825.73227088868077</v>
      </c>
      <c r="Q85" s="4">
        <f t="shared" si="19"/>
        <v>2097.3599680572493</v>
      </c>
      <c r="R85" s="2">
        <f t="shared" si="16"/>
        <v>55356697.611237273</v>
      </c>
      <c r="S85" s="2">
        <f t="shared" si="17"/>
        <v>133037004.59321623</v>
      </c>
      <c r="T85" s="2">
        <f t="shared" si="18"/>
        <v>352548062.172023</v>
      </c>
      <c r="U85" s="2">
        <f t="shared" si="20"/>
        <v>2097.3599999999997</v>
      </c>
      <c r="V85" s="2">
        <v>0.5</v>
      </c>
      <c r="W85" s="2">
        <v>0</v>
      </c>
      <c r="X85" s="4" t="s">
        <v>462</v>
      </c>
      <c r="Y85" s="4">
        <f>(AVERAGE(4000,6000))*0.453592</f>
        <v>2267.96</v>
      </c>
      <c r="Z85" s="4">
        <v>900</v>
      </c>
      <c r="AA85" s="4">
        <f>(AVERAGE(700, 1000))*0.453592</f>
        <v>385.5532</v>
      </c>
      <c r="AB85" s="4">
        <f>1500*0.453592</f>
        <v>680.38800000000003</v>
      </c>
      <c r="AD85" s="4">
        <f t="shared" si="21"/>
        <v>1058.4753000000001</v>
      </c>
      <c r="AG85" s="4">
        <f t="shared" si="22"/>
        <v>55.356697611237273</v>
      </c>
    </row>
    <row r="86" spans="1:33" x14ac:dyDescent="0.25">
      <c r="A86" s="4" t="s">
        <v>37</v>
      </c>
      <c r="B86" s="4" t="s">
        <v>38</v>
      </c>
      <c r="C86" s="4">
        <v>5</v>
      </c>
      <c r="D86" s="4">
        <v>9</v>
      </c>
      <c r="E86" s="4">
        <f t="shared" si="13"/>
        <v>45</v>
      </c>
      <c r="F86" s="4">
        <v>1772528355</v>
      </c>
      <c r="G86" s="4">
        <v>4697200141</v>
      </c>
      <c r="H86" s="4">
        <v>737549048.5</v>
      </c>
      <c r="I86" s="4">
        <v>737549.04850000003</v>
      </c>
      <c r="J86" s="4">
        <v>737.54904850000003</v>
      </c>
      <c r="K86" s="4">
        <v>1626015.3829999999</v>
      </c>
      <c r="L86" s="2">
        <v>6.0000000000000001E-3</v>
      </c>
      <c r="M86" s="4">
        <v>3</v>
      </c>
      <c r="N86" s="4">
        <v>1544.9709</v>
      </c>
      <c r="O86" s="4">
        <f t="shared" si="14"/>
        <v>122040.4882017644</v>
      </c>
      <c r="P86" s="4">
        <f t="shared" si="15"/>
        <v>825.73228332486144</v>
      </c>
      <c r="Q86" s="4">
        <f t="shared" si="19"/>
        <v>2097.359999645148</v>
      </c>
      <c r="R86" s="2">
        <f t="shared" si="16"/>
        <v>55356700.11238417</v>
      </c>
      <c r="S86" s="2">
        <f t="shared" si="17"/>
        <v>133037010.60414363</v>
      </c>
      <c r="T86" s="2">
        <f t="shared" si="18"/>
        <v>352548078.10098064</v>
      </c>
      <c r="U86" s="2">
        <f t="shared" si="20"/>
        <v>2097.3599999999997</v>
      </c>
      <c r="V86" s="2">
        <v>0.5</v>
      </c>
      <c r="W86" s="2">
        <v>0</v>
      </c>
      <c r="X86" s="4" t="s">
        <v>463</v>
      </c>
      <c r="Y86" s="4">
        <f>18*0.3048</f>
        <v>5.4864000000000006</v>
      </c>
      <c r="Z86" s="4">
        <v>4.5</v>
      </c>
      <c r="AA86" s="4">
        <f>(AVERAGE(8, 11.5))*0.3048</f>
        <v>2.9718</v>
      </c>
      <c r="AB86" s="4">
        <f>15*0.3048</f>
        <v>4.5720000000000001</v>
      </c>
      <c r="AD86" s="4">
        <f t="shared" si="21"/>
        <v>4.3825500000000002</v>
      </c>
      <c r="AG86" s="4">
        <f t="shared" si="22"/>
        <v>55.356700112384168</v>
      </c>
    </row>
    <row r="87" spans="1:33" x14ac:dyDescent="0.25">
      <c r="A87" s="4" t="s">
        <v>37</v>
      </c>
      <c r="B87" s="4" t="s">
        <v>38</v>
      </c>
      <c r="C87" s="4">
        <v>6</v>
      </c>
      <c r="D87" s="4">
        <v>9</v>
      </c>
      <c r="E87" s="4">
        <f t="shared" si="13"/>
        <v>54</v>
      </c>
      <c r="F87" s="4">
        <v>1772528841</v>
      </c>
      <c r="G87" s="4">
        <v>4697201430</v>
      </c>
      <c r="H87" s="4">
        <v>737549250.70000005</v>
      </c>
      <c r="I87" s="4">
        <v>737549.25069999998</v>
      </c>
      <c r="J87" s="4">
        <v>737.54925070000002</v>
      </c>
      <c r="K87" s="4">
        <v>1626015.8289999999</v>
      </c>
      <c r="L87" s="2">
        <v>6.0000000000000001E-3</v>
      </c>
      <c r="M87" s="4">
        <v>3</v>
      </c>
      <c r="N87" s="4">
        <v>1544.971041</v>
      </c>
      <c r="O87" s="4">
        <f t="shared" si="14"/>
        <v>122040.48826302018</v>
      </c>
      <c r="P87" s="4">
        <f t="shared" si="15"/>
        <v>825.73228346301471</v>
      </c>
      <c r="Q87" s="4">
        <f t="shared" si="19"/>
        <v>2097.3599999960575</v>
      </c>
      <c r="R87" s="2">
        <f t="shared" si="16"/>
        <v>55356700.14016936</v>
      </c>
      <c r="S87" s="2">
        <f t="shared" si="17"/>
        <v>133037010.67091891</v>
      </c>
      <c r="T87" s="2">
        <f t="shared" si="18"/>
        <v>352548078.27793509</v>
      </c>
      <c r="U87" s="2">
        <f t="shared" si="20"/>
        <v>2097.3599999999997</v>
      </c>
      <c r="V87" s="2">
        <v>0.5</v>
      </c>
      <c r="W87" s="2">
        <v>0</v>
      </c>
      <c r="X87" s="4" t="s">
        <v>464</v>
      </c>
      <c r="Y87" s="4">
        <f>4000*0.453592</f>
        <v>1814.3679999999999</v>
      </c>
      <c r="Z87" s="4">
        <v>1360</v>
      </c>
      <c r="AB87" s="4">
        <f>2000*0.453592</f>
        <v>907.18399999999997</v>
      </c>
      <c r="AD87" s="4">
        <f t="shared" si="21"/>
        <v>1360.5173333333332</v>
      </c>
      <c r="AG87" s="4">
        <f t="shared" si="22"/>
        <v>55.356700140169359</v>
      </c>
    </row>
    <row r="88" spans="1:33" x14ac:dyDescent="0.25">
      <c r="A88" s="4" t="s">
        <v>37</v>
      </c>
      <c r="B88" s="4" t="s">
        <v>38</v>
      </c>
      <c r="C88" s="4">
        <v>7</v>
      </c>
      <c r="D88" s="4">
        <v>9</v>
      </c>
      <c r="E88" s="4">
        <f t="shared" si="13"/>
        <v>63</v>
      </c>
      <c r="F88" s="4">
        <v>1772528859</v>
      </c>
      <c r="G88" s="4">
        <v>4697201478</v>
      </c>
      <c r="H88" s="4">
        <v>737549258.20000005</v>
      </c>
      <c r="I88" s="4">
        <v>737549.25820000004</v>
      </c>
      <c r="J88" s="4">
        <v>737.54925820000005</v>
      </c>
      <c r="K88" s="4">
        <v>1626015.8459999999</v>
      </c>
      <c r="L88" s="2">
        <v>6.0000000000000001E-3</v>
      </c>
      <c r="M88" s="4">
        <v>3</v>
      </c>
      <c r="N88" s="4">
        <v>1544.971047</v>
      </c>
      <c r="O88" s="4">
        <f t="shared" si="14"/>
        <v>122040.48826370071</v>
      </c>
      <c r="P88" s="4">
        <f t="shared" si="15"/>
        <v>825.7322834645496</v>
      </c>
      <c r="Q88" s="4">
        <f t="shared" si="19"/>
        <v>2097.359999999956</v>
      </c>
      <c r="R88" s="2">
        <f t="shared" si="16"/>
        <v>55356700.140478045</v>
      </c>
      <c r="S88" s="2">
        <f t="shared" si="17"/>
        <v>133037010.67166077</v>
      </c>
      <c r="T88" s="2">
        <f t="shared" si="18"/>
        <v>352548078.27990103</v>
      </c>
      <c r="U88" s="2">
        <f t="shared" si="20"/>
        <v>2097.3599999999997</v>
      </c>
      <c r="V88" s="2">
        <v>0.5</v>
      </c>
      <c r="W88" s="2">
        <v>0</v>
      </c>
      <c r="X88" s="4" t="s">
        <v>434</v>
      </c>
      <c r="Y88" s="7" t="s">
        <v>465</v>
      </c>
      <c r="Z88" s="7" t="s">
        <v>466</v>
      </c>
      <c r="AA88" s="7" t="s">
        <v>467</v>
      </c>
      <c r="AB88" s="7" t="s">
        <v>468</v>
      </c>
      <c r="AD88" s="4" t="e">
        <f t="shared" si="21"/>
        <v>#DIV/0!</v>
      </c>
      <c r="AG88" s="4">
        <f t="shared" si="22"/>
        <v>55.35670014047804</v>
      </c>
    </row>
    <row r="89" spans="1:33" x14ac:dyDescent="0.25">
      <c r="A89" s="4" t="s">
        <v>37</v>
      </c>
      <c r="B89" s="4" t="s">
        <v>38</v>
      </c>
      <c r="C89" s="4">
        <v>8</v>
      </c>
      <c r="D89" s="4">
        <v>9</v>
      </c>
      <c r="E89" s="4">
        <f t="shared" si="13"/>
        <v>72</v>
      </c>
      <c r="F89" s="4">
        <v>1772528860</v>
      </c>
      <c r="G89" s="4">
        <v>4697201480</v>
      </c>
      <c r="H89" s="4">
        <v>737549258.60000002</v>
      </c>
      <c r="I89" s="4">
        <v>737549.25859999994</v>
      </c>
      <c r="J89" s="4">
        <v>737.54925860000003</v>
      </c>
      <c r="K89" s="4">
        <v>1626015.8470000001</v>
      </c>
      <c r="L89" s="2">
        <v>6.0000000000000001E-3</v>
      </c>
      <c r="M89" s="4">
        <v>3</v>
      </c>
      <c r="N89" s="4">
        <v>1544.971047</v>
      </c>
      <c r="O89" s="4">
        <f t="shared" si="14"/>
        <v>122040.48826370828</v>
      </c>
      <c r="P89" s="4">
        <f t="shared" si="15"/>
        <v>825.73228346456665</v>
      </c>
      <c r="Q89" s="4">
        <f t="shared" si="19"/>
        <v>2097.3599999999992</v>
      </c>
      <c r="R89" s="2">
        <f t="shared" si="16"/>
        <v>55356700.140481479</v>
      </c>
      <c r="S89" s="2">
        <f t="shared" si="17"/>
        <v>133037010.67166904</v>
      </c>
      <c r="T89" s="2">
        <f t="shared" si="18"/>
        <v>352548078.27992296</v>
      </c>
      <c r="U89" s="2">
        <f t="shared" si="20"/>
        <v>2097.3599999999997</v>
      </c>
      <c r="V89" s="2">
        <v>0.5</v>
      </c>
      <c r="W89" s="2">
        <v>0</v>
      </c>
      <c r="X89" s="4" t="s">
        <v>469</v>
      </c>
      <c r="Y89" s="4">
        <v>12</v>
      </c>
      <c r="Z89" s="4">
        <v>11</v>
      </c>
      <c r="AA89" s="4">
        <v>10</v>
      </c>
      <c r="AB89" s="4">
        <v>12</v>
      </c>
      <c r="AD89" s="4">
        <f t="shared" si="21"/>
        <v>11.25</v>
      </c>
      <c r="AG89" s="4">
        <f t="shared" si="22"/>
        <v>55.356700140481479</v>
      </c>
    </row>
    <row r="90" spans="1:33" x14ac:dyDescent="0.25">
      <c r="A90" s="4" t="s">
        <v>37</v>
      </c>
      <c r="B90" s="4" t="s">
        <v>38</v>
      </c>
      <c r="C90" s="4">
        <v>9</v>
      </c>
      <c r="D90" s="4">
        <v>9</v>
      </c>
      <c r="E90" s="4">
        <f t="shared" si="13"/>
        <v>81</v>
      </c>
      <c r="F90" s="4">
        <v>1772528862</v>
      </c>
      <c r="G90" s="4">
        <v>4697201484</v>
      </c>
      <c r="H90" s="4">
        <v>737549259.5</v>
      </c>
      <c r="I90" s="4">
        <v>737549.25950000004</v>
      </c>
      <c r="J90" s="4">
        <v>737.54925949999995</v>
      </c>
      <c r="K90" s="4">
        <v>1626015.848</v>
      </c>
      <c r="L90" s="2">
        <v>6.0000000000000001E-3</v>
      </c>
      <c r="M90" s="4">
        <v>3</v>
      </c>
      <c r="N90" s="4">
        <v>1544.971047</v>
      </c>
      <c r="O90" s="4">
        <f t="shared" si="14"/>
        <v>122040.48826370835</v>
      </c>
      <c r="P90" s="4">
        <f t="shared" si="15"/>
        <v>825.73228346456676</v>
      </c>
      <c r="Q90" s="4">
        <f t="shared" si="19"/>
        <v>2097.3599999999997</v>
      </c>
      <c r="R90" s="2">
        <f t="shared" si="16"/>
        <v>55356700.140481509</v>
      </c>
      <c r="S90" s="2">
        <f t="shared" si="17"/>
        <v>133037010.6716691</v>
      </c>
      <c r="T90" s="2">
        <f t="shared" si="18"/>
        <v>352548078.27992308</v>
      </c>
      <c r="U90" s="2">
        <f t="shared" si="20"/>
        <v>2097.3599999999997</v>
      </c>
      <c r="V90" s="2">
        <v>0.5</v>
      </c>
      <c r="W90" s="2">
        <v>0</v>
      </c>
      <c r="X90" s="4" t="s">
        <v>470</v>
      </c>
      <c r="Y90" s="4">
        <v>10</v>
      </c>
      <c r="Z90" s="4">
        <v>8</v>
      </c>
      <c r="AA90" s="4">
        <v>6</v>
      </c>
      <c r="AB90" s="4">
        <v>8</v>
      </c>
      <c r="AD90" s="4">
        <f t="shared" si="21"/>
        <v>8</v>
      </c>
      <c r="AG90" s="4">
        <f t="shared" si="22"/>
        <v>55.356700140481507</v>
      </c>
    </row>
    <row r="91" spans="1:33" x14ac:dyDescent="0.25">
      <c r="A91" s="4" t="s">
        <v>37</v>
      </c>
      <c r="B91" s="4" t="s">
        <v>38</v>
      </c>
      <c r="C91" s="4">
        <v>10</v>
      </c>
      <c r="D91" s="4">
        <v>9</v>
      </c>
      <c r="E91" s="4">
        <f t="shared" si="13"/>
        <v>90</v>
      </c>
      <c r="F91" s="4">
        <v>1772528862</v>
      </c>
      <c r="G91" s="4">
        <v>4697201485</v>
      </c>
      <c r="H91" s="4">
        <v>737549259.5</v>
      </c>
      <c r="I91" s="4">
        <v>737549.25950000004</v>
      </c>
      <c r="J91" s="4">
        <v>737.54925949999995</v>
      </c>
      <c r="K91" s="4">
        <v>1626015.848</v>
      </c>
      <c r="L91" s="2">
        <v>6.0000000000000001E-3</v>
      </c>
      <c r="M91" s="4">
        <v>3</v>
      </c>
      <c r="N91" s="4">
        <v>1544.971047</v>
      </c>
      <c r="O91" s="4">
        <f t="shared" si="14"/>
        <v>122040.48826370835</v>
      </c>
      <c r="P91" s="4">
        <f t="shared" si="15"/>
        <v>825.73228346456676</v>
      </c>
      <c r="Q91" s="4">
        <f t="shared" si="19"/>
        <v>2097.3599999999997</v>
      </c>
      <c r="R91" s="2">
        <f t="shared" si="16"/>
        <v>55356700.140481509</v>
      </c>
      <c r="S91" s="2">
        <f t="shared" si="17"/>
        <v>133037010.6716691</v>
      </c>
      <c r="T91" s="2">
        <f t="shared" si="18"/>
        <v>352548078.27992308</v>
      </c>
      <c r="U91" s="2">
        <f t="shared" si="20"/>
        <v>2097.3599999999997</v>
      </c>
      <c r="V91" s="2">
        <v>0.5</v>
      </c>
      <c r="W91" s="2">
        <v>0</v>
      </c>
      <c r="X91" s="4" t="s">
        <v>471</v>
      </c>
      <c r="Z91" s="4">
        <v>1</v>
      </c>
      <c r="AA91" s="4">
        <v>0.5</v>
      </c>
      <c r="AB91" s="4">
        <v>0.5</v>
      </c>
      <c r="AD91" s="4">
        <f t="shared" si="21"/>
        <v>0.66666666666666663</v>
      </c>
    </row>
    <row r="92" spans="1:33" x14ac:dyDescent="0.25">
      <c r="A92" s="4" t="s">
        <v>39</v>
      </c>
      <c r="B92" s="4" t="s">
        <v>40</v>
      </c>
      <c r="C92" s="4">
        <v>1</v>
      </c>
      <c r="D92" s="4">
        <v>2</v>
      </c>
      <c r="E92" s="4">
        <f t="shared" si="13"/>
        <v>2</v>
      </c>
      <c r="F92" s="4">
        <v>309.3006489</v>
      </c>
      <c r="G92" s="4">
        <v>819.64671959999998</v>
      </c>
      <c r="H92" s="4">
        <v>128.69999999999999</v>
      </c>
      <c r="I92" s="4">
        <v>0.12870000000000001</v>
      </c>
      <c r="J92" s="4">
        <v>1.2870000000000001E-4</v>
      </c>
      <c r="K92" s="4">
        <v>0.28373459400000001</v>
      </c>
      <c r="L92" s="4">
        <v>1.2E-2</v>
      </c>
      <c r="M92" s="4">
        <v>3</v>
      </c>
      <c r="N92" s="4">
        <v>22.05290299</v>
      </c>
      <c r="O92" s="4">
        <f t="shared" si="14"/>
        <v>0.584573627345923</v>
      </c>
      <c r="P92" s="4">
        <f t="shared" si="15"/>
        <v>11.0477632758948</v>
      </c>
      <c r="Q92" s="4">
        <f t="shared" si="19"/>
        <v>28.061318720772793</v>
      </c>
      <c r="R92" s="4">
        <f t="shared" si="16"/>
        <v>265.15845240718266</v>
      </c>
      <c r="S92" s="4">
        <f t="shared" si="17"/>
        <v>637.24694161783873</v>
      </c>
      <c r="T92" s="4">
        <f t="shared" si="18"/>
        <v>1688.7043952872725</v>
      </c>
      <c r="U92" s="4">
        <v>150.93</v>
      </c>
      <c r="V92" s="4">
        <v>0.11</v>
      </c>
      <c r="W92" s="4">
        <v>0.13</v>
      </c>
      <c r="Y92" s="4" t="s">
        <v>472</v>
      </c>
    </row>
    <row r="93" spans="1:33" x14ac:dyDescent="0.25">
      <c r="A93" s="4" t="s">
        <v>39</v>
      </c>
      <c r="B93" s="4" t="s">
        <v>40</v>
      </c>
      <c r="C93" s="4">
        <v>2</v>
      </c>
      <c r="D93" s="4">
        <v>2</v>
      </c>
      <c r="E93" s="4">
        <f t="shared" si="13"/>
        <v>4</v>
      </c>
      <c r="F93" s="4">
        <v>3222.0620039999999</v>
      </c>
      <c r="G93" s="4">
        <v>8538.4643109999997</v>
      </c>
      <c r="H93" s="4">
        <v>1340.7</v>
      </c>
      <c r="I93" s="4">
        <v>1.3407</v>
      </c>
      <c r="J93" s="4">
        <v>1.3407E-3</v>
      </c>
      <c r="K93" s="4">
        <v>2.9557340339999998</v>
      </c>
      <c r="L93" s="4">
        <v>1.2E-2</v>
      </c>
      <c r="M93" s="4">
        <v>3</v>
      </c>
      <c r="N93" s="4">
        <v>48.163361209999998</v>
      </c>
      <c r="O93" s="4">
        <f t="shared" si="14"/>
        <v>3.7901550988063568</v>
      </c>
      <c r="P93" s="4">
        <f t="shared" si="15"/>
        <v>20.600619524629806</v>
      </c>
      <c r="Q93" s="4">
        <f t="shared" si="19"/>
        <v>52.325573592559707</v>
      </c>
      <c r="R93" s="4">
        <f t="shared" si="16"/>
        <v>1719.1874784798999</v>
      </c>
      <c r="S93" s="4">
        <f t="shared" si="17"/>
        <v>4131.6690182165348</v>
      </c>
      <c r="T93" s="4">
        <f t="shared" si="18"/>
        <v>10948.922898273817</v>
      </c>
      <c r="U93" s="4">
        <v>150.93</v>
      </c>
      <c r="V93" s="4">
        <v>0.11</v>
      </c>
      <c r="W93" s="4">
        <v>0.13</v>
      </c>
    </row>
    <row r="94" spans="1:33" x14ac:dyDescent="0.25">
      <c r="A94" s="4" t="s">
        <v>39</v>
      </c>
      <c r="B94" s="4" t="s">
        <v>40</v>
      </c>
      <c r="C94" s="4">
        <v>3</v>
      </c>
      <c r="D94" s="4">
        <v>2</v>
      </c>
      <c r="E94" s="4">
        <f t="shared" si="13"/>
        <v>6</v>
      </c>
      <c r="F94" s="4">
        <v>7922.1341039999998</v>
      </c>
      <c r="G94" s="4">
        <v>20993.65538</v>
      </c>
      <c r="H94" s="4">
        <v>3296.400001</v>
      </c>
      <c r="I94" s="4">
        <v>3.2964000009999999</v>
      </c>
      <c r="J94" s="4">
        <v>3.2964000000000001E-3</v>
      </c>
      <c r="K94" s="4">
        <v>7.2673093690000004</v>
      </c>
      <c r="L94" s="4">
        <v>1.2E-2</v>
      </c>
      <c r="M94" s="4">
        <v>3</v>
      </c>
      <c r="N94" s="4">
        <v>65.005916630000002</v>
      </c>
      <c r="O94" s="4">
        <f t="shared" si="14"/>
        <v>9.7916017086089191</v>
      </c>
      <c r="P94" s="4">
        <f t="shared" si="15"/>
        <v>28.266966238472971</v>
      </c>
      <c r="Q94" s="4">
        <f t="shared" si="19"/>
        <v>71.798094245721344</v>
      </c>
      <c r="R94" s="4">
        <f t="shared" si="16"/>
        <v>4441.4011070429005</v>
      </c>
      <c r="S94" s="4">
        <f t="shared" si="17"/>
        <v>10673.879132523194</v>
      </c>
      <c r="T94" s="4">
        <f t="shared" si="18"/>
        <v>28285.779701186464</v>
      </c>
      <c r="U94" s="4">
        <v>150.93</v>
      </c>
      <c r="V94" s="4">
        <v>0.11</v>
      </c>
      <c r="W94" s="4">
        <v>0.13</v>
      </c>
    </row>
    <row r="95" spans="1:33" x14ac:dyDescent="0.25">
      <c r="A95" s="4" t="s">
        <v>39</v>
      </c>
      <c r="B95" s="4" t="s">
        <v>40</v>
      </c>
      <c r="C95" s="4">
        <v>4</v>
      </c>
      <c r="D95" s="4">
        <v>2</v>
      </c>
      <c r="E95" s="4">
        <f t="shared" si="13"/>
        <v>8</v>
      </c>
      <c r="F95" s="4">
        <v>14625.69094</v>
      </c>
      <c r="G95" s="4">
        <v>38758.080979999999</v>
      </c>
      <c r="H95" s="4">
        <v>6085.75</v>
      </c>
      <c r="I95" s="4">
        <v>6.08575</v>
      </c>
      <c r="J95" s="4">
        <v>6.08575E-3</v>
      </c>
      <c r="K95" s="4">
        <v>13.416766170000001</v>
      </c>
      <c r="L95" s="4">
        <v>1.2E-2</v>
      </c>
      <c r="M95" s="4">
        <v>3</v>
      </c>
      <c r="N95" s="4">
        <v>79.746375599999993</v>
      </c>
      <c r="O95" s="4">
        <f t="shared" si="14"/>
        <v>17.677639304648796</v>
      </c>
      <c r="P95" s="4">
        <f t="shared" si="15"/>
        <v>34.419353588029985</v>
      </c>
      <c r="Q95" s="4">
        <f t="shared" si="19"/>
        <v>87.425158113596154</v>
      </c>
      <c r="R95" s="4">
        <f t="shared" si="16"/>
        <v>8018.4518441494665</v>
      </c>
      <c r="S95" s="4">
        <f t="shared" si="17"/>
        <v>19270.492295480573</v>
      </c>
      <c r="T95" s="4">
        <f t="shared" si="18"/>
        <v>51066.804583023521</v>
      </c>
      <c r="U95" s="4">
        <v>150.93</v>
      </c>
      <c r="V95" s="4">
        <v>0.11</v>
      </c>
      <c r="W95" s="4">
        <v>0.13</v>
      </c>
    </row>
    <row r="96" spans="1:33" x14ac:dyDescent="0.25">
      <c r="A96" s="4" t="s">
        <v>39</v>
      </c>
      <c r="B96" s="4" t="s">
        <v>40</v>
      </c>
      <c r="C96" s="4">
        <v>5</v>
      </c>
      <c r="D96" s="4">
        <v>2</v>
      </c>
      <c r="E96" s="4">
        <f t="shared" si="13"/>
        <v>10</v>
      </c>
      <c r="F96" s="4">
        <v>23666.30617</v>
      </c>
      <c r="G96" s="4">
        <v>62715.711360000001</v>
      </c>
      <c r="H96" s="4">
        <v>9847.5499970000001</v>
      </c>
      <c r="I96" s="4">
        <v>9.8475499969999998</v>
      </c>
      <c r="J96" s="4">
        <v>9.8475500000000001E-3</v>
      </c>
      <c r="K96" s="4">
        <v>21.710105680000002</v>
      </c>
      <c r="L96" s="4">
        <v>1.2E-2</v>
      </c>
      <c r="M96" s="4">
        <v>3</v>
      </c>
      <c r="N96" s="4">
        <v>93.622948879999996</v>
      </c>
      <c r="O96" s="4">
        <f t="shared" si="14"/>
        <v>26.428599951476155</v>
      </c>
      <c r="P96" s="4">
        <f t="shared" si="15"/>
        <v>39.356760088396037</v>
      </c>
      <c r="Q96" s="4">
        <f t="shared" si="19"/>
        <v>99.96617062452593</v>
      </c>
      <c r="R96" s="4">
        <f t="shared" si="16"/>
        <v>11987.825544300675</v>
      </c>
      <c r="S96" s="4">
        <f t="shared" si="17"/>
        <v>28809.962855805512</v>
      </c>
      <c r="T96" s="4">
        <f t="shared" si="18"/>
        <v>76346.401567884604</v>
      </c>
      <c r="U96" s="4">
        <v>150.93</v>
      </c>
      <c r="V96" s="4">
        <v>0.11</v>
      </c>
      <c r="W96" s="4">
        <v>0.13</v>
      </c>
    </row>
    <row r="97" spans="1:29" x14ac:dyDescent="0.25">
      <c r="A97" s="4" t="s">
        <v>39</v>
      </c>
      <c r="B97" s="4" t="s">
        <v>40</v>
      </c>
      <c r="C97" s="4">
        <v>6</v>
      </c>
      <c r="D97" s="4">
        <v>2</v>
      </c>
      <c r="E97" s="4">
        <f t="shared" si="13"/>
        <v>12</v>
      </c>
      <c r="F97" s="4">
        <v>39926.70031</v>
      </c>
      <c r="G97" s="4">
        <v>105805.7558</v>
      </c>
      <c r="H97" s="4">
        <v>16613.5</v>
      </c>
      <c r="I97" s="4">
        <v>16.613499999999998</v>
      </c>
      <c r="J97" s="4">
        <v>1.66135E-2</v>
      </c>
      <c r="K97" s="4">
        <v>36.626454369999998</v>
      </c>
      <c r="L97" s="4">
        <v>1.2E-2</v>
      </c>
      <c r="M97" s="4">
        <v>3</v>
      </c>
      <c r="N97" s="4">
        <v>111.4533936</v>
      </c>
      <c r="O97" s="4">
        <f t="shared" si="14"/>
        <v>35.241555115787342</v>
      </c>
      <c r="P97" s="4">
        <f t="shared" si="15"/>
        <v>43.319121618121926</v>
      </c>
      <c r="Q97" s="4">
        <f t="shared" si="19"/>
        <v>110.0305689100297</v>
      </c>
      <c r="R97" s="4">
        <f t="shared" si="16"/>
        <v>15985.319518006434</v>
      </c>
      <c r="S97" s="4">
        <f t="shared" si="17"/>
        <v>38417.013982231285</v>
      </c>
      <c r="T97" s="4">
        <f t="shared" si="18"/>
        <v>101805.0870529129</v>
      </c>
      <c r="U97" s="4">
        <v>150.93</v>
      </c>
      <c r="V97" s="4">
        <v>0.11</v>
      </c>
      <c r="W97" s="4">
        <v>0.13</v>
      </c>
    </row>
    <row r="98" spans="1:29" x14ac:dyDescent="0.25">
      <c r="A98" s="4" t="s">
        <v>39</v>
      </c>
      <c r="B98" s="4" t="s">
        <v>40</v>
      </c>
      <c r="C98" s="4">
        <v>7</v>
      </c>
      <c r="D98" s="4">
        <v>2</v>
      </c>
      <c r="E98" s="4">
        <f t="shared" si="13"/>
        <v>14</v>
      </c>
      <c r="F98" s="4">
        <v>49795.722179999997</v>
      </c>
      <c r="G98" s="4">
        <v>131958.66380000001</v>
      </c>
      <c r="H98" s="4">
        <v>20720</v>
      </c>
      <c r="I98" s="4">
        <v>20.72</v>
      </c>
      <c r="J98" s="4">
        <v>2.0719999999999999E-2</v>
      </c>
      <c r="K98" s="4">
        <v>45.6797264</v>
      </c>
      <c r="L98" s="4">
        <v>1.2E-2</v>
      </c>
      <c r="M98" s="4">
        <v>3</v>
      </c>
      <c r="N98" s="4">
        <v>119.9691279</v>
      </c>
      <c r="O98" s="4">
        <f t="shared" si="14"/>
        <v>43.585971696550949</v>
      </c>
      <c r="P98" s="4">
        <f t="shared" si="15"/>
        <v>46.498991230050322</v>
      </c>
      <c r="Q98" s="4">
        <f t="shared" si="19"/>
        <v>118.10743772432782</v>
      </c>
      <c r="R98" s="4">
        <f t="shared" si="16"/>
        <v>19770.28771241799</v>
      </c>
      <c r="S98" s="4">
        <f t="shared" si="17"/>
        <v>47513.308609512111</v>
      </c>
      <c r="T98" s="4">
        <f t="shared" si="18"/>
        <v>125910.26781520709</v>
      </c>
      <c r="U98" s="4">
        <v>150.93</v>
      </c>
      <c r="V98" s="4">
        <v>0.11</v>
      </c>
      <c r="W98" s="4">
        <v>0.13</v>
      </c>
    </row>
    <row r="99" spans="1:29" x14ac:dyDescent="0.25">
      <c r="A99" s="4" t="s">
        <v>39</v>
      </c>
      <c r="B99" s="4" t="s">
        <v>40</v>
      </c>
      <c r="C99" s="4">
        <v>8</v>
      </c>
      <c r="D99" s="4">
        <v>2</v>
      </c>
      <c r="E99" s="4">
        <f t="shared" si="13"/>
        <v>16</v>
      </c>
      <c r="F99" s="4">
        <v>52871.905789999997</v>
      </c>
      <c r="G99" s="4">
        <v>140110.5503</v>
      </c>
      <c r="H99" s="4">
        <v>22000</v>
      </c>
      <c r="I99" s="4">
        <v>22</v>
      </c>
      <c r="J99" s="4">
        <v>2.1999999999999999E-2</v>
      </c>
      <c r="K99" s="4">
        <v>48.501640000000002</v>
      </c>
      <c r="L99" s="4">
        <v>1.2E-2</v>
      </c>
      <c r="M99" s="4">
        <v>3</v>
      </c>
      <c r="N99" s="4">
        <v>122.39034100000001</v>
      </c>
      <c r="O99" s="4">
        <f t="shared" si="14"/>
        <v>51.163115634360331</v>
      </c>
      <c r="P99" s="4">
        <f t="shared" si="15"/>
        <v>49.050896368692506</v>
      </c>
      <c r="Q99" s="4">
        <f t="shared" si="19"/>
        <v>124.58927677647897</v>
      </c>
      <c r="R99" s="4">
        <f t="shared" si="16"/>
        <v>23207.226476381566</v>
      </c>
      <c r="S99" s="4">
        <f t="shared" si="17"/>
        <v>55773.195088636297</v>
      </c>
      <c r="T99" s="4">
        <f t="shared" si="18"/>
        <v>147798.96698488618</v>
      </c>
      <c r="U99" s="4">
        <v>150.93</v>
      </c>
      <c r="V99" s="4">
        <v>0.11</v>
      </c>
      <c r="W99" s="4">
        <v>0.13</v>
      </c>
    </row>
    <row r="100" spans="1:29" x14ac:dyDescent="0.25">
      <c r="A100" s="4" t="s">
        <v>39</v>
      </c>
      <c r="B100" s="4" t="s">
        <v>40</v>
      </c>
      <c r="C100" s="4">
        <v>9</v>
      </c>
      <c r="D100" s="4">
        <v>2</v>
      </c>
      <c r="E100" s="4">
        <f t="shared" si="13"/>
        <v>18</v>
      </c>
      <c r="F100" s="4">
        <v>57678.44268</v>
      </c>
      <c r="G100" s="4">
        <v>152847.8731</v>
      </c>
      <c r="H100" s="4">
        <v>24000</v>
      </c>
      <c r="I100" s="4">
        <v>24</v>
      </c>
      <c r="J100" s="4">
        <v>2.4E-2</v>
      </c>
      <c r="K100" s="4">
        <v>52.910879999999999</v>
      </c>
      <c r="L100" s="4">
        <v>1.2E-2</v>
      </c>
      <c r="M100" s="4">
        <v>3</v>
      </c>
      <c r="N100" s="4">
        <v>125.992105</v>
      </c>
      <c r="O100" s="4">
        <f t="shared" si="14"/>
        <v>57.842821896938077</v>
      </c>
      <c r="P100" s="4">
        <f t="shared" si="15"/>
        <v>51.0988482130699</v>
      </c>
      <c r="Q100" s="4">
        <f t="shared" si="19"/>
        <v>129.79107446119755</v>
      </c>
      <c r="R100" s="4">
        <f t="shared" si="16"/>
        <v>26237.093874199669</v>
      </c>
      <c r="S100" s="4">
        <f t="shared" si="17"/>
        <v>63054.779798605312</v>
      </c>
      <c r="T100" s="4">
        <f t="shared" si="18"/>
        <v>167095.16646630407</v>
      </c>
      <c r="U100" s="4">
        <v>150.93</v>
      </c>
      <c r="V100" s="4">
        <v>0.11</v>
      </c>
      <c r="W100" s="4">
        <v>0.13</v>
      </c>
    </row>
    <row r="101" spans="1:29" x14ac:dyDescent="0.25">
      <c r="A101" s="4" t="s">
        <v>39</v>
      </c>
      <c r="B101" s="4" t="s">
        <v>40</v>
      </c>
      <c r="C101" s="4">
        <v>10</v>
      </c>
      <c r="D101" s="4">
        <v>2</v>
      </c>
      <c r="E101" s="4">
        <f t="shared" si="13"/>
        <v>20</v>
      </c>
      <c r="F101" s="4">
        <v>60081.711130000003</v>
      </c>
      <c r="G101" s="4">
        <v>159216.53450000001</v>
      </c>
      <c r="H101" s="4">
        <v>25000</v>
      </c>
      <c r="I101" s="4">
        <v>25</v>
      </c>
      <c r="J101" s="4">
        <v>2.5000000000000001E-2</v>
      </c>
      <c r="K101" s="4">
        <v>55.115499999999997</v>
      </c>
      <c r="L101" s="4">
        <v>1.2E-2</v>
      </c>
      <c r="M101" s="4">
        <v>3</v>
      </c>
      <c r="N101" s="4">
        <v>127.7182387</v>
      </c>
      <c r="O101" s="4">
        <f t="shared" si="14"/>
        <v>63.60555029705624</v>
      </c>
      <c r="P101" s="4">
        <f t="shared" si="15"/>
        <v>52.742368065504692</v>
      </c>
      <c r="Q101" s="4">
        <f t="shared" si="19"/>
        <v>133.96561488638193</v>
      </c>
      <c r="R101" s="4">
        <f t="shared" si="16"/>
        <v>28851.026615496656</v>
      </c>
      <c r="S101" s="4">
        <f t="shared" si="17"/>
        <v>69336.76187333971</v>
      </c>
      <c r="T101" s="4">
        <f t="shared" si="18"/>
        <v>183742.41896435022</v>
      </c>
      <c r="U101" s="4">
        <v>150.93</v>
      </c>
      <c r="V101" s="4">
        <v>0.11</v>
      </c>
      <c r="W101" s="4">
        <v>0.13</v>
      </c>
    </row>
    <row r="102" spans="1:29" x14ac:dyDescent="0.25">
      <c r="A102" s="4" t="s">
        <v>41</v>
      </c>
      <c r="B102" s="4" t="s">
        <v>42</v>
      </c>
      <c r="C102" s="4">
        <v>1</v>
      </c>
      <c r="D102" s="4">
        <v>4</v>
      </c>
      <c r="E102" s="4">
        <f t="shared" si="13"/>
        <v>4</v>
      </c>
      <c r="F102" s="4">
        <v>343.77932070000003</v>
      </c>
      <c r="G102" s="4">
        <v>911.0151998</v>
      </c>
      <c r="H102" s="4">
        <v>143.0465753</v>
      </c>
      <c r="I102" s="4">
        <v>0.14304657500000001</v>
      </c>
      <c r="J102" s="4">
        <v>1.4304699999999999E-4</v>
      </c>
      <c r="K102" s="4">
        <v>0.31536334100000002</v>
      </c>
      <c r="L102" s="4">
        <v>1.34E-2</v>
      </c>
      <c r="M102" s="4">
        <v>3.1</v>
      </c>
      <c r="N102" s="4">
        <v>19.928520320000001</v>
      </c>
      <c r="O102" s="4">
        <f t="shared" si="14"/>
        <v>2.0449819515939427</v>
      </c>
      <c r="P102" s="4">
        <f t="shared" si="15"/>
        <v>14.339617063112403</v>
      </c>
      <c r="Q102" s="4">
        <f t="shared" si="19"/>
        <v>36.422627340305503</v>
      </c>
      <c r="R102" s="4">
        <f t="shared" si="16"/>
        <v>927.58931316686903</v>
      </c>
      <c r="S102" s="4">
        <f t="shared" si="17"/>
        <v>2229.246126332298</v>
      </c>
      <c r="T102" s="4">
        <f t="shared" si="18"/>
        <v>5907.5022347805898</v>
      </c>
      <c r="U102" s="4">
        <v>91.5</v>
      </c>
      <c r="V102" s="4">
        <v>0.12690000000000001</v>
      </c>
      <c r="W102" s="4">
        <v>0</v>
      </c>
      <c r="Y102" s="4" t="s">
        <v>473</v>
      </c>
    </row>
    <row r="103" spans="1:29" x14ac:dyDescent="0.25">
      <c r="A103" s="4" t="s">
        <v>41</v>
      </c>
      <c r="B103" s="4" t="s">
        <v>42</v>
      </c>
      <c r="C103" s="4">
        <v>2</v>
      </c>
      <c r="D103" s="4">
        <v>4</v>
      </c>
      <c r="E103" s="4">
        <f t="shared" si="13"/>
        <v>8</v>
      </c>
      <c r="F103" s="4">
        <v>1944.8301750000001</v>
      </c>
      <c r="G103" s="4">
        <v>5153.7999630000004</v>
      </c>
      <c r="H103" s="4">
        <v>809.24383580000006</v>
      </c>
      <c r="I103" s="4">
        <v>0.80924383600000005</v>
      </c>
      <c r="J103" s="4">
        <v>8.0924399999999998E-4</v>
      </c>
      <c r="K103" s="4">
        <v>1.7840751450000001</v>
      </c>
      <c r="L103" s="4">
        <v>1.34E-2</v>
      </c>
      <c r="M103" s="4">
        <v>3.1</v>
      </c>
      <c r="N103" s="4">
        <v>34.853778869999999</v>
      </c>
      <c r="O103" s="4">
        <f t="shared" si="14"/>
        <v>8.8123467943379108</v>
      </c>
      <c r="P103" s="4">
        <f t="shared" si="15"/>
        <v>22.971184634504269</v>
      </c>
      <c r="Q103" s="4">
        <f t="shared" si="19"/>
        <v>58.34680897164084</v>
      </c>
      <c r="R103" s="4">
        <f t="shared" si="16"/>
        <v>3997.2180213995657</v>
      </c>
      <c r="S103" s="4">
        <f t="shared" si="17"/>
        <v>9606.3879389559388</v>
      </c>
      <c r="T103" s="4">
        <f t="shared" si="18"/>
        <v>25456.928038233236</v>
      </c>
      <c r="U103" s="4">
        <v>91.5</v>
      </c>
      <c r="V103" s="4">
        <v>0.12690000000000001</v>
      </c>
      <c r="W103" s="4">
        <v>0</v>
      </c>
    </row>
    <row r="104" spans="1:29" x14ac:dyDescent="0.25">
      <c r="A104" s="4" t="s">
        <v>41</v>
      </c>
      <c r="B104" s="4" t="s">
        <v>42</v>
      </c>
      <c r="C104" s="4">
        <v>3</v>
      </c>
      <c r="D104" s="4">
        <v>4</v>
      </c>
      <c r="E104" s="4">
        <f t="shared" si="13"/>
        <v>12</v>
      </c>
      <c r="F104" s="4">
        <v>4816.6635390000001</v>
      </c>
      <c r="G104" s="4">
        <v>12764.158380000001</v>
      </c>
      <c r="H104" s="4">
        <v>2004.2136989999999</v>
      </c>
      <c r="I104" s="4">
        <v>2.0042136990000001</v>
      </c>
      <c r="J104" s="4">
        <v>2.0042139999999998E-3</v>
      </c>
      <c r="K104" s="4">
        <v>4.4185296039999997</v>
      </c>
      <c r="L104" s="4">
        <v>1.34E-2</v>
      </c>
      <c r="M104" s="4">
        <v>3.1</v>
      </c>
      <c r="N104" s="4">
        <v>46.698504929999999</v>
      </c>
      <c r="O104" s="4">
        <f t="shared" si="14"/>
        <v>16.581052355175359</v>
      </c>
      <c r="P104" s="4">
        <f t="shared" si="15"/>
        <v>28.16685746255764</v>
      </c>
      <c r="Q104" s="4">
        <f t="shared" si="19"/>
        <v>71.543817954896411</v>
      </c>
      <c r="R104" s="4">
        <f t="shared" si="16"/>
        <v>7521.0477792886577</v>
      </c>
      <c r="S104" s="4">
        <f t="shared" si="17"/>
        <v>18075.096801943422</v>
      </c>
      <c r="T104" s="4">
        <f t="shared" si="18"/>
        <v>47899.006525150064</v>
      </c>
      <c r="U104" s="4">
        <v>91.5</v>
      </c>
      <c r="V104" s="4">
        <v>0.12690000000000001</v>
      </c>
      <c r="W104" s="4">
        <v>0</v>
      </c>
    </row>
    <row r="105" spans="1:29" x14ac:dyDescent="0.25">
      <c r="A105" s="4" t="s">
        <v>41</v>
      </c>
      <c r="B105" s="4" t="s">
        <v>42</v>
      </c>
      <c r="C105" s="4">
        <v>4</v>
      </c>
      <c r="D105" s="4">
        <v>4</v>
      </c>
      <c r="E105" s="4">
        <f t="shared" si="13"/>
        <v>16</v>
      </c>
      <c r="F105" s="4">
        <v>8564.4586230000004</v>
      </c>
      <c r="G105" s="4">
        <v>22695.815350000001</v>
      </c>
      <c r="H105" s="4">
        <v>3563.671233</v>
      </c>
      <c r="I105" s="4">
        <v>3.563671233</v>
      </c>
      <c r="J105" s="4">
        <v>3.563671E-3</v>
      </c>
      <c r="K105" s="4">
        <v>7.8565408740000002</v>
      </c>
      <c r="L105" s="4">
        <v>1.34E-2</v>
      </c>
      <c r="M105" s="4">
        <v>3.1</v>
      </c>
      <c r="N105" s="4">
        <v>56.22548003</v>
      </c>
      <c r="O105" s="4">
        <f t="shared" si="14"/>
        <v>22.980883966940183</v>
      </c>
      <c r="P105" s="4">
        <f t="shared" si="15"/>
        <v>31.294332966039004</v>
      </c>
      <c r="Q105" s="4">
        <f t="shared" si="19"/>
        <v>79.487605733739073</v>
      </c>
      <c r="R105" s="4">
        <f t="shared" si="16"/>
        <v>10423.966019967243</v>
      </c>
      <c r="S105" s="4">
        <f t="shared" si="17"/>
        <v>25051.588608428843</v>
      </c>
      <c r="T105" s="4">
        <f t="shared" si="18"/>
        <v>66386.709812336427</v>
      </c>
      <c r="U105" s="4">
        <v>91.5</v>
      </c>
      <c r="V105" s="4">
        <v>0.12690000000000001</v>
      </c>
      <c r="W105" s="4">
        <v>0</v>
      </c>
    </row>
    <row r="106" spans="1:29" x14ac:dyDescent="0.25">
      <c r="A106" s="4" t="s">
        <v>41</v>
      </c>
      <c r="B106" s="4" t="s">
        <v>42</v>
      </c>
      <c r="C106" s="4">
        <v>5</v>
      </c>
      <c r="D106" s="4">
        <v>4</v>
      </c>
      <c r="E106" s="4">
        <f t="shared" si="13"/>
        <v>20</v>
      </c>
      <c r="F106" s="4">
        <v>12752.861699999999</v>
      </c>
      <c r="G106" s="4">
        <v>33795.083509999997</v>
      </c>
      <c r="H106" s="4">
        <v>5306.4657530000004</v>
      </c>
      <c r="I106" s="4">
        <v>5.3064657530000003</v>
      </c>
      <c r="J106" s="4">
        <v>5.3064660000000001E-3</v>
      </c>
      <c r="K106" s="4">
        <v>11.69874053</v>
      </c>
      <c r="L106" s="4">
        <v>1.34E-2</v>
      </c>
      <c r="M106" s="4">
        <v>3.1</v>
      </c>
      <c r="N106" s="4">
        <v>63.930758990000001</v>
      </c>
      <c r="O106" s="4">
        <f t="shared" si="14"/>
        <v>27.543129144945357</v>
      </c>
      <c r="P106" s="4">
        <f t="shared" si="15"/>
        <v>33.176880876304679</v>
      </c>
      <c r="Q106" s="4">
        <f t="shared" si="19"/>
        <v>84.269277425813883</v>
      </c>
      <c r="R106" s="4">
        <f t="shared" si="16"/>
        <v>12493.368083817328</v>
      </c>
      <c r="S106" s="4">
        <f t="shared" si="17"/>
        <v>30024.917288674184</v>
      </c>
      <c r="T106" s="4">
        <f t="shared" si="18"/>
        <v>79566.030814986589</v>
      </c>
      <c r="U106" s="4">
        <v>91.5</v>
      </c>
      <c r="V106" s="4">
        <v>0.12690000000000001</v>
      </c>
      <c r="W106" s="4">
        <v>0</v>
      </c>
    </row>
    <row r="107" spans="1:29" x14ac:dyDescent="0.25">
      <c r="A107" s="4" t="s">
        <v>41</v>
      </c>
      <c r="B107" s="4" t="s">
        <v>42</v>
      </c>
      <c r="C107" s="4">
        <v>6</v>
      </c>
      <c r="D107" s="4">
        <v>4</v>
      </c>
      <c r="E107" s="4">
        <f t="shared" si="13"/>
        <v>24</v>
      </c>
      <c r="F107" s="4">
        <v>17035.09101</v>
      </c>
      <c r="G107" s="4">
        <v>45142.991179999997</v>
      </c>
      <c r="H107" s="4">
        <v>7088.3013689999998</v>
      </c>
      <c r="I107" s="4">
        <v>7.0883013689999999</v>
      </c>
      <c r="J107" s="4">
        <v>7.088301E-3</v>
      </c>
      <c r="K107" s="4">
        <v>15.62701096</v>
      </c>
      <c r="L107" s="4">
        <v>1.34E-2</v>
      </c>
      <c r="M107" s="4">
        <v>3.1</v>
      </c>
      <c r="N107" s="4">
        <v>70.189172310000004</v>
      </c>
      <c r="O107" s="4">
        <f t="shared" si="14"/>
        <v>30.565366073329951</v>
      </c>
      <c r="P107" s="4">
        <f t="shared" si="15"/>
        <v>34.310058939730155</v>
      </c>
      <c r="Q107" s="4">
        <f t="shared" si="19"/>
        <v>87.147549706914589</v>
      </c>
      <c r="R107" s="4">
        <f t="shared" si="16"/>
        <v>13864.233325167126</v>
      </c>
      <c r="S107" s="4">
        <f t="shared" si="17"/>
        <v>33319.474465674422</v>
      </c>
      <c r="T107" s="4">
        <f t="shared" si="18"/>
        <v>88296.60733403721</v>
      </c>
      <c r="U107" s="4">
        <v>91.5</v>
      </c>
      <c r="V107" s="4">
        <v>0.12690000000000001</v>
      </c>
      <c r="W107" s="4">
        <v>0</v>
      </c>
    </row>
    <row r="108" spans="1:29" x14ac:dyDescent="0.25">
      <c r="A108" s="4" t="s">
        <v>41</v>
      </c>
      <c r="B108" s="4" t="s">
        <v>42</v>
      </c>
      <c r="C108" s="4">
        <v>7</v>
      </c>
      <c r="D108" s="4">
        <v>4</v>
      </c>
      <c r="E108" s="4">
        <f t="shared" si="13"/>
        <v>28</v>
      </c>
      <c r="F108" s="4">
        <v>21167.198349999999</v>
      </c>
      <c r="G108" s="4">
        <v>56093.075620000003</v>
      </c>
      <c r="H108" s="4">
        <v>8807.6712329999991</v>
      </c>
      <c r="I108" s="4">
        <v>8.8076712330000007</v>
      </c>
      <c r="J108" s="4">
        <v>8.8076709999999996E-3</v>
      </c>
      <c r="K108" s="4">
        <v>19.417568150000001</v>
      </c>
      <c r="L108" s="4">
        <v>1.34E-2</v>
      </c>
      <c r="M108" s="4">
        <v>3.1</v>
      </c>
      <c r="N108" s="4">
        <v>75.282768129999994</v>
      </c>
      <c r="O108" s="4">
        <f t="shared" si="14"/>
        <v>32.488711412223459</v>
      </c>
      <c r="P108" s="4">
        <f t="shared" si="15"/>
        <v>34.992162442343009</v>
      </c>
      <c r="Q108" s="4">
        <f t="shared" si="19"/>
        <v>88.880092603551248</v>
      </c>
      <c r="R108" s="4">
        <f t="shared" si="16"/>
        <v>14736.649133285309</v>
      </c>
      <c r="S108" s="4">
        <f t="shared" si="17"/>
        <v>35416.123848318457</v>
      </c>
      <c r="T108" s="4">
        <f t="shared" si="18"/>
        <v>93852.728198043915</v>
      </c>
      <c r="U108" s="4">
        <v>91.5</v>
      </c>
      <c r="V108" s="4">
        <v>0.12690000000000001</v>
      </c>
      <c r="W108" s="4">
        <v>0</v>
      </c>
    </row>
    <row r="109" spans="1:29" x14ac:dyDescent="0.25">
      <c r="A109" s="4" t="s">
        <v>41</v>
      </c>
      <c r="B109" s="4" t="s">
        <v>42</v>
      </c>
      <c r="C109" s="4">
        <v>8</v>
      </c>
      <c r="D109" s="4">
        <v>4</v>
      </c>
      <c r="E109" s="4">
        <f t="shared" si="13"/>
        <v>32</v>
      </c>
      <c r="F109" s="4">
        <v>24995.308690000002</v>
      </c>
      <c r="G109" s="4">
        <v>66237.568020000006</v>
      </c>
      <c r="H109" s="4">
        <v>10400.54795</v>
      </c>
      <c r="I109" s="4">
        <v>10.40054795</v>
      </c>
      <c r="J109" s="4">
        <v>1.0400548000000001E-2</v>
      </c>
      <c r="K109" s="4">
        <v>22.92925601</v>
      </c>
      <c r="L109" s="4">
        <v>1.34E-2</v>
      </c>
      <c r="M109" s="4">
        <v>3.1</v>
      </c>
      <c r="N109" s="4">
        <v>79.42995741</v>
      </c>
      <c r="O109" s="4">
        <f t="shared" si="14"/>
        <v>33.685084090738826</v>
      </c>
      <c r="P109" s="4">
        <f t="shared" si="15"/>
        <v>35.402746800877338</v>
      </c>
      <c r="Q109" s="4">
        <f t="shared" si="19"/>
        <v>89.922976874228439</v>
      </c>
      <c r="R109" s="4">
        <f t="shared" si="16"/>
        <v>15279.315297302403</v>
      </c>
      <c r="S109" s="4">
        <f t="shared" si="17"/>
        <v>36720.296316516229</v>
      </c>
      <c r="T109" s="4">
        <f t="shared" si="18"/>
        <v>97308.785238768003</v>
      </c>
      <c r="U109" s="4">
        <v>91.5</v>
      </c>
      <c r="V109" s="4">
        <v>0.12690000000000001</v>
      </c>
      <c r="W109" s="4">
        <v>0</v>
      </c>
    </row>
    <row r="110" spans="1:29" x14ac:dyDescent="0.25">
      <c r="A110" s="4" t="s">
        <v>41</v>
      </c>
      <c r="B110" s="4" t="s">
        <v>42</v>
      </c>
      <c r="C110" s="4">
        <v>9</v>
      </c>
      <c r="D110" s="4">
        <v>4</v>
      </c>
      <c r="E110" s="4">
        <f t="shared" si="13"/>
        <v>36</v>
      </c>
      <c r="F110" s="4">
        <v>28445.111649999999</v>
      </c>
      <c r="G110" s="4">
        <v>75379.545880000005</v>
      </c>
      <c r="H110" s="4">
        <v>11836.01096</v>
      </c>
      <c r="I110" s="4">
        <v>11.836010959999999</v>
      </c>
      <c r="J110" s="4">
        <v>1.1836011E-2</v>
      </c>
      <c r="K110" s="4">
        <v>26.093906480000001</v>
      </c>
      <c r="L110" s="4">
        <v>1.34E-2</v>
      </c>
      <c r="M110" s="4">
        <v>3.1</v>
      </c>
      <c r="N110" s="4">
        <v>82.812701989999994</v>
      </c>
      <c r="O110" s="4">
        <f t="shared" si="14"/>
        <v>34.419423392181123</v>
      </c>
      <c r="P110" s="4">
        <f t="shared" si="15"/>
        <v>35.649893333371722</v>
      </c>
      <c r="Q110" s="4">
        <f t="shared" si="19"/>
        <v>90.550729066764177</v>
      </c>
      <c r="R110" s="4">
        <f t="shared" si="16"/>
        <v>15612.40639755655</v>
      </c>
      <c r="S110" s="4">
        <f t="shared" si="17"/>
        <v>37520.803647095767</v>
      </c>
      <c r="T110" s="4">
        <f t="shared" si="18"/>
        <v>99430.129664803782</v>
      </c>
      <c r="U110" s="4">
        <v>91.5</v>
      </c>
      <c r="V110" s="4">
        <v>0.12690000000000001</v>
      </c>
      <c r="W110" s="4">
        <v>0</v>
      </c>
    </row>
    <row r="111" spans="1:29" x14ac:dyDescent="0.25">
      <c r="A111" s="4" t="s">
        <v>41</v>
      </c>
      <c r="B111" s="4" t="s">
        <v>42</v>
      </c>
      <c r="C111" s="4">
        <v>10</v>
      </c>
      <c r="D111" s="4">
        <v>4</v>
      </c>
      <c r="E111" s="4">
        <f t="shared" si="13"/>
        <v>40</v>
      </c>
      <c r="F111" s="4">
        <v>31491.086510000001</v>
      </c>
      <c r="G111" s="4">
        <v>83451.379249999998</v>
      </c>
      <c r="H111" s="4">
        <v>13103.4411</v>
      </c>
      <c r="I111" s="4">
        <v>13.1034411</v>
      </c>
      <c r="J111" s="4">
        <v>1.3103441E-2</v>
      </c>
      <c r="K111" s="4">
        <v>28.88810831</v>
      </c>
      <c r="L111" s="4">
        <v>1.34E-2</v>
      </c>
      <c r="M111" s="4">
        <v>3.1</v>
      </c>
      <c r="N111" s="4">
        <v>85.575327229999999</v>
      </c>
      <c r="O111" s="4">
        <f t="shared" si="14"/>
        <v>34.866637361856597</v>
      </c>
      <c r="P111" s="4">
        <f t="shared" si="15"/>
        <v>35.798660346177684</v>
      </c>
      <c r="Q111" s="4">
        <f t="shared" si="19"/>
        <v>90.92859727929131</v>
      </c>
      <c r="R111" s="4">
        <f t="shared" si="16"/>
        <v>15815.259483201911</v>
      </c>
      <c r="S111" s="4">
        <f t="shared" si="17"/>
        <v>38008.314066815459</v>
      </c>
      <c r="T111" s="4">
        <f t="shared" si="18"/>
        <v>100722.03227706096</v>
      </c>
      <c r="U111" s="4">
        <v>91.5</v>
      </c>
      <c r="V111" s="4">
        <v>0.12690000000000001</v>
      </c>
      <c r="W111" s="4">
        <v>0</v>
      </c>
    </row>
    <row r="112" spans="1:29" x14ac:dyDescent="0.25">
      <c r="A112" s="4" t="s">
        <v>43</v>
      </c>
      <c r="B112" s="4" t="s">
        <v>44</v>
      </c>
      <c r="C112" s="4">
        <v>1</v>
      </c>
      <c r="D112" s="4">
        <v>2</v>
      </c>
      <c r="E112" s="4">
        <f t="shared" si="13"/>
        <v>2</v>
      </c>
      <c r="F112" s="4">
        <v>127.5414564</v>
      </c>
      <c r="G112" s="4">
        <v>337.98485950000003</v>
      </c>
      <c r="H112" s="4">
        <v>53.070000010000001</v>
      </c>
      <c r="I112" s="4">
        <v>5.3069999999999999E-2</v>
      </c>
      <c r="J112" s="4">
        <v>5.3100000000000003E-5</v>
      </c>
      <c r="K112" s="4">
        <v>0.11699918300000001</v>
      </c>
      <c r="L112" s="4">
        <v>1.44E-2</v>
      </c>
      <c r="M112" s="4">
        <v>3</v>
      </c>
      <c r="N112" s="4">
        <v>15.44645648</v>
      </c>
      <c r="O112" s="4">
        <f t="shared" si="14"/>
        <v>0.71114115274024581</v>
      </c>
      <c r="P112" s="4">
        <f t="shared" si="15"/>
        <v>11.098206692228981</v>
      </c>
      <c r="Q112" s="4">
        <f t="shared" si="19"/>
        <v>28.189444998261614</v>
      </c>
      <c r="R112" s="2">
        <f t="shared" si="16"/>
        <v>322.56858449086275</v>
      </c>
      <c r="S112" s="2">
        <f t="shared" si="17"/>
        <v>775.21890048272712</v>
      </c>
      <c r="T112" s="2">
        <f t="shared" si="18"/>
        <v>2054.3300862792266</v>
      </c>
      <c r="U112" s="2">
        <f t="shared" ref="U112:U121" si="23">$AC$114</f>
        <v>47.633333333333333</v>
      </c>
      <c r="V112" s="2">
        <f t="shared" ref="V112:V121" si="24">$AC$115</f>
        <v>0.44799999999999995</v>
      </c>
      <c r="W112" s="2">
        <v>0</v>
      </c>
      <c r="Y112" s="4" t="s">
        <v>474</v>
      </c>
      <c r="Z112" s="4" t="s">
        <v>475</v>
      </c>
      <c r="AA112" s="4" t="s">
        <v>476</v>
      </c>
      <c r="AC112" s="4" t="s">
        <v>453</v>
      </c>
    </row>
    <row r="113" spans="1:39" x14ac:dyDescent="0.25">
      <c r="A113" s="4" t="s">
        <v>43</v>
      </c>
      <c r="B113" s="4" t="s">
        <v>44</v>
      </c>
      <c r="C113" s="4">
        <v>2</v>
      </c>
      <c r="D113" s="4">
        <v>2</v>
      </c>
      <c r="E113" s="4">
        <f t="shared" si="13"/>
        <v>4</v>
      </c>
      <c r="F113" s="4">
        <v>347.4885845</v>
      </c>
      <c r="G113" s="4">
        <v>920.84474890000001</v>
      </c>
      <c r="H113" s="4">
        <v>144.59</v>
      </c>
      <c r="I113" s="4">
        <v>0.14459</v>
      </c>
      <c r="J113" s="4">
        <v>1.4459E-4</v>
      </c>
      <c r="K113" s="4">
        <v>0.31876600599999999</v>
      </c>
      <c r="L113" s="4">
        <v>1.44E-2</v>
      </c>
      <c r="M113" s="4">
        <v>3</v>
      </c>
      <c r="N113" s="4">
        <v>21.5737308</v>
      </c>
      <c r="O113" s="4">
        <f t="shared" si="14"/>
        <v>1.985857524505982</v>
      </c>
      <c r="P113" s="4">
        <f t="shared" si="15"/>
        <v>15.628485733024908</v>
      </c>
      <c r="Q113" s="4">
        <f t="shared" si="19"/>
        <v>39.696353761883266</v>
      </c>
      <c r="R113" s="2">
        <f t="shared" si="16"/>
        <v>900.77089226532553</v>
      </c>
      <c r="S113" s="2">
        <f t="shared" si="17"/>
        <v>2164.7942616326013</v>
      </c>
      <c r="T113" s="2">
        <f t="shared" si="18"/>
        <v>5736.704793326393</v>
      </c>
      <c r="U113" s="2">
        <f t="shared" si="23"/>
        <v>47.633333333333333</v>
      </c>
      <c r="V113" s="2">
        <f t="shared" si="24"/>
        <v>0.44799999999999995</v>
      </c>
      <c r="W113" s="2">
        <v>0</v>
      </c>
      <c r="X113" s="4" t="s">
        <v>422</v>
      </c>
      <c r="Y113" s="4">
        <v>55</v>
      </c>
      <c r="Z113" s="4">
        <v>170</v>
      </c>
      <c r="AA113" s="4">
        <v>36</v>
      </c>
      <c r="AC113" s="4">
        <f>AVERAGE(Y113:AA113)</f>
        <v>87</v>
      </c>
    </row>
    <row r="114" spans="1:39" x14ac:dyDescent="0.25">
      <c r="A114" s="4" t="s">
        <v>43</v>
      </c>
      <c r="B114" s="4" t="s">
        <v>44</v>
      </c>
      <c r="C114" s="4">
        <v>3</v>
      </c>
      <c r="D114" s="4">
        <v>2</v>
      </c>
      <c r="E114" s="4">
        <f t="shared" si="13"/>
        <v>6</v>
      </c>
      <c r="F114" s="4">
        <v>732.42009129999997</v>
      </c>
      <c r="G114" s="4">
        <v>1940.9132420000001</v>
      </c>
      <c r="H114" s="4">
        <v>304.76</v>
      </c>
      <c r="I114" s="4">
        <v>0.30475999999999998</v>
      </c>
      <c r="J114" s="4">
        <v>3.0476E-4</v>
      </c>
      <c r="K114" s="4">
        <v>0.67187999099999995</v>
      </c>
      <c r="L114" s="4">
        <v>1.44E-2</v>
      </c>
      <c r="M114" s="4">
        <v>3</v>
      </c>
      <c r="N114" s="4">
        <v>27.66082682</v>
      </c>
      <c r="O114" s="4">
        <f t="shared" si="14"/>
        <v>2.777495453994816</v>
      </c>
      <c r="P114" s="4">
        <f t="shared" si="15"/>
        <v>17.477741991862246</v>
      </c>
      <c r="Q114" s="4">
        <f t="shared" si="19"/>
        <v>44.393464659330107</v>
      </c>
      <c r="R114" s="2">
        <f t="shared" si="16"/>
        <v>1259.8522439217716</v>
      </c>
      <c r="S114" s="2">
        <f t="shared" si="17"/>
        <v>3027.7631432871221</v>
      </c>
      <c r="T114" s="2">
        <f t="shared" si="18"/>
        <v>8023.5723297108734</v>
      </c>
      <c r="U114" s="2">
        <f t="shared" si="23"/>
        <v>47.633333333333333</v>
      </c>
      <c r="V114" s="2">
        <f t="shared" si="24"/>
        <v>0.44799999999999995</v>
      </c>
      <c r="W114" s="2">
        <v>0</v>
      </c>
      <c r="X114" s="4" t="s">
        <v>18</v>
      </c>
      <c r="Y114" s="4">
        <v>39</v>
      </c>
      <c r="Z114" s="4">
        <v>79.8</v>
      </c>
      <c r="AA114" s="4">
        <v>24.1</v>
      </c>
      <c r="AC114" s="4">
        <f>AVERAGE(Y114:AA114)</f>
        <v>47.633333333333333</v>
      </c>
    </row>
    <row r="115" spans="1:39" x14ac:dyDescent="0.25">
      <c r="A115" s="4" t="s">
        <v>43</v>
      </c>
      <c r="B115" s="4" t="s">
        <v>44</v>
      </c>
      <c r="C115" s="4">
        <v>4</v>
      </c>
      <c r="D115" s="4">
        <v>2</v>
      </c>
      <c r="E115" s="4">
        <f t="shared" si="13"/>
        <v>8</v>
      </c>
      <c r="F115" s="4">
        <v>1115.2006730000001</v>
      </c>
      <c r="G115" s="4">
        <v>2955.281782</v>
      </c>
      <c r="H115" s="4">
        <v>464.03500000000003</v>
      </c>
      <c r="I115" s="4">
        <v>0.46403499999999998</v>
      </c>
      <c r="J115" s="4">
        <v>4.6403500000000001E-4</v>
      </c>
      <c r="K115" s="4">
        <v>1.023020842</v>
      </c>
      <c r="L115" s="4">
        <v>1.44E-2</v>
      </c>
      <c r="M115" s="4">
        <v>3</v>
      </c>
      <c r="N115" s="4">
        <v>31.822142450000001</v>
      </c>
      <c r="O115" s="4">
        <f t="shared" si="14"/>
        <v>3.1531431748360164</v>
      </c>
      <c r="P115" s="4">
        <f t="shared" si="15"/>
        <v>18.232606908582309</v>
      </c>
      <c r="Q115" s="4">
        <f t="shared" si="19"/>
        <v>46.310821547799065</v>
      </c>
      <c r="R115" s="2">
        <f t="shared" si="16"/>
        <v>1430.2433865409987</v>
      </c>
      <c r="S115" s="2">
        <f t="shared" si="17"/>
        <v>3437.2587996659422</v>
      </c>
      <c r="T115" s="2">
        <f t="shared" si="18"/>
        <v>9108.7358191147468</v>
      </c>
      <c r="U115" s="2">
        <f t="shared" si="23"/>
        <v>47.633333333333333</v>
      </c>
      <c r="V115" s="2">
        <f t="shared" si="24"/>
        <v>0.44799999999999995</v>
      </c>
      <c r="W115" s="2">
        <v>0</v>
      </c>
      <c r="X115" s="4" t="s">
        <v>19</v>
      </c>
      <c r="Y115" s="4">
        <v>0.4</v>
      </c>
      <c r="Z115" s="4">
        <v>0.219</v>
      </c>
      <c r="AA115" s="4">
        <v>0.72499999999999998</v>
      </c>
      <c r="AC115" s="4">
        <f>AVERAGE(Y115:AA115)</f>
        <v>0.44799999999999995</v>
      </c>
    </row>
    <row r="116" spans="1:39" x14ac:dyDescent="0.25">
      <c r="A116" s="4" t="s">
        <v>43</v>
      </c>
      <c r="B116" s="4" t="s">
        <v>44</v>
      </c>
      <c r="C116" s="4">
        <v>5</v>
      </c>
      <c r="D116" s="4">
        <v>2</v>
      </c>
      <c r="E116" s="4">
        <f t="shared" si="13"/>
        <v>10</v>
      </c>
      <c r="F116" s="4">
        <v>1550.4325879999999</v>
      </c>
      <c r="G116" s="4">
        <v>4108.6463590000003</v>
      </c>
      <c r="H116" s="4">
        <v>645.13499990000003</v>
      </c>
      <c r="I116" s="4">
        <v>0.64513500000000001</v>
      </c>
      <c r="J116" s="4">
        <v>6.4513500000000002E-4</v>
      </c>
      <c r="K116" s="4">
        <v>1.422277523</v>
      </c>
      <c r="L116" s="4">
        <v>1.44E-2</v>
      </c>
      <c r="M116" s="4">
        <v>3</v>
      </c>
      <c r="N116" s="4">
        <v>35.51643533</v>
      </c>
      <c r="O116" s="4">
        <f t="shared" si="14"/>
        <v>3.3157267116091043</v>
      </c>
      <c r="P116" s="4">
        <f t="shared" si="15"/>
        <v>18.540742160130975</v>
      </c>
      <c r="Q116" s="4">
        <f t="shared" si="19"/>
        <v>47.093485086732677</v>
      </c>
      <c r="R116" s="2">
        <f t="shared" si="16"/>
        <v>1503.9901260122399</v>
      </c>
      <c r="S116" s="2">
        <f t="shared" si="17"/>
        <v>3614.4920115651048</v>
      </c>
      <c r="T116" s="2">
        <f t="shared" si="18"/>
        <v>9578.4038306475268</v>
      </c>
      <c r="U116" s="2">
        <f t="shared" si="23"/>
        <v>47.633333333333333</v>
      </c>
      <c r="V116" s="2">
        <f t="shared" si="24"/>
        <v>0.44799999999999995</v>
      </c>
      <c r="W116" s="2">
        <v>0</v>
      </c>
      <c r="X116" s="4" t="s">
        <v>477</v>
      </c>
      <c r="AA116" s="4">
        <v>-1.1299999999999999</v>
      </c>
    </row>
    <row r="117" spans="1:39" x14ac:dyDescent="0.25">
      <c r="A117" s="4" t="s">
        <v>43</v>
      </c>
      <c r="B117" s="4" t="s">
        <v>44</v>
      </c>
      <c r="C117" s="4">
        <v>6</v>
      </c>
      <c r="D117" s="4">
        <v>2</v>
      </c>
      <c r="E117" s="4">
        <f t="shared" ref="E117:E180" si="25">C117*D117</f>
        <v>12</v>
      </c>
      <c r="F117" s="4">
        <v>1976.4359529999999</v>
      </c>
      <c r="G117" s="4">
        <v>5237.5552749999997</v>
      </c>
      <c r="H117" s="4">
        <v>822.39499999999998</v>
      </c>
      <c r="I117" s="4">
        <v>0.82239499999999999</v>
      </c>
      <c r="J117" s="4">
        <v>8.2239499999999996E-4</v>
      </c>
      <c r="K117" s="4">
        <v>1.813068465</v>
      </c>
      <c r="L117" s="4">
        <v>1.44E-2</v>
      </c>
      <c r="M117" s="4">
        <v>3</v>
      </c>
      <c r="N117" s="4">
        <v>38.509923540000003</v>
      </c>
      <c r="O117" s="4">
        <f t="shared" si="14"/>
        <v>3.3836673032858817</v>
      </c>
      <c r="P117" s="4">
        <f t="shared" si="15"/>
        <v>18.666522721849898</v>
      </c>
      <c r="Q117" s="4">
        <f t="shared" si="19"/>
        <v>47.412967713498745</v>
      </c>
      <c r="R117" s="2">
        <f t="shared" si="16"/>
        <v>1534.8074966596882</v>
      </c>
      <c r="S117" s="2">
        <f t="shared" si="17"/>
        <v>3688.5544260026159</v>
      </c>
      <c r="T117" s="2">
        <f t="shared" si="18"/>
        <v>9774.6692289069324</v>
      </c>
      <c r="U117" s="2">
        <f t="shared" si="23"/>
        <v>47.633333333333333</v>
      </c>
      <c r="V117" s="2">
        <f t="shared" si="24"/>
        <v>0.44799999999999995</v>
      </c>
      <c r="W117" s="2">
        <v>0</v>
      </c>
      <c r="X117" s="4" t="s">
        <v>423</v>
      </c>
      <c r="Y117" s="4" t="s">
        <v>428</v>
      </c>
      <c r="Z117" s="4" t="s">
        <v>478</v>
      </c>
      <c r="AA117" s="4" t="s">
        <v>479</v>
      </c>
    </row>
    <row r="118" spans="1:39" x14ac:dyDescent="0.25">
      <c r="A118" s="4" t="s">
        <v>43</v>
      </c>
      <c r="B118" s="4" t="s">
        <v>44</v>
      </c>
      <c r="C118" s="4">
        <v>7</v>
      </c>
      <c r="D118" s="4">
        <v>2</v>
      </c>
      <c r="E118" s="4">
        <f t="shared" si="25"/>
        <v>14</v>
      </c>
      <c r="F118" s="4">
        <v>2275.6669069999998</v>
      </c>
      <c r="G118" s="4">
        <v>6030.517304</v>
      </c>
      <c r="H118" s="4">
        <v>946.90499999999997</v>
      </c>
      <c r="I118" s="4">
        <v>0.946905</v>
      </c>
      <c r="J118" s="4">
        <v>9.4690499999999995E-4</v>
      </c>
      <c r="K118" s="4">
        <v>2.0875657009999999</v>
      </c>
      <c r="L118" s="4">
        <v>1.44E-2</v>
      </c>
      <c r="M118" s="4">
        <v>3</v>
      </c>
      <c r="N118" s="4">
        <v>40.362801849999997</v>
      </c>
      <c r="O118" s="4">
        <f t="shared" si="14"/>
        <v>3.4116651846413717</v>
      </c>
      <c r="P118" s="4">
        <f t="shared" si="15"/>
        <v>18.717866245925169</v>
      </c>
      <c r="Q118" s="4">
        <f t="shared" si="19"/>
        <v>47.543380264649933</v>
      </c>
      <c r="R118" s="2">
        <f t="shared" si="16"/>
        <v>1547.5071371217587</v>
      </c>
      <c r="S118" s="2">
        <f t="shared" si="17"/>
        <v>3719.0750711890378</v>
      </c>
      <c r="T118" s="2">
        <f t="shared" si="18"/>
        <v>9855.5489386509489</v>
      </c>
      <c r="U118" s="2">
        <f t="shared" si="23"/>
        <v>47.633333333333333</v>
      </c>
      <c r="V118" s="2">
        <f t="shared" si="24"/>
        <v>0.44799999999999995</v>
      </c>
      <c r="W118" s="2">
        <v>0</v>
      </c>
      <c r="X118" s="4" t="s">
        <v>434</v>
      </c>
      <c r="Y118" s="7" t="s">
        <v>480</v>
      </c>
      <c r="Z118" s="7" t="s">
        <v>481</v>
      </c>
      <c r="AA118" s="7" t="s">
        <v>482</v>
      </c>
    </row>
    <row r="119" spans="1:39" x14ac:dyDescent="0.25">
      <c r="A119" s="4" t="s">
        <v>43</v>
      </c>
      <c r="B119" s="4" t="s">
        <v>44</v>
      </c>
      <c r="C119" s="4">
        <v>8</v>
      </c>
      <c r="D119" s="4">
        <v>2</v>
      </c>
      <c r="E119" s="4">
        <f t="shared" si="25"/>
        <v>16</v>
      </c>
      <c r="F119" s="4">
        <v>2451.3338140000001</v>
      </c>
      <c r="G119" s="4">
        <v>6496.0346079999999</v>
      </c>
      <c r="H119" s="4">
        <v>1020</v>
      </c>
      <c r="I119" s="4">
        <v>1.02</v>
      </c>
      <c r="J119" s="4">
        <v>1.0200000000000001E-3</v>
      </c>
      <c r="K119" s="4">
        <v>2.2487124000000001</v>
      </c>
      <c r="L119" s="4">
        <v>1.44E-2</v>
      </c>
      <c r="M119" s="4">
        <v>3</v>
      </c>
      <c r="N119" s="4">
        <v>41.375751340000001</v>
      </c>
      <c r="O119" s="4">
        <f t="shared" si="14"/>
        <v>3.4231381405788768</v>
      </c>
      <c r="P119" s="4">
        <f t="shared" si="15"/>
        <v>18.738824631135429</v>
      </c>
      <c r="Q119" s="4">
        <f t="shared" si="19"/>
        <v>47.596614563083989</v>
      </c>
      <c r="R119" s="2">
        <f t="shared" si="16"/>
        <v>1552.7111885852785</v>
      </c>
      <c r="S119" s="2">
        <f t="shared" si="17"/>
        <v>3731.5818038579146</v>
      </c>
      <c r="T119" s="2">
        <f t="shared" si="18"/>
        <v>9888.691780223473</v>
      </c>
      <c r="U119" s="2">
        <f t="shared" si="23"/>
        <v>47.633333333333333</v>
      </c>
      <c r="V119" s="2">
        <f t="shared" si="24"/>
        <v>0.44799999999999995</v>
      </c>
      <c r="W119" s="2">
        <v>0</v>
      </c>
    </row>
    <row r="120" spans="1:39" x14ac:dyDescent="0.25">
      <c r="A120" s="4" t="s">
        <v>43</v>
      </c>
      <c r="B120" s="4" t="s">
        <v>44</v>
      </c>
      <c r="C120" s="4">
        <v>9</v>
      </c>
      <c r="D120" s="4">
        <v>2</v>
      </c>
      <c r="E120" s="4">
        <f t="shared" si="25"/>
        <v>18</v>
      </c>
      <c r="F120" s="4">
        <v>2643.5952900000002</v>
      </c>
      <c r="G120" s="4">
        <v>7005.5275179999999</v>
      </c>
      <c r="H120" s="4">
        <v>1100</v>
      </c>
      <c r="I120" s="4">
        <v>1.1000000000000001</v>
      </c>
      <c r="J120" s="4">
        <v>1.1000000000000001E-3</v>
      </c>
      <c r="K120" s="4">
        <v>2.4250820000000002</v>
      </c>
      <c r="L120" s="4">
        <v>1.44E-2</v>
      </c>
      <c r="M120" s="4">
        <v>3</v>
      </c>
      <c r="N120" s="4">
        <v>42.430361419999997</v>
      </c>
      <c r="O120" s="4">
        <f t="shared" si="14"/>
        <v>3.4278287746907621</v>
      </c>
      <c r="P120" s="4">
        <f t="shared" si="15"/>
        <v>18.747379827112582</v>
      </c>
      <c r="Q120" s="4">
        <f t="shared" si="19"/>
        <v>47.618344760865959</v>
      </c>
      <c r="R120" s="2">
        <f t="shared" si="16"/>
        <v>1554.8388269591867</v>
      </c>
      <c r="S120" s="2">
        <f t="shared" si="17"/>
        <v>3736.6950900244819</v>
      </c>
      <c r="T120" s="2">
        <f t="shared" si="18"/>
        <v>9902.241988564876</v>
      </c>
      <c r="U120" s="2">
        <f t="shared" si="23"/>
        <v>47.633333333333333</v>
      </c>
      <c r="V120" s="2">
        <f t="shared" si="24"/>
        <v>0.44799999999999995</v>
      </c>
      <c r="W120" s="2">
        <v>0</v>
      </c>
    </row>
    <row r="121" spans="1:39" x14ac:dyDescent="0.25">
      <c r="A121" s="4" t="s">
        <v>43</v>
      </c>
      <c r="B121" s="4" t="s">
        <v>44</v>
      </c>
      <c r="C121" s="4">
        <v>10</v>
      </c>
      <c r="D121" s="4">
        <v>2</v>
      </c>
      <c r="E121" s="4">
        <f t="shared" si="25"/>
        <v>20</v>
      </c>
      <c r="F121" s="4">
        <v>3076.18361</v>
      </c>
      <c r="G121" s="4">
        <v>8151.8865660000001</v>
      </c>
      <c r="H121" s="4">
        <v>1280</v>
      </c>
      <c r="I121" s="4">
        <v>1.28</v>
      </c>
      <c r="J121" s="4">
        <v>1.2800000000000001E-3</v>
      </c>
      <c r="K121" s="4">
        <v>2.8219135999999998</v>
      </c>
      <c r="L121" s="4">
        <v>1.44E-2</v>
      </c>
      <c r="M121" s="4">
        <v>3</v>
      </c>
      <c r="N121" s="4">
        <v>44.628863340000002</v>
      </c>
      <c r="O121" s="4">
        <f t="shared" si="14"/>
        <v>3.4297447186421808</v>
      </c>
      <c r="P121" s="4">
        <f t="shared" si="15"/>
        <v>18.750872051225898</v>
      </c>
      <c r="Q121" s="4">
        <f t="shared" si="19"/>
        <v>47.62721501011378</v>
      </c>
      <c r="R121" s="2">
        <f t="shared" si="16"/>
        <v>1555.7078855504262</v>
      </c>
      <c r="S121" s="2">
        <f t="shared" si="17"/>
        <v>3738.783671113737</v>
      </c>
      <c r="T121" s="2">
        <f t="shared" si="18"/>
        <v>9907.776728451403</v>
      </c>
      <c r="U121" s="2">
        <f t="shared" si="23"/>
        <v>47.633333333333333</v>
      </c>
      <c r="V121" s="2">
        <f t="shared" si="24"/>
        <v>0.44799999999999995</v>
      </c>
      <c r="W121" s="2">
        <v>0</v>
      </c>
    </row>
    <row r="122" spans="1:39" x14ac:dyDescent="0.25">
      <c r="A122" s="4" t="s">
        <v>45</v>
      </c>
      <c r="B122" s="4" t="s">
        <v>46</v>
      </c>
      <c r="C122" s="4">
        <v>1</v>
      </c>
      <c r="D122" s="4">
        <v>5</v>
      </c>
      <c r="E122" s="4">
        <f t="shared" si="25"/>
        <v>5</v>
      </c>
      <c r="F122" s="4">
        <v>819.66597860000002</v>
      </c>
      <c r="G122" s="4">
        <v>2172.1148429999998</v>
      </c>
      <c r="H122" s="4">
        <v>341.0630137</v>
      </c>
      <c r="I122" s="4">
        <v>0.341063014</v>
      </c>
      <c r="J122" s="4">
        <v>3.4106300000000001E-4</v>
      </c>
      <c r="K122" s="4">
        <v>0.75191434099999999</v>
      </c>
      <c r="L122" s="4">
        <v>3.96E-3</v>
      </c>
      <c r="M122" s="4">
        <v>3.2</v>
      </c>
      <c r="N122" s="4">
        <v>34.852270400000002</v>
      </c>
      <c r="O122" s="4">
        <f t="shared" si="14"/>
        <v>236.49415018863132</v>
      </c>
      <c r="P122" s="4">
        <f t="shared" si="15"/>
        <v>82.777750262180959</v>
      </c>
      <c r="Q122" s="4">
        <f t="shared" si="19"/>
        <v>210.25548566593963</v>
      </c>
      <c r="R122" s="2">
        <f t="shared" si="16"/>
        <v>107272.06964857042</v>
      </c>
      <c r="S122" s="2">
        <f t="shared" si="17"/>
        <v>257803.58002540361</v>
      </c>
      <c r="T122" s="2">
        <f t="shared" si="18"/>
        <v>683179.48706731957</v>
      </c>
      <c r="U122" s="2">
        <f t="shared" ref="U122:U131" si="26">$AM$124</f>
        <v>300.78571428571428</v>
      </c>
      <c r="V122" s="2">
        <f t="shared" ref="V122:V131" si="27">$AM$125</f>
        <v>0.24014285714285719</v>
      </c>
      <c r="W122" s="2">
        <v>0</v>
      </c>
      <c r="Y122" s="4" t="s">
        <v>483</v>
      </c>
      <c r="Z122" s="4" t="s">
        <v>484</v>
      </c>
      <c r="AA122" s="4" t="s">
        <v>485</v>
      </c>
      <c r="AB122" s="4" t="s">
        <v>486</v>
      </c>
      <c r="AC122" s="4" t="s">
        <v>487</v>
      </c>
      <c r="AD122" s="4" t="s">
        <v>488</v>
      </c>
      <c r="AE122" s="4" t="s">
        <v>489</v>
      </c>
      <c r="AF122" s="4" t="s">
        <v>490</v>
      </c>
      <c r="AG122" s="4" t="s">
        <v>491</v>
      </c>
      <c r="AH122" s="4" t="s">
        <v>492</v>
      </c>
      <c r="AI122" s="4" t="s">
        <v>493</v>
      </c>
      <c r="AJ122" s="4" t="s">
        <v>494</v>
      </c>
      <c r="AK122" s="4" t="s">
        <v>495</v>
      </c>
    </row>
    <row r="123" spans="1:39" x14ac:dyDescent="0.25">
      <c r="A123" s="4" t="s">
        <v>45</v>
      </c>
      <c r="B123" s="4" t="s">
        <v>46</v>
      </c>
      <c r="C123" s="4">
        <v>2</v>
      </c>
      <c r="D123" s="4">
        <v>5</v>
      </c>
      <c r="E123" s="4">
        <f t="shared" si="25"/>
        <v>10</v>
      </c>
      <c r="F123" s="4">
        <v>3110.5273029999998</v>
      </c>
      <c r="G123" s="4">
        <v>8242.8973540000006</v>
      </c>
      <c r="H123" s="4">
        <v>1294.2904109999999</v>
      </c>
      <c r="I123" s="4">
        <v>1.294290411</v>
      </c>
      <c r="J123" s="4">
        <v>1.29429E-3</v>
      </c>
      <c r="K123" s="4">
        <v>2.8534185249999999</v>
      </c>
      <c r="L123" s="4">
        <v>3.96E-3</v>
      </c>
      <c r="M123" s="4">
        <v>3.2</v>
      </c>
      <c r="N123" s="4">
        <v>52.872539600000003</v>
      </c>
      <c r="O123" s="4">
        <f t="shared" si="14"/>
        <v>548.89020310746287</v>
      </c>
      <c r="P123" s="4">
        <f t="shared" si="15"/>
        <v>107.69212717553216</v>
      </c>
      <c r="Q123" s="4">
        <f t="shared" si="19"/>
        <v>273.53800302585171</v>
      </c>
      <c r="R123" s="2">
        <f t="shared" si="16"/>
        <v>248972.70418823327</v>
      </c>
      <c r="S123" s="2">
        <f t="shared" si="17"/>
        <v>598348.24366314162</v>
      </c>
      <c r="T123" s="2">
        <f t="shared" si="18"/>
        <v>1585622.8457073253</v>
      </c>
      <c r="U123" s="2">
        <f t="shared" si="26"/>
        <v>300.78571428571428</v>
      </c>
      <c r="V123" s="2">
        <f t="shared" si="27"/>
        <v>0.24014285714285719</v>
      </c>
      <c r="W123" s="2">
        <v>0</v>
      </c>
      <c r="X123" s="4" t="s">
        <v>422</v>
      </c>
      <c r="Y123" s="4">
        <v>70</v>
      </c>
      <c r="Z123" s="4">
        <v>450</v>
      </c>
      <c r="AA123" s="4">
        <v>48</v>
      </c>
      <c r="AB123" s="4">
        <v>152</v>
      </c>
      <c r="AC123" s="4">
        <v>430</v>
      </c>
      <c r="AD123" s="4">
        <v>360</v>
      </c>
      <c r="AE123" s="4">
        <v>340</v>
      </c>
      <c r="AF123" s="4">
        <v>110</v>
      </c>
      <c r="AG123" s="4">
        <v>430</v>
      </c>
      <c r="AH123" s="4">
        <v>573</v>
      </c>
      <c r="AI123" s="4">
        <v>487</v>
      </c>
      <c r="AM123" s="4">
        <f>AVERAGE(Y123:AI123)</f>
        <v>313.63636363636363</v>
      </c>
    </row>
    <row r="124" spans="1:39" x14ac:dyDescent="0.25">
      <c r="A124" s="4" t="s">
        <v>45</v>
      </c>
      <c r="B124" s="4" t="s">
        <v>46</v>
      </c>
      <c r="C124" s="4">
        <v>3</v>
      </c>
      <c r="D124" s="4">
        <v>5</v>
      </c>
      <c r="E124" s="4">
        <f t="shared" si="25"/>
        <v>15</v>
      </c>
      <c r="F124" s="4">
        <v>5086.8830930000004</v>
      </c>
      <c r="G124" s="4">
        <v>13480.2402</v>
      </c>
      <c r="H124" s="4">
        <v>2116.652055</v>
      </c>
      <c r="I124" s="4">
        <v>2.1166520549999999</v>
      </c>
      <c r="J124" s="4">
        <v>2.1166520000000001E-3</v>
      </c>
      <c r="K124" s="4">
        <v>4.6664134529999997</v>
      </c>
      <c r="L124" s="4">
        <v>3.96E-3</v>
      </c>
      <c r="M124" s="4">
        <v>3.2</v>
      </c>
      <c r="N124" s="4">
        <v>61.657472030000001</v>
      </c>
      <c r="O124" s="4">
        <f t="shared" si="14"/>
        <v>680.82295237423421</v>
      </c>
      <c r="P124" s="4">
        <f t="shared" si="15"/>
        <v>115.19083516185107</v>
      </c>
      <c r="Q124" s="4">
        <f t="shared" si="19"/>
        <v>292.5847213111017</v>
      </c>
      <c r="R124" s="2">
        <f t="shared" si="16"/>
        <v>308816.46377799084</v>
      </c>
      <c r="S124" s="2">
        <f t="shared" si="17"/>
        <v>742168.86272047786</v>
      </c>
      <c r="T124" s="2">
        <f t="shared" si="18"/>
        <v>1966747.4862092664</v>
      </c>
      <c r="U124" s="2">
        <f t="shared" si="26"/>
        <v>300.78571428571428</v>
      </c>
      <c r="V124" s="2">
        <f t="shared" si="27"/>
        <v>0.24014285714285719</v>
      </c>
      <c r="W124" s="2">
        <v>0</v>
      </c>
      <c r="X124" s="4" t="s">
        <v>18</v>
      </c>
      <c r="AC124" s="4">
        <v>449</v>
      </c>
      <c r="AD124" s="4">
        <v>285</v>
      </c>
      <c r="AE124" s="4">
        <v>250</v>
      </c>
      <c r="AF124" s="4">
        <v>92.5</v>
      </c>
      <c r="AG124" s="4">
        <v>329</v>
      </c>
      <c r="AH124" s="4">
        <v>416</v>
      </c>
      <c r="AI124" s="4">
        <v>284</v>
      </c>
      <c r="AM124" s="4">
        <f>AVERAGE(Y124:AI124)</f>
        <v>300.78571428571428</v>
      </c>
    </row>
    <row r="125" spans="1:39" x14ac:dyDescent="0.25">
      <c r="A125" s="4" t="s">
        <v>45</v>
      </c>
      <c r="B125" s="4" t="s">
        <v>46</v>
      </c>
      <c r="C125" s="4">
        <v>4</v>
      </c>
      <c r="D125" s="4">
        <v>5</v>
      </c>
      <c r="E125" s="4">
        <f t="shared" si="25"/>
        <v>20</v>
      </c>
      <c r="F125" s="4">
        <v>6322.386939</v>
      </c>
      <c r="G125" s="4">
        <v>16754.325390000002</v>
      </c>
      <c r="H125" s="4">
        <v>2630.7452050000002</v>
      </c>
      <c r="I125" s="4">
        <v>2.6307452050000002</v>
      </c>
      <c r="J125" s="4">
        <v>2.6307449999999999E-3</v>
      </c>
      <c r="K125" s="4">
        <v>5.7997934950000003</v>
      </c>
      <c r="L125" s="4">
        <v>3.96E-3</v>
      </c>
      <c r="M125" s="4">
        <v>3.2</v>
      </c>
      <c r="N125" s="4">
        <v>65.99254474</v>
      </c>
      <c r="O125" s="4">
        <f t="shared" si="14"/>
        <v>724.43652437740218</v>
      </c>
      <c r="P125" s="4">
        <f t="shared" si="15"/>
        <v>117.44778991771933</v>
      </c>
      <c r="Q125" s="4">
        <f t="shared" si="19"/>
        <v>298.31738639100712</v>
      </c>
      <c r="R125" s="2">
        <f t="shared" si="16"/>
        <v>328599.2707937886</v>
      </c>
      <c r="S125" s="2">
        <f t="shared" si="17"/>
        <v>789712.25857675704</v>
      </c>
      <c r="T125" s="2">
        <f t="shared" si="18"/>
        <v>2092737.485228406</v>
      </c>
      <c r="U125" s="2">
        <f t="shared" si="26"/>
        <v>300.78571428571428</v>
      </c>
      <c r="V125" s="2">
        <f t="shared" si="27"/>
        <v>0.24014285714285719</v>
      </c>
      <c r="W125" s="2">
        <v>0</v>
      </c>
      <c r="X125" s="4" t="s">
        <v>19</v>
      </c>
      <c r="AC125" s="4">
        <v>0.14099999999999999</v>
      </c>
      <c r="AD125" s="4">
        <v>0.1</v>
      </c>
      <c r="AE125" s="4">
        <v>0.54</v>
      </c>
      <c r="AF125" s="4">
        <v>0.5</v>
      </c>
      <c r="AG125" s="4">
        <v>0.1</v>
      </c>
      <c r="AH125" s="4">
        <v>0.2</v>
      </c>
      <c r="AI125" s="4">
        <v>0.1</v>
      </c>
      <c r="AM125" s="4">
        <f>AVERAGE(Y125:AI125)</f>
        <v>0.24014285714285719</v>
      </c>
    </row>
    <row r="126" spans="1:39" x14ac:dyDescent="0.25">
      <c r="A126" s="4" t="s">
        <v>45</v>
      </c>
      <c r="B126" s="4" t="s">
        <v>46</v>
      </c>
      <c r="C126" s="4">
        <v>5</v>
      </c>
      <c r="D126" s="4">
        <v>5</v>
      </c>
      <c r="E126" s="4">
        <f t="shared" si="25"/>
        <v>25</v>
      </c>
      <c r="F126" s="4">
        <v>7003.1900919999998</v>
      </c>
      <c r="G126" s="4">
        <v>18558.453740000001</v>
      </c>
      <c r="H126" s="4">
        <v>2914.0273969999998</v>
      </c>
      <c r="I126" s="4">
        <v>2.9140273969999999</v>
      </c>
      <c r="J126" s="4">
        <v>2.914027E-3</v>
      </c>
      <c r="K126" s="4">
        <v>6.4243230809999998</v>
      </c>
      <c r="L126" s="4">
        <v>3.96E-3</v>
      </c>
      <c r="M126" s="4">
        <v>3.2</v>
      </c>
      <c r="N126" s="4">
        <v>68.135667350000006</v>
      </c>
      <c r="O126" s="4">
        <f t="shared" si="14"/>
        <v>737.93004883363142</v>
      </c>
      <c r="P126" s="4">
        <f t="shared" si="15"/>
        <v>118.12708624174343</v>
      </c>
      <c r="Q126" s="4">
        <f t="shared" si="19"/>
        <v>300.04279905402831</v>
      </c>
      <c r="R126" s="2">
        <f t="shared" si="16"/>
        <v>334719.83781043056</v>
      </c>
      <c r="S126" s="2">
        <f t="shared" si="17"/>
        <v>804421.62415388261</v>
      </c>
      <c r="T126" s="2">
        <f t="shared" si="18"/>
        <v>2131717.3040077887</v>
      </c>
      <c r="U126" s="2">
        <f t="shared" si="26"/>
        <v>300.78571428571428</v>
      </c>
      <c r="V126" s="2">
        <f t="shared" si="27"/>
        <v>0.24014285714285719</v>
      </c>
      <c r="W126" s="2">
        <v>0</v>
      </c>
      <c r="X126" s="4" t="s">
        <v>477</v>
      </c>
    </row>
    <row r="127" spans="1:39" x14ac:dyDescent="0.25">
      <c r="A127" s="4" t="s">
        <v>45</v>
      </c>
      <c r="B127" s="4" t="s">
        <v>46</v>
      </c>
      <c r="C127" s="4">
        <v>6</v>
      </c>
      <c r="D127" s="4">
        <v>5</v>
      </c>
      <c r="E127" s="4">
        <f t="shared" si="25"/>
        <v>30</v>
      </c>
      <c r="F127" s="4">
        <v>7359.7297799999997</v>
      </c>
      <c r="G127" s="4">
        <v>19503.283920000002</v>
      </c>
      <c r="H127" s="4">
        <v>3062.3835610000001</v>
      </c>
      <c r="I127" s="4">
        <v>3.0623835609999999</v>
      </c>
      <c r="J127" s="4">
        <v>3.062384E-3</v>
      </c>
      <c r="K127" s="4">
        <v>6.7513920470000004</v>
      </c>
      <c r="L127" s="4">
        <v>3.96E-3</v>
      </c>
      <c r="M127" s="4">
        <v>3.2</v>
      </c>
      <c r="N127" s="4">
        <v>69.201239700000002</v>
      </c>
      <c r="O127" s="4">
        <f t="shared" si="14"/>
        <v>742.02489872792705</v>
      </c>
      <c r="P127" s="4">
        <f t="shared" si="15"/>
        <v>118.33154027195063</v>
      </c>
      <c r="Q127" s="4">
        <f t="shared" si="19"/>
        <v>300.56211229075461</v>
      </c>
      <c r="R127" s="2">
        <f t="shared" si="16"/>
        <v>336577.23268768634</v>
      </c>
      <c r="S127" s="2">
        <f t="shared" si="17"/>
        <v>808885.4426524546</v>
      </c>
      <c r="T127" s="2">
        <f t="shared" si="18"/>
        <v>2143546.4230290046</v>
      </c>
      <c r="U127" s="2">
        <f t="shared" si="26"/>
        <v>300.78571428571428</v>
      </c>
      <c r="V127" s="2">
        <f t="shared" si="27"/>
        <v>0.24014285714285719</v>
      </c>
      <c r="W127" s="2">
        <v>0</v>
      </c>
      <c r="X127" s="4" t="s">
        <v>423</v>
      </c>
      <c r="AD127" s="4" t="s">
        <v>426</v>
      </c>
      <c r="AE127" s="4" t="s">
        <v>496</v>
      </c>
      <c r="AF127" s="4" t="s">
        <v>428</v>
      </c>
      <c r="AG127" s="4" t="s">
        <v>428</v>
      </c>
      <c r="AH127" s="4" t="s">
        <v>428</v>
      </c>
      <c r="AI127" s="4" t="s">
        <v>428</v>
      </c>
    </row>
    <row r="128" spans="1:39" x14ac:dyDescent="0.25">
      <c r="A128" s="4" t="s">
        <v>45</v>
      </c>
      <c r="B128" s="4" t="s">
        <v>46</v>
      </c>
      <c r="C128" s="4">
        <v>7</v>
      </c>
      <c r="D128" s="4">
        <v>5</v>
      </c>
      <c r="E128" s="4">
        <f t="shared" si="25"/>
        <v>35</v>
      </c>
      <c r="F128" s="4">
        <v>7506.0987050000003</v>
      </c>
      <c r="G128" s="4">
        <v>19891.16157</v>
      </c>
      <c r="H128" s="4">
        <v>3123.287671</v>
      </c>
      <c r="I128" s="4">
        <v>3.1232876709999999</v>
      </c>
      <c r="J128" s="4">
        <v>3.1232880000000001E-3</v>
      </c>
      <c r="K128" s="4">
        <v>6.8856624660000003</v>
      </c>
      <c r="L128" s="4">
        <v>3.96E-3</v>
      </c>
      <c r="M128" s="4">
        <v>3.2</v>
      </c>
      <c r="N128" s="4">
        <v>69.62841358</v>
      </c>
      <c r="O128" s="4">
        <f t="shared" si="14"/>
        <v>743.26041491437502</v>
      </c>
      <c r="P128" s="4">
        <f t="shared" si="15"/>
        <v>118.39307667217778</v>
      </c>
      <c r="Q128" s="4">
        <f t="shared" si="19"/>
        <v>300.71841474733156</v>
      </c>
      <c r="R128" s="2">
        <f t="shared" si="16"/>
        <v>337137.65406935208</v>
      </c>
      <c r="S128" s="2">
        <f t="shared" si="17"/>
        <v>810232.28567496291</v>
      </c>
      <c r="T128" s="2">
        <f t="shared" si="18"/>
        <v>2147115.5570386518</v>
      </c>
      <c r="U128" s="2">
        <f t="shared" si="26"/>
        <v>300.78571428571428</v>
      </c>
      <c r="V128" s="2">
        <f t="shared" si="27"/>
        <v>0.24014285714285719</v>
      </c>
      <c r="W128" s="2">
        <v>0</v>
      </c>
      <c r="X128" s="4" t="s">
        <v>434</v>
      </c>
      <c r="Y128" s="7" t="s">
        <v>497</v>
      </c>
      <c r="Z128" s="7" t="s">
        <v>498</v>
      </c>
      <c r="AA128" s="7" t="s">
        <v>499</v>
      </c>
      <c r="AB128" s="7" t="s">
        <v>500</v>
      </c>
      <c r="AC128" s="7" t="s">
        <v>501</v>
      </c>
      <c r="AD128" s="7" t="s">
        <v>502</v>
      </c>
      <c r="AE128" s="7" t="s">
        <v>503</v>
      </c>
      <c r="AF128" s="7" t="s">
        <v>504</v>
      </c>
      <c r="AG128" s="7" t="s">
        <v>505</v>
      </c>
      <c r="AH128" s="7" t="s">
        <v>506</v>
      </c>
      <c r="AI128" s="7" t="s">
        <v>507</v>
      </c>
    </row>
    <row r="129" spans="1:97" x14ac:dyDescent="0.25">
      <c r="A129" s="4" t="s">
        <v>45</v>
      </c>
      <c r="B129" s="4" t="s">
        <v>46</v>
      </c>
      <c r="C129" s="4">
        <v>8</v>
      </c>
      <c r="D129" s="4">
        <v>5</v>
      </c>
      <c r="E129" s="4">
        <f t="shared" si="25"/>
        <v>40</v>
      </c>
      <c r="F129" s="4">
        <v>7633.7023829999998</v>
      </c>
      <c r="G129" s="4">
        <v>20229.311320000001</v>
      </c>
      <c r="H129" s="4">
        <v>3176.383562</v>
      </c>
      <c r="I129" s="4">
        <v>3.1763835619999998</v>
      </c>
      <c r="J129" s="4">
        <v>3.176384E-3</v>
      </c>
      <c r="K129" s="4">
        <v>7.0027187279999996</v>
      </c>
      <c r="L129" s="4">
        <v>3.96E-3</v>
      </c>
      <c r="M129" s="4">
        <v>3.2</v>
      </c>
      <c r="N129" s="4">
        <v>69.99617336</v>
      </c>
      <c r="O129" s="4">
        <f t="shared" si="14"/>
        <v>743.63255624491262</v>
      </c>
      <c r="P129" s="4">
        <f t="shared" si="15"/>
        <v>118.4115978456126</v>
      </c>
      <c r="Q129" s="4">
        <f t="shared" si="19"/>
        <v>300.76545852785603</v>
      </c>
      <c r="R129" s="2">
        <f t="shared" si="16"/>
        <v>337306.45473819191</v>
      </c>
      <c r="S129" s="2">
        <f t="shared" si="17"/>
        <v>810637.95899589499</v>
      </c>
      <c r="T129" s="2">
        <f t="shared" si="18"/>
        <v>2148190.5913391216</v>
      </c>
      <c r="U129" s="2">
        <f t="shared" si="26"/>
        <v>300.78571428571428</v>
      </c>
      <c r="V129" s="2">
        <f t="shared" si="27"/>
        <v>0.24014285714285719</v>
      </c>
      <c r="W129" s="2">
        <v>0</v>
      </c>
    </row>
    <row r="130" spans="1:97" x14ac:dyDescent="0.25">
      <c r="A130" s="4" t="s">
        <v>45</v>
      </c>
      <c r="B130" s="4" t="s">
        <v>46</v>
      </c>
      <c r="C130" s="4">
        <v>9</v>
      </c>
      <c r="D130" s="4">
        <v>5</v>
      </c>
      <c r="E130" s="4">
        <f t="shared" si="25"/>
        <v>45</v>
      </c>
      <c r="F130" s="4">
        <v>7678.7389750000002</v>
      </c>
      <c r="G130" s="4">
        <v>20348.65828</v>
      </c>
      <c r="H130" s="4">
        <v>3195.1232869999999</v>
      </c>
      <c r="I130" s="4">
        <v>3.1951232869999999</v>
      </c>
      <c r="J130" s="4">
        <v>3.1951229999999998E-3</v>
      </c>
      <c r="K130" s="4">
        <v>7.044032702</v>
      </c>
      <c r="L130" s="4">
        <v>3.96E-3</v>
      </c>
      <c r="M130" s="4">
        <v>3.2</v>
      </c>
      <c r="N130" s="4">
        <v>70.124961499999998</v>
      </c>
      <c r="O130" s="4">
        <f t="shared" ref="O130:O193" si="28">R130*0.00220462</f>
        <v>743.74458810105307</v>
      </c>
      <c r="P130" s="4">
        <f t="shared" ref="P130:P193" si="29">Q130/2.54</f>
        <v>118.41717233265014</v>
      </c>
      <c r="Q130" s="4">
        <f t="shared" si="19"/>
        <v>300.77961772493137</v>
      </c>
      <c r="R130" s="2">
        <f t="shared" ref="R130:R193" si="30">L130*(Q130^M130)</f>
        <v>337357.27159376809</v>
      </c>
      <c r="S130" s="2">
        <f t="shared" ref="S130:S193" si="31">R130/20/5.7/3.65*1000</f>
        <v>810760.08554137964</v>
      </c>
      <c r="T130" s="2">
        <f t="shared" ref="T130:T193" si="32">S130*2.65</f>
        <v>2148514.226684656</v>
      </c>
      <c r="U130" s="2">
        <f t="shared" si="26"/>
        <v>300.78571428571428</v>
      </c>
      <c r="V130" s="2">
        <f t="shared" si="27"/>
        <v>0.24014285714285719</v>
      </c>
      <c r="W130" s="2">
        <v>0</v>
      </c>
    </row>
    <row r="131" spans="1:97" x14ac:dyDescent="0.25">
      <c r="A131" s="4" t="s">
        <v>45</v>
      </c>
      <c r="B131" s="4" t="s">
        <v>46</v>
      </c>
      <c r="C131" s="4">
        <v>10</v>
      </c>
      <c r="D131" s="4">
        <v>5</v>
      </c>
      <c r="E131" s="4">
        <f t="shared" si="25"/>
        <v>50</v>
      </c>
      <c r="F131" s="4">
        <v>7701.2572719999998</v>
      </c>
      <c r="G131" s="4">
        <v>20408.331770000001</v>
      </c>
      <c r="H131" s="4">
        <v>3204.4931510000001</v>
      </c>
      <c r="I131" s="4">
        <v>3.2044931509999999</v>
      </c>
      <c r="J131" s="4">
        <v>3.2044930000000001E-3</v>
      </c>
      <c r="K131" s="4">
        <v>7.0646896899999998</v>
      </c>
      <c r="L131" s="4">
        <v>3.96E-3</v>
      </c>
      <c r="M131" s="4">
        <v>3.2</v>
      </c>
      <c r="N131" s="4">
        <v>70.189160900000005</v>
      </c>
      <c r="O131" s="4">
        <f t="shared" si="28"/>
        <v>743.77830962557107</v>
      </c>
      <c r="P131" s="4">
        <f t="shared" si="29"/>
        <v>118.41885013702041</v>
      </c>
      <c r="Q131" s="4">
        <f t="shared" ref="Q131:Q194" si="33">U131*(1-EXP(-V131*(E131-W131)))</f>
        <v>300.78387934803186</v>
      </c>
      <c r="R131" s="2">
        <f t="shared" si="30"/>
        <v>337372.56743818487</v>
      </c>
      <c r="S131" s="2">
        <f t="shared" si="31"/>
        <v>810796.84556160751</v>
      </c>
      <c r="T131" s="2">
        <f t="shared" si="32"/>
        <v>2148611.64073826</v>
      </c>
      <c r="U131" s="2">
        <f t="shared" si="26"/>
        <v>300.78571428571428</v>
      </c>
      <c r="V131" s="2">
        <f t="shared" si="27"/>
        <v>0.24014285714285719</v>
      </c>
      <c r="W131" s="2">
        <v>0</v>
      </c>
      <c r="AE131" s="4" t="s">
        <v>508</v>
      </c>
    </row>
    <row r="132" spans="1:97" x14ac:dyDescent="0.25">
      <c r="A132" s="2" t="s">
        <v>47</v>
      </c>
      <c r="B132" s="4" t="s">
        <v>48</v>
      </c>
      <c r="C132" s="4">
        <v>1</v>
      </c>
      <c r="D132" s="4">
        <v>1</v>
      </c>
      <c r="E132" s="4">
        <f t="shared" si="25"/>
        <v>1</v>
      </c>
      <c r="F132" s="4">
        <v>48.065368900000003</v>
      </c>
      <c r="G132" s="4">
        <v>127.37322760000001</v>
      </c>
      <c r="H132" s="4">
        <f t="shared" ref="H132:H161" si="34">F132*3.65*5.7*20/1000</f>
        <v>19.999999999290001</v>
      </c>
      <c r="I132" s="4">
        <f t="shared" ref="I132:J161" si="35">H132/1000</f>
        <v>1.9999999999290002E-2</v>
      </c>
      <c r="J132" s="4">
        <f t="shared" si="35"/>
        <v>1.9999999999290002E-5</v>
      </c>
      <c r="K132" s="4">
        <f t="shared" ref="K132:K161" si="36">I132*2.20462</f>
        <v>4.4092399998434721E-2</v>
      </c>
      <c r="L132" s="3">
        <v>1.23E-2</v>
      </c>
      <c r="M132" s="3">
        <v>3.2</v>
      </c>
      <c r="N132" s="4">
        <f t="shared" ref="N132:N161" si="37">(H132/L132)^(1/M132)</f>
        <v>10.080371233277278</v>
      </c>
      <c r="O132" s="4">
        <f t="shared" si="28"/>
        <v>0.25186145377015484</v>
      </c>
      <c r="P132" s="4">
        <f t="shared" si="29"/>
        <v>6.8413557525043736</v>
      </c>
      <c r="Q132" s="4">
        <f t="shared" si="33"/>
        <v>17.37704361136111</v>
      </c>
      <c r="R132" s="2">
        <f t="shared" si="30"/>
        <v>114.24256959029441</v>
      </c>
      <c r="S132" s="2">
        <f t="shared" si="31"/>
        <v>274.55556258181787</v>
      </c>
      <c r="T132" s="2">
        <f t="shared" si="32"/>
        <v>727.57224084181735</v>
      </c>
      <c r="U132" s="2">
        <f t="shared" ref="U132:U141" si="38">$AH$134</f>
        <v>39.200000000000003</v>
      </c>
      <c r="V132" s="2">
        <f t="shared" ref="V132:V141" si="39">$AH$135</f>
        <v>0.58571428571428563</v>
      </c>
      <c r="W132" s="2">
        <v>0</v>
      </c>
      <c r="Y132" s="4" t="s">
        <v>509</v>
      </c>
      <c r="Z132" s="4" t="s">
        <v>510</v>
      </c>
      <c r="AA132" s="4" t="s">
        <v>511</v>
      </c>
      <c r="AB132" s="4" t="s">
        <v>512</v>
      </c>
      <c r="AC132" s="4" t="s">
        <v>513</v>
      </c>
      <c r="AD132" s="4" t="s">
        <v>514</v>
      </c>
      <c r="AE132" s="4" t="s">
        <v>515</v>
      </c>
      <c r="AF132" s="4" t="s">
        <v>516</v>
      </c>
      <c r="AH132" s="4" t="s">
        <v>453</v>
      </c>
    </row>
    <row r="133" spans="1:97" x14ac:dyDescent="0.25">
      <c r="A133" s="2" t="s">
        <v>47</v>
      </c>
      <c r="B133" s="4" t="s">
        <v>48</v>
      </c>
      <c r="C133" s="4">
        <v>2</v>
      </c>
      <c r="D133" s="4">
        <v>1</v>
      </c>
      <c r="E133" s="4">
        <f t="shared" si="25"/>
        <v>2</v>
      </c>
      <c r="F133" s="4">
        <v>120.16342229999999</v>
      </c>
      <c r="G133" s="4">
        <v>318.43306899999999</v>
      </c>
      <c r="H133" s="4">
        <f t="shared" si="34"/>
        <v>50.000000019030004</v>
      </c>
      <c r="I133" s="4">
        <f t="shared" si="35"/>
        <v>5.0000000019030003E-2</v>
      </c>
      <c r="J133" s="4">
        <f t="shared" si="35"/>
        <v>5.000000001903E-5</v>
      </c>
      <c r="K133" s="4">
        <f t="shared" si="36"/>
        <v>0.11023100004195391</v>
      </c>
      <c r="L133" s="3">
        <v>1.23E-2</v>
      </c>
      <c r="M133" s="3">
        <v>3.2</v>
      </c>
      <c r="N133" s="4">
        <f t="shared" si="37"/>
        <v>13.422480419127959</v>
      </c>
      <c r="O133" s="4">
        <f t="shared" si="28"/>
        <v>1.0380652970264856</v>
      </c>
      <c r="P133" s="4">
        <f t="shared" si="29"/>
        <v>10.649993717455057</v>
      </c>
      <c r="Q133" s="4">
        <f t="shared" si="33"/>
        <v>27.050984042335848</v>
      </c>
      <c r="R133" s="2">
        <f t="shared" si="30"/>
        <v>470.85905826241515</v>
      </c>
      <c r="S133" s="2">
        <f t="shared" si="31"/>
        <v>1131.6007168046506</v>
      </c>
      <c r="T133" s="2">
        <f t="shared" si="32"/>
        <v>2998.7418995323237</v>
      </c>
      <c r="U133" s="2">
        <f t="shared" si="38"/>
        <v>39.200000000000003</v>
      </c>
      <c r="V133" s="2">
        <f t="shared" si="39"/>
        <v>0.58571428571428563</v>
      </c>
      <c r="W133" s="2">
        <v>0</v>
      </c>
      <c r="X133" s="4" t="s">
        <v>422</v>
      </c>
      <c r="Y133" s="4">
        <v>33</v>
      </c>
      <c r="Z133" s="4">
        <v>40</v>
      </c>
      <c r="AA133" s="4">
        <v>40</v>
      </c>
      <c r="AB133" s="4">
        <v>76</v>
      </c>
      <c r="AC133" s="4">
        <v>57</v>
      </c>
      <c r="AD133" s="4">
        <v>60</v>
      </c>
      <c r="AE133" s="4">
        <v>70</v>
      </c>
      <c r="AF133" s="4">
        <v>35.6</v>
      </c>
      <c r="AH133" s="4">
        <f>AVERAGE(Y133:AF133)</f>
        <v>51.45</v>
      </c>
    </row>
    <row r="134" spans="1:97" x14ac:dyDescent="0.25">
      <c r="A134" s="2" t="s">
        <v>47</v>
      </c>
      <c r="B134" s="4" t="s">
        <v>48</v>
      </c>
      <c r="C134" s="4">
        <v>3</v>
      </c>
      <c r="D134" s="4">
        <v>1</v>
      </c>
      <c r="E134" s="4">
        <f t="shared" si="25"/>
        <v>3</v>
      </c>
      <c r="F134" s="4">
        <v>192.26147560000001</v>
      </c>
      <c r="G134" s="4">
        <v>509.49291040000003</v>
      </c>
      <c r="H134" s="4">
        <f t="shared" si="34"/>
        <v>79.999999997160003</v>
      </c>
      <c r="I134" s="4">
        <f t="shared" si="35"/>
        <v>7.999999999716001E-2</v>
      </c>
      <c r="J134" s="4">
        <f t="shared" si="35"/>
        <v>7.9999999997160007E-5</v>
      </c>
      <c r="K134" s="4">
        <f t="shared" si="36"/>
        <v>0.17636959999373888</v>
      </c>
      <c r="L134" s="3">
        <v>1.23E-2</v>
      </c>
      <c r="M134" s="3">
        <v>3.2</v>
      </c>
      <c r="N134" s="4">
        <f t="shared" si="37"/>
        <v>15.546057640091004</v>
      </c>
      <c r="O134" s="4">
        <f t="shared" si="28"/>
        <v>1.8558784479473054</v>
      </c>
      <c r="P134" s="4">
        <f t="shared" si="29"/>
        <v>12.770293212588555</v>
      </c>
      <c r="Q134" s="4">
        <f t="shared" si="33"/>
        <v>32.436544759974929</v>
      </c>
      <c r="R134" s="2">
        <f t="shared" si="30"/>
        <v>841.81330476331766</v>
      </c>
      <c r="S134" s="2">
        <f t="shared" si="31"/>
        <v>2023.1033519906698</v>
      </c>
      <c r="T134" s="2">
        <f t="shared" si="32"/>
        <v>5361.2238827752744</v>
      </c>
      <c r="U134" s="2">
        <f t="shared" si="38"/>
        <v>39.200000000000003</v>
      </c>
      <c r="V134" s="2">
        <f t="shared" si="39"/>
        <v>0.58571428571428563</v>
      </c>
      <c r="W134" s="2">
        <v>0</v>
      </c>
      <c r="X134" s="4" t="s">
        <v>18</v>
      </c>
      <c r="Y134" s="4">
        <v>25.4</v>
      </c>
      <c r="Z134" s="4">
        <v>19.899999999999999</v>
      </c>
      <c r="AB134" s="4">
        <v>48.8</v>
      </c>
      <c r="AC134" s="4">
        <v>43.7</v>
      </c>
      <c r="AD134" s="4">
        <v>61</v>
      </c>
      <c r="AE134" s="4">
        <v>43.8</v>
      </c>
      <c r="AF134" s="4">
        <v>31.8</v>
      </c>
      <c r="AH134" s="4">
        <f>AVERAGE(Y134:AF134)</f>
        <v>39.200000000000003</v>
      </c>
    </row>
    <row r="135" spans="1:97" x14ac:dyDescent="0.25">
      <c r="A135" s="2" t="s">
        <v>47</v>
      </c>
      <c r="B135" s="4" t="s">
        <v>48</v>
      </c>
      <c r="C135" s="4">
        <v>4</v>
      </c>
      <c r="D135" s="4">
        <v>1</v>
      </c>
      <c r="E135" s="4">
        <f t="shared" si="25"/>
        <v>4</v>
      </c>
      <c r="F135" s="4">
        <v>242.73011299999999</v>
      </c>
      <c r="G135" s="4">
        <v>643.23479940000004</v>
      </c>
      <c r="H135" s="4">
        <f t="shared" si="34"/>
        <v>101.00000001929999</v>
      </c>
      <c r="I135" s="4">
        <f t="shared" si="35"/>
        <v>0.10100000001929998</v>
      </c>
      <c r="J135" s="4">
        <f t="shared" si="35"/>
        <v>1.0100000001929998E-4</v>
      </c>
      <c r="K135" s="4">
        <f t="shared" si="36"/>
        <v>0.22266662004254911</v>
      </c>
      <c r="L135" s="3">
        <v>1.23E-2</v>
      </c>
      <c r="M135" s="3">
        <v>3.2</v>
      </c>
      <c r="N135" s="4">
        <f t="shared" si="37"/>
        <v>16.72072414391199</v>
      </c>
      <c r="O135" s="4">
        <f t="shared" si="28"/>
        <v>2.4627031113161757</v>
      </c>
      <c r="P135" s="4">
        <f t="shared" si="29"/>
        <v>13.950681054760786</v>
      </c>
      <c r="Q135" s="4">
        <f t="shared" si="33"/>
        <v>35.434729879092394</v>
      </c>
      <c r="R135" s="2">
        <f t="shared" si="30"/>
        <v>1117.0646693381061</v>
      </c>
      <c r="S135" s="2">
        <f t="shared" si="31"/>
        <v>2684.606270939933</v>
      </c>
      <c r="T135" s="2">
        <f t="shared" si="32"/>
        <v>7114.2066179908225</v>
      </c>
      <c r="U135" s="2">
        <f t="shared" si="38"/>
        <v>39.200000000000003</v>
      </c>
      <c r="V135" s="2">
        <f t="shared" si="39"/>
        <v>0.58571428571428563</v>
      </c>
      <c r="W135" s="2">
        <v>0</v>
      </c>
      <c r="X135" s="4" t="s">
        <v>19</v>
      </c>
      <c r="Y135" s="4">
        <v>1.9</v>
      </c>
      <c r="Z135" s="4">
        <v>0.5</v>
      </c>
      <c r="AB135" s="4">
        <v>0.5</v>
      </c>
      <c r="AC135" s="4">
        <v>0.5</v>
      </c>
      <c r="AD135" s="4">
        <v>0.3</v>
      </c>
      <c r="AE135" s="4">
        <v>0.1</v>
      </c>
      <c r="AF135" s="4">
        <v>0.3</v>
      </c>
      <c r="AH135" s="4">
        <f>AVERAGE(Y135:AF135)</f>
        <v>0.58571428571428563</v>
      </c>
    </row>
    <row r="136" spans="1:97" x14ac:dyDescent="0.25">
      <c r="A136" s="2" t="s">
        <v>47</v>
      </c>
      <c r="B136" s="4" t="s">
        <v>48</v>
      </c>
      <c r="C136" s="4">
        <v>5</v>
      </c>
      <c r="D136" s="4">
        <v>1</v>
      </c>
      <c r="E136" s="4">
        <f t="shared" si="25"/>
        <v>5</v>
      </c>
      <c r="F136" s="4">
        <v>254.74645520000001</v>
      </c>
      <c r="G136" s="4">
        <v>675.07810619999998</v>
      </c>
      <c r="H136" s="4">
        <f t="shared" si="34"/>
        <v>106.00000000872002</v>
      </c>
      <c r="I136" s="4">
        <f t="shared" si="35"/>
        <v>0.10600000000872002</v>
      </c>
      <c r="J136" s="4">
        <f t="shared" si="35"/>
        <v>1.0600000000872002E-4</v>
      </c>
      <c r="K136" s="4">
        <f t="shared" si="36"/>
        <v>0.23368972001922431</v>
      </c>
      <c r="L136" s="3">
        <v>1.23E-2</v>
      </c>
      <c r="M136" s="3">
        <v>3.2</v>
      </c>
      <c r="N136" s="4">
        <f t="shared" si="37"/>
        <v>16.975115407979288</v>
      </c>
      <c r="O136" s="4">
        <f t="shared" si="28"/>
        <v>2.8535096232610093</v>
      </c>
      <c r="P136" s="4">
        <f t="shared" si="29"/>
        <v>14.607812493572116</v>
      </c>
      <c r="Q136" s="4">
        <f t="shared" si="33"/>
        <v>37.103843733673173</v>
      </c>
      <c r="R136" s="2">
        <f t="shared" si="30"/>
        <v>1294.3317321175573</v>
      </c>
      <c r="S136" s="2">
        <f t="shared" si="31"/>
        <v>3110.6266092707456</v>
      </c>
      <c r="T136" s="2">
        <f t="shared" si="32"/>
        <v>8243.1605145674748</v>
      </c>
      <c r="U136" s="2">
        <f t="shared" si="38"/>
        <v>39.200000000000003</v>
      </c>
      <c r="V136" s="2">
        <f t="shared" si="39"/>
        <v>0.58571428571428563</v>
      </c>
      <c r="W136" s="2">
        <v>0</v>
      </c>
      <c r="X136" s="4" t="s">
        <v>477</v>
      </c>
    </row>
    <row r="137" spans="1:97" x14ac:dyDescent="0.25">
      <c r="A137" s="2" t="s">
        <v>47</v>
      </c>
      <c r="B137" s="4" t="s">
        <v>48</v>
      </c>
      <c r="C137" s="4">
        <v>6</v>
      </c>
      <c r="D137" s="4">
        <v>1</v>
      </c>
      <c r="E137" s="4">
        <f t="shared" si="25"/>
        <v>6</v>
      </c>
      <c r="F137" s="4">
        <v>283.32131700000002</v>
      </c>
      <c r="G137" s="4">
        <v>750.80149010000002</v>
      </c>
      <c r="H137" s="4">
        <f t="shared" si="34"/>
        <v>117.89000000370002</v>
      </c>
      <c r="I137" s="4">
        <f t="shared" si="35"/>
        <v>0.11789000000370002</v>
      </c>
      <c r="J137" s="4">
        <f t="shared" si="35"/>
        <v>1.1789000000370003E-4</v>
      </c>
      <c r="K137" s="4">
        <f t="shared" si="36"/>
        <v>0.25990265180815714</v>
      </c>
      <c r="L137" s="3">
        <v>1.23E-2</v>
      </c>
      <c r="M137" s="3">
        <v>3.2</v>
      </c>
      <c r="N137" s="4">
        <f t="shared" si="37"/>
        <v>17.548548692677855</v>
      </c>
      <c r="O137" s="4">
        <f t="shared" si="28"/>
        <v>3.0885501240514888</v>
      </c>
      <c r="P137" s="4">
        <f t="shared" si="29"/>
        <v>14.9736428693574</v>
      </c>
      <c r="Q137" s="4">
        <f t="shared" si="33"/>
        <v>38.033052888167795</v>
      </c>
      <c r="R137" s="2">
        <f t="shared" si="30"/>
        <v>1400.9444367063206</v>
      </c>
      <c r="S137" s="2">
        <f t="shared" si="31"/>
        <v>3366.8455580541236</v>
      </c>
      <c r="T137" s="2">
        <f t="shared" si="32"/>
        <v>8922.1407288434275</v>
      </c>
      <c r="U137" s="2">
        <f t="shared" si="38"/>
        <v>39.200000000000003</v>
      </c>
      <c r="V137" s="2">
        <f t="shared" si="39"/>
        <v>0.58571428571428563</v>
      </c>
      <c r="W137" s="2">
        <v>0</v>
      </c>
      <c r="X137" s="4" t="s">
        <v>423</v>
      </c>
      <c r="Y137" s="4" t="s">
        <v>428</v>
      </c>
      <c r="Z137" s="4" t="s">
        <v>428</v>
      </c>
      <c r="AA137" s="4" t="s">
        <v>429</v>
      </c>
      <c r="AB137" s="4" t="s">
        <v>428</v>
      </c>
      <c r="AC137" s="4" t="s">
        <v>428</v>
      </c>
      <c r="AD137" s="4" t="s">
        <v>517</v>
      </c>
      <c r="AE137" s="4" t="s">
        <v>428</v>
      </c>
      <c r="AF137" s="4" t="s">
        <v>428</v>
      </c>
    </row>
    <row r="138" spans="1:97" x14ac:dyDescent="0.25">
      <c r="A138" s="2" t="s">
        <v>47</v>
      </c>
      <c r="B138" s="4" t="s">
        <v>48</v>
      </c>
      <c r="C138" s="4">
        <v>7</v>
      </c>
      <c r="D138" s="4">
        <v>1</v>
      </c>
      <c r="E138" s="4">
        <f t="shared" si="25"/>
        <v>7</v>
      </c>
      <c r="F138" s="4">
        <v>314.44364339999998</v>
      </c>
      <c r="G138" s="4">
        <v>833.27565500000003</v>
      </c>
      <c r="H138" s="4">
        <f t="shared" si="34"/>
        <v>130.84000001874</v>
      </c>
      <c r="I138" s="4">
        <f t="shared" si="35"/>
        <v>0.13084000001873999</v>
      </c>
      <c r="J138" s="4">
        <f t="shared" si="35"/>
        <v>1.3084000001873999E-4</v>
      </c>
      <c r="K138" s="4">
        <f t="shared" si="36"/>
        <v>0.28845248084131453</v>
      </c>
      <c r="L138" s="3">
        <v>1.23E-2</v>
      </c>
      <c r="M138" s="3">
        <v>3.2</v>
      </c>
      <c r="N138" s="4">
        <f t="shared" si="37"/>
        <v>18.129510157606568</v>
      </c>
      <c r="O138" s="4">
        <f t="shared" si="28"/>
        <v>3.2249986423096479</v>
      </c>
      <c r="P138" s="4">
        <f t="shared" si="29"/>
        <v>15.17730359222479</v>
      </c>
      <c r="Q138" s="4">
        <f t="shared" si="33"/>
        <v>38.550351124250966</v>
      </c>
      <c r="R138" s="2">
        <f t="shared" si="30"/>
        <v>1462.8365170912211</v>
      </c>
      <c r="S138" s="2">
        <f t="shared" si="31"/>
        <v>3515.588841843839</v>
      </c>
      <c r="T138" s="2">
        <f t="shared" si="32"/>
        <v>9316.310430886173</v>
      </c>
      <c r="U138" s="2">
        <f t="shared" si="38"/>
        <v>39.200000000000003</v>
      </c>
      <c r="V138" s="2">
        <f t="shared" si="39"/>
        <v>0.58571428571428563</v>
      </c>
      <c r="W138" s="2">
        <v>0</v>
      </c>
      <c r="X138" s="4" t="s">
        <v>434</v>
      </c>
      <c r="Y138" s="7" t="s">
        <v>518</v>
      </c>
      <c r="Z138" s="7" t="s">
        <v>519</v>
      </c>
      <c r="AA138" s="7" t="s">
        <v>520</v>
      </c>
      <c r="AB138" s="7" t="s">
        <v>521</v>
      </c>
      <c r="AC138" s="7" t="s">
        <v>522</v>
      </c>
      <c r="AD138" s="7" t="s">
        <v>523</v>
      </c>
      <c r="AE138" s="7" t="s">
        <v>524</v>
      </c>
      <c r="AF138" s="7" t="s">
        <v>525</v>
      </c>
    </row>
    <row r="139" spans="1:97" x14ac:dyDescent="0.25">
      <c r="A139" s="2" t="s">
        <v>47</v>
      </c>
      <c r="B139" s="4" t="s">
        <v>48</v>
      </c>
      <c r="C139" s="4">
        <v>8</v>
      </c>
      <c r="D139" s="4">
        <v>1</v>
      </c>
      <c r="E139" s="4">
        <f t="shared" si="25"/>
        <v>8</v>
      </c>
      <c r="F139" s="4">
        <v>345.5659698</v>
      </c>
      <c r="G139" s="4">
        <v>915.74981979999995</v>
      </c>
      <c r="H139" s="4">
        <f t="shared" si="34"/>
        <v>143.79000003377999</v>
      </c>
      <c r="I139" s="4">
        <f t="shared" si="35"/>
        <v>0.14379000003377998</v>
      </c>
      <c r="J139" s="4">
        <f t="shared" si="35"/>
        <v>1.4379000003377998E-4</v>
      </c>
      <c r="K139" s="4">
        <f t="shared" si="36"/>
        <v>0.31700230987447198</v>
      </c>
      <c r="L139" s="3">
        <v>1.23E-2</v>
      </c>
      <c r="M139" s="3">
        <v>3.2</v>
      </c>
      <c r="N139" s="4">
        <f t="shared" si="37"/>
        <v>18.672173165729784</v>
      </c>
      <c r="O139" s="4">
        <f t="shared" si="28"/>
        <v>3.3027278870807972</v>
      </c>
      <c r="P139" s="4">
        <f t="shared" si="29"/>
        <v>15.290683160419015</v>
      </c>
      <c r="Q139" s="4">
        <f t="shared" si="33"/>
        <v>38.838335227464299</v>
      </c>
      <c r="R139" s="2">
        <f t="shared" si="30"/>
        <v>1498.0939513752016</v>
      </c>
      <c r="S139" s="2">
        <f t="shared" si="31"/>
        <v>3600.3219211131977</v>
      </c>
      <c r="T139" s="2">
        <f t="shared" si="32"/>
        <v>9540.8530909499732</v>
      </c>
      <c r="U139" s="2">
        <f t="shared" si="38"/>
        <v>39.200000000000003</v>
      </c>
      <c r="V139" s="2">
        <f t="shared" si="39"/>
        <v>0.58571428571428563</v>
      </c>
      <c r="W139" s="2">
        <v>0</v>
      </c>
    </row>
    <row r="140" spans="1:97" x14ac:dyDescent="0.25">
      <c r="A140" s="2" t="s">
        <v>47</v>
      </c>
      <c r="B140" s="4" t="s">
        <v>48</v>
      </c>
      <c r="C140" s="4">
        <v>9</v>
      </c>
      <c r="D140" s="4">
        <v>1</v>
      </c>
      <c r="E140" s="4">
        <f t="shared" si="25"/>
        <v>9</v>
      </c>
      <c r="F140" s="4">
        <v>372.74693589999998</v>
      </c>
      <c r="G140" s="4">
        <v>987.77937999999995</v>
      </c>
      <c r="H140" s="4">
        <f t="shared" si="34"/>
        <v>155.10000002799001</v>
      </c>
      <c r="I140" s="4">
        <f t="shared" si="35"/>
        <v>0.15510000002799001</v>
      </c>
      <c r="J140" s="4">
        <f t="shared" si="35"/>
        <v>1.5510000002799001E-4</v>
      </c>
      <c r="K140" s="4">
        <f t="shared" si="36"/>
        <v>0.34193656206170731</v>
      </c>
      <c r="L140" s="3">
        <v>1.23E-2</v>
      </c>
      <c r="M140" s="3">
        <v>3.2</v>
      </c>
      <c r="N140" s="4">
        <f t="shared" si="37"/>
        <v>19.11924945060121</v>
      </c>
      <c r="O140" s="4">
        <f t="shared" si="28"/>
        <v>3.3465536012826043</v>
      </c>
      <c r="P140" s="4">
        <f t="shared" si="29"/>
        <v>15.353802481134966</v>
      </c>
      <c r="Q140" s="4">
        <f t="shared" si="33"/>
        <v>38.998658302082816</v>
      </c>
      <c r="R140" s="2">
        <f t="shared" si="30"/>
        <v>1517.9729845880943</v>
      </c>
      <c r="S140" s="2">
        <f t="shared" si="31"/>
        <v>3648.0965743525458</v>
      </c>
      <c r="T140" s="2">
        <f t="shared" si="32"/>
        <v>9667.4559220342453</v>
      </c>
      <c r="U140" s="2">
        <f t="shared" si="38"/>
        <v>39.200000000000003</v>
      </c>
      <c r="V140" s="2">
        <f t="shared" si="39"/>
        <v>0.58571428571428563</v>
      </c>
      <c r="W140" s="2">
        <v>0</v>
      </c>
    </row>
    <row r="141" spans="1:97" x14ac:dyDescent="0.25">
      <c r="A141" s="2" t="s">
        <v>47</v>
      </c>
      <c r="B141" s="4" t="s">
        <v>48</v>
      </c>
      <c r="C141" s="4">
        <v>10</v>
      </c>
      <c r="D141" s="4">
        <v>1</v>
      </c>
      <c r="E141" s="4">
        <f t="shared" si="25"/>
        <v>10</v>
      </c>
      <c r="F141" s="4">
        <v>408.79596249999997</v>
      </c>
      <c r="G141" s="4">
        <v>1083.309301</v>
      </c>
      <c r="H141" s="4">
        <f t="shared" si="34"/>
        <v>170.09999999625001</v>
      </c>
      <c r="I141" s="4">
        <f t="shared" si="35"/>
        <v>0.17009999999625</v>
      </c>
      <c r="J141" s="4">
        <f t="shared" si="35"/>
        <v>1.7009999999625E-4</v>
      </c>
      <c r="K141" s="4">
        <f t="shared" si="36"/>
        <v>0.37500586199173264</v>
      </c>
      <c r="L141" s="3">
        <v>1.23E-2</v>
      </c>
      <c r="M141" s="3">
        <v>3.2</v>
      </c>
      <c r="N141" s="4">
        <f t="shared" si="37"/>
        <v>19.678851599644297</v>
      </c>
      <c r="O141" s="4">
        <f t="shared" si="28"/>
        <v>3.3711241356732273</v>
      </c>
      <c r="P141" s="4">
        <f t="shared" si="29"/>
        <v>15.388941516422333</v>
      </c>
      <c r="Q141" s="4">
        <f t="shared" si="33"/>
        <v>39.087911451712728</v>
      </c>
      <c r="R141" s="2">
        <f t="shared" si="30"/>
        <v>1529.1180047687253</v>
      </c>
      <c r="S141" s="2">
        <f t="shared" si="31"/>
        <v>3674.8810496724955</v>
      </c>
      <c r="T141" s="2">
        <f t="shared" si="32"/>
        <v>9738.4347816321133</v>
      </c>
      <c r="U141" s="2">
        <f t="shared" si="38"/>
        <v>39.200000000000003</v>
      </c>
      <c r="V141" s="2">
        <f t="shared" si="39"/>
        <v>0.58571428571428563</v>
      </c>
      <c r="W141" s="2">
        <v>0</v>
      </c>
    </row>
    <row r="142" spans="1:97" x14ac:dyDescent="0.25">
      <c r="A142" s="2" t="s">
        <v>49</v>
      </c>
      <c r="B142" s="4" t="s">
        <v>50</v>
      </c>
      <c r="C142" s="4">
        <v>1</v>
      </c>
      <c r="D142" s="4">
        <v>1</v>
      </c>
      <c r="E142" s="4">
        <f t="shared" si="25"/>
        <v>1</v>
      </c>
      <c r="F142" s="4">
        <v>127.5414564</v>
      </c>
      <c r="G142" s="4">
        <v>337.98485950000003</v>
      </c>
      <c r="H142" s="4">
        <f t="shared" si="34"/>
        <v>53.070000008040005</v>
      </c>
      <c r="I142" s="4">
        <f t="shared" si="35"/>
        <v>5.3070000008040005E-2</v>
      </c>
      <c r="J142" s="4">
        <f t="shared" si="35"/>
        <v>5.3070000008040008E-5</v>
      </c>
      <c r="K142" s="4">
        <f t="shared" si="36"/>
        <v>0.11699918341772515</v>
      </c>
      <c r="L142" s="3">
        <v>1.2E-2</v>
      </c>
      <c r="M142" s="3">
        <v>3.1</v>
      </c>
      <c r="N142" s="4">
        <f t="shared" si="37"/>
        <v>14.997604075732943</v>
      </c>
      <c r="O142" s="4">
        <f t="shared" si="28"/>
        <v>4.4008721087089593E-2</v>
      </c>
      <c r="P142" s="4">
        <f t="shared" si="29"/>
        <v>4.307310756443238</v>
      </c>
      <c r="Q142" s="4">
        <f t="shared" si="33"/>
        <v>10.940569321365825</v>
      </c>
      <c r="R142" s="2">
        <f t="shared" si="30"/>
        <v>19.962043838434557</v>
      </c>
      <c r="S142" s="2">
        <f t="shared" si="31"/>
        <v>47.974150056319537</v>
      </c>
      <c r="T142" s="2">
        <f t="shared" si="32"/>
        <v>127.13149764924677</v>
      </c>
      <c r="U142" s="2">
        <f t="shared" ref="U142:U151" si="40">AVERAGE($Z$144:$AA$144)</f>
        <v>54.3</v>
      </c>
      <c r="V142" s="2">
        <f t="shared" ref="V142:V151" si="41">AVERAGE($Z$145:$AA$145)</f>
        <v>0.22500000000000001</v>
      </c>
      <c r="W142" s="2">
        <v>0</v>
      </c>
      <c r="Y142" s="4" t="s">
        <v>526</v>
      </c>
      <c r="Z142" s="4" t="s">
        <v>527</v>
      </c>
      <c r="AA142" s="4" t="s">
        <v>528</v>
      </c>
      <c r="AB142" s="4" t="s">
        <v>529</v>
      </c>
      <c r="AC142" s="4" t="s">
        <v>530</v>
      </c>
      <c r="AD142" s="4" t="s">
        <v>531</v>
      </c>
      <c r="AE142" s="4" t="s">
        <v>532</v>
      </c>
      <c r="AF142" s="4" t="s">
        <v>533</v>
      </c>
      <c r="AG142" s="4" t="s">
        <v>534</v>
      </c>
      <c r="AH142" s="4" t="s">
        <v>535</v>
      </c>
      <c r="AI142" s="4" t="s">
        <v>536</v>
      </c>
      <c r="AJ142" s="4" t="s">
        <v>537</v>
      </c>
      <c r="AK142" s="4" t="s">
        <v>538</v>
      </c>
      <c r="AL142" s="4" t="s">
        <v>539</v>
      </c>
      <c r="AM142" s="4" t="s">
        <v>540</v>
      </c>
      <c r="AN142" s="4" t="s">
        <v>541</v>
      </c>
      <c r="AO142" s="4" t="s">
        <v>542</v>
      </c>
      <c r="AP142" s="4" t="s">
        <v>543</v>
      </c>
      <c r="AQ142" s="4" t="s">
        <v>544</v>
      </c>
      <c r="AR142" s="4" t="s">
        <v>544</v>
      </c>
      <c r="AS142" s="4" t="s">
        <v>545</v>
      </c>
      <c r="AT142" s="4" t="s">
        <v>546</v>
      </c>
      <c r="AU142" s="4" t="s">
        <v>547</v>
      </c>
      <c r="AV142" s="4" t="s">
        <v>548</v>
      </c>
      <c r="AW142" s="4" t="s">
        <v>549</v>
      </c>
      <c r="AX142" s="4" t="s">
        <v>429</v>
      </c>
      <c r="AY142" s="4" t="s">
        <v>550</v>
      </c>
      <c r="AZ142" s="4" t="s">
        <v>551</v>
      </c>
      <c r="BA142" s="4" t="s">
        <v>552</v>
      </c>
      <c r="BB142" s="4" t="s">
        <v>553</v>
      </c>
      <c r="BC142" s="4" t="s">
        <v>554</v>
      </c>
      <c r="BD142" s="4" t="s">
        <v>555</v>
      </c>
      <c r="BE142" s="4" t="s">
        <v>556</v>
      </c>
      <c r="BF142" s="4" t="s">
        <v>557</v>
      </c>
      <c r="BG142" s="4" t="s">
        <v>558</v>
      </c>
      <c r="BH142" s="4" t="s">
        <v>559</v>
      </c>
      <c r="BI142" s="4" t="s">
        <v>560</v>
      </c>
      <c r="BJ142" s="4" t="s">
        <v>561</v>
      </c>
      <c r="BK142" s="4" t="s">
        <v>562</v>
      </c>
      <c r="BL142" s="4" t="s">
        <v>563</v>
      </c>
      <c r="BM142" s="4" t="s">
        <v>564</v>
      </c>
      <c r="BN142" s="4" t="s">
        <v>565</v>
      </c>
      <c r="BO142" s="4" t="s">
        <v>566</v>
      </c>
      <c r="BP142" s="4" t="s">
        <v>567</v>
      </c>
      <c r="BQ142" s="4" t="s">
        <v>568</v>
      </c>
      <c r="BR142" s="4" t="s">
        <v>569</v>
      </c>
      <c r="BS142" s="4" t="s">
        <v>429</v>
      </c>
      <c r="BT142" s="4" t="s">
        <v>570</v>
      </c>
      <c r="BU142" s="4" t="s">
        <v>571</v>
      </c>
      <c r="BV142" s="4" t="s">
        <v>572</v>
      </c>
      <c r="BW142" s="4" t="s">
        <v>573</v>
      </c>
      <c r="BX142" s="4" t="s">
        <v>574</v>
      </c>
      <c r="BY142" s="4" t="s">
        <v>575</v>
      </c>
      <c r="BZ142" s="4" t="s">
        <v>576</v>
      </c>
      <c r="CA142" s="4" t="s">
        <v>577</v>
      </c>
      <c r="CB142" s="4" t="s">
        <v>578</v>
      </c>
      <c r="CC142" s="4" t="s">
        <v>579</v>
      </c>
      <c r="CD142" s="4" t="s">
        <v>580</v>
      </c>
      <c r="CE142" s="4" t="s">
        <v>581</v>
      </c>
      <c r="CF142" s="4" t="s">
        <v>582</v>
      </c>
      <c r="CG142" s="4" t="s">
        <v>583</v>
      </c>
      <c r="CH142" s="4" t="s">
        <v>584</v>
      </c>
      <c r="CI142" s="4" t="s">
        <v>585</v>
      </c>
      <c r="CJ142" s="4" t="s">
        <v>586</v>
      </c>
      <c r="CK142" s="4" t="s">
        <v>587</v>
      </c>
      <c r="CL142" s="4" t="s">
        <v>588</v>
      </c>
      <c r="CM142" s="4" t="s">
        <v>589</v>
      </c>
      <c r="CN142" s="4" t="s">
        <v>590</v>
      </c>
      <c r="CO142" s="4" t="s">
        <v>591</v>
      </c>
      <c r="CP142" s="4" t="s">
        <v>592</v>
      </c>
      <c r="CQ142" s="4" t="s">
        <v>593</v>
      </c>
      <c r="CR142" s="4" t="s">
        <v>594</v>
      </c>
      <c r="CS142" s="4" t="s">
        <v>595</v>
      </c>
    </row>
    <row r="143" spans="1:97" x14ac:dyDescent="0.25">
      <c r="A143" s="2" t="s">
        <v>49</v>
      </c>
      <c r="B143" s="4" t="s">
        <v>50</v>
      </c>
      <c r="C143" s="4">
        <v>2</v>
      </c>
      <c r="D143" s="4">
        <v>1</v>
      </c>
      <c r="E143" s="4">
        <f t="shared" si="25"/>
        <v>2</v>
      </c>
      <c r="F143" s="4">
        <v>347.4885845</v>
      </c>
      <c r="G143" s="4">
        <v>920.84474890000001</v>
      </c>
      <c r="H143" s="4">
        <f t="shared" si="34"/>
        <v>144.59000001044998</v>
      </c>
      <c r="I143" s="4">
        <f t="shared" si="35"/>
        <v>0.14459000001044997</v>
      </c>
      <c r="J143" s="4">
        <f t="shared" si="35"/>
        <v>1.4459000001044997E-4</v>
      </c>
      <c r="K143" s="4">
        <f t="shared" si="36"/>
        <v>0.31876600582303821</v>
      </c>
      <c r="L143" s="3">
        <v>1.2E-2</v>
      </c>
      <c r="M143" s="3">
        <v>3.1</v>
      </c>
      <c r="N143" s="4">
        <f t="shared" si="37"/>
        <v>20.722289929778977</v>
      </c>
      <c r="O143" s="4">
        <f t="shared" si="28"/>
        <v>0.27150214154147551</v>
      </c>
      <c r="P143" s="4">
        <f t="shared" si="29"/>
        <v>7.7467682546998846</v>
      </c>
      <c r="Q143" s="4">
        <f t="shared" si="33"/>
        <v>19.676791366937707</v>
      </c>
      <c r="R143" s="2">
        <f t="shared" si="30"/>
        <v>123.15144629980473</v>
      </c>
      <c r="S143" s="2">
        <f t="shared" si="31"/>
        <v>295.96598485893952</v>
      </c>
      <c r="T143" s="2">
        <f t="shared" si="32"/>
        <v>784.30985987618965</v>
      </c>
      <c r="U143" s="2">
        <f t="shared" si="40"/>
        <v>54.3</v>
      </c>
      <c r="V143" s="2">
        <f t="shared" si="41"/>
        <v>0.22500000000000001</v>
      </c>
      <c r="W143" s="2">
        <v>0</v>
      </c>
      <c r="X143" s="4" t="s">
        <v>422</v>
      </c>
      <c r="Y143" s="4">
        <v>41</v>
      </c>
      <c r="Z143" s="4">
        <v>41</v>
      </c>
      <c r="AA143" s="4">
        <v>120</v>
      </c>
      <c r="AB143" s="4">
        <v>40</v>
      </c>
    </row>
    <row r="144" spans="1:97" x14ac:dyDescent="0.25">
      <c r="A144" s="2" t="s">
        <v>49</v>
      </c>
      <c r="B144" s="4" t="s">
        <v>50</v>
      </c>
      <c r="C144" s="4">
        <v>3</v>
      </c>
      <c r="D144" s="4">
        <v>1</v>
      </c>
      <c r="E144" s="4">
        <f t="shared" si="25"/>
        <v>3</v>
      </c>
      <c r="F144" s="4">
        <v>732.42009129999997</v>
      </c>
      <c r="G144" s="4">
        <v>1940.9132420000001</v>
      </c>
      <c r="H144" s="4">
        <f t="shared" si="34"/>
        <v>304.75999998992995</v>
      </c>
      <c r="I144" s="4">
        <f t="shared" si="35"/>
        <v>0.30475999998992997</v>
      </c>
      <c r="J144" s="4">
        <f t="shared" si="35"/>
        <v>3.0475999998992999E-4</v>
      </c>
      <c r="K144" s="4">
        <f t="shared" si="36"/>
        <v>0.6718799911777994</v>
      </c>
      <c r="L144" s="3">
        <v>1.2E-2</v>
      </c>
      <c r="M144" s="3">
        <v>3.1</v>
      </c>
      <c r="N144" s="4">
        <f t="shared" si="37"/>
        <v>26.356984171020404</v>
      </c>
      <c r="O144" s="4">
        <f t="shared" si="28"/>
        <v>0.69553360117709406</v>
      </c>
      <c r="P144" s="4">
        <f t="shared" si="29"/>
        <v>10.49323085079137</v>
      </c>
      <c r="Q144" s="4">
        <f t="shared" si="33"/>
        <v>26.652806361010079</v>
      </c>
      <c r="R144" s="2">
        <f t="shared" si="30"/>
        <v>315.48910976816597</v>
      </c>
      <c r="S144" s="2">
        <f t="shared" si="31"/>
        <v>758.20502227389079</v>
      </c>
      <c r="T144" s="2">
        <f t="shared" si="32"/>
        <v>2009.2433090258105</v>
      </c>
      <c r="U144" s="2">
        <f t="shared" si="40"/>
        <v>54.3</v>
      </c>
      <c r="V144" s="2">
        <f t="shared" si="41"/>
        <v>0.22500000000000001</v>
      </c>
      <c r="W144" s="2">
        <v>0</v>
      </c>
      <c r="X144" s="4" t="s">
        <v>18</v>
      </c>
      <c r="Z144" s="4">
        <v>31</v>
      </c>
      <c r="AA144" s="4">
        <v>77.599999999999994</v>
      </c>
    </row>
    <row r="145" spans="1:28" x14ac:dyDescent="0.25">
      <c r="A145" s="2" t="s">
        <v>49</v>
      </c>
      <c r="B145" s="4" t="s">
        <v>50</v>
      </c>
      <c r="C145" s="4">
        <v>4</v>
      </c>
      <c r="D145" s="4">
        <v>1</v>
      </c>
      <c r="E145" s="4">
        <f t="shared" si="25"/>
        <v>4</v>
      </c>
      <c r="F145" s="4">
        <v>1115.2006730000001</v>
      </c>
      <c r="G145" s="4">
        <v>2955.281782</v>
      </c>
      <c r="H145" s="4">
        <f t="shared" si="34"/>
        <v>464.03500003530002</v>
      </c>
      <c r="I145" s="4">
        <f t="shared" si="35"/>
        <v>0.46403500003530002</v>
      </c>
      <c r="J145" s="4">
        <f t="shared" si="35"/>
        <v>4.6403500003530001E-4</v>
      </c>
      <c r="K145" s="4">
        <f t="shared" si="36"/>
        <v>1.023020841777823</v>
      </c>
      <c r="L145" s="3">
        <v>1.2E-2</v>
      </c>
      <c r="M145" s="3">
        <v>3.1</v>
      </c>
      <c r="N145" s="4">
        <f t="shared" si="37"/>
        <v>30.185377428941027</v>
      </c>
      <c r="O145" s="4">
        <f t="shared" si="28"/>
        <v>1.2526815339585728</v>
      </c>
      <c r="P145" s="4">
        <f t="shared" si="29"/>
        <v>12.686325777986404</v>
      </c>
      <c r="Q145" s="4">
        <f t="shared" si="33"/>
        <v>32.223267476085468</v>
      </c>
      <c r="R145" s="2">
        <f t="shared" si="30"/>
        <v>568.20746158456916</v>
      </c>
      <c r="S145" s="2">
        <f t="shared" si="31"/>
        <v>1365.5550626882218</v>
      </c>
      <c r="T145" s="2">
        <f t="shared" si="32"/>
        <v>3618.7209161237879</v>
      </c>
      <c r="U145" s="2">
        <f t="shared" si="40"/>
        <v>54.3</v>
      </c>
      <c r="V145" s="2">
        <f t="shared" si="41"/>
        <v>0.22500000000000001</v>
      </c>
      <c r="W145" s="2">
        <v>0</v>
      </c>
      <c r="X145" s="4" t="s">
        <v>19</v>
      </c>
      <c r="Z145" s="4">
        <v>0.25</v>
      </c>
      <c r="AA145" s="4">
        <v>0.2</v>
      </c>
    </row>
    <row r="146" spans="1:28" x14ac:dyDescent="0.25">
      <c r="A146" s="2" t="s">
        <v>49</v>
      </c>
      <c r="B146" s="4" t="s">
        <v>50</v>
      </c>
      <c r="C146" s="4">
        <v>5</v>
      </c>
      <c r="D146" s="4">
        <v>1</v>
      </c>
      <c r="E146" s="4">
        <f t="shared" si="25"/>
        <v>5</v>
      </c>
      <c r="F146" s="4">
        <v>1550.4325879999999</v>
      </c>
      <c r="G146" s="4">
        <v>4108.6463590000003</v>
      </c>
      <c r="H146" s="4">
        <f t="shared" si="34"/>
        <v>645.13499986679994</v>
      </c>
      <c r="I146" s="4">
        <f t="shared" si="35"/>
        <v>0.6451349998667999</v>
      </c>
      <c r="J146" s="4">
        <f t="shared" si="35"/>
        <v>6.4513499986679993E-4</v>
      </c>
      <c r="K146" s="4">
        <f t="shared" si="36"/>
        <v>1.4222775234063443</v>
      </c>
      <c r="L146" s="3">
        <v>1.2E-2</v>
      </c>
      <c r="M146" s="3">
        <v>3.1</v>
      </c>
      <c r="N146" s="4">
        <f t="shared" si="37"/>
        <v>33.570503685170742</v>
      </c>
      <c r="O146" s="4">
        <f t="shared" si="28"/>
        <v>1.8703769643042842</v>
      </c>
      <c r="P146" s="4">
        <f t="shared" si="29"/>
        <v>14.437547646630552</v>
      </c>
      <c r="Q146" s="4">
        <f t="shared" si="33"/>
        <v>36.671371022441605</v>
      </c>
      <c r="R146" s="2">
        <f t="shared" si="30"/>
        <v>848.38972898017994</v>
      </c>
      <c r="S146" s="2">
        <f t="shared" si="31"/>
        <v>2038.9082647925497</v>
      </c>
      <c r="T146" s="2">
        <f t="shared" si="32"/>
        <v>5403.1069017002565</v>
      </c>
      <c r="U146" s="2">
        <f t="shared" si="40"/>
        <v>54.3</v>
      </c>
      <c r="V146" s="2">
        <f t="shared" si="41"/>
        <v>0.22500000000000001</v>
      </c>
      <c r="W146" s="2">
        <v>0</v>
      </c>
      <c r="X146" s="4" t="s">
        <v>477</v>
      </c>
    </row>
    <row r="147" spans="1:28" x14ac:dyDescent="0.25">
      <c r="A147" s="2" t="s">
        <v>49</v>
      </c>
      <c r="B147" s="4" t="s">
        <v>50</v>
      </c>
      <c r="C147" s="4">
        <v>6</v>
      </c>
      <c r="D147" s="4">
        <v>1</v>
      </c>
      <c r="E147" s="4">
        <f t="shared" si="25"/>
        <v>6</v>
      </c>
      <c r="F147" s="4">
        <v>1976.4359529999999</v>
      </c>
      <c r="G147" s="4">
        <v>5237.5552749999997</v>
      </c>
      <c r="H147" s="4">
        <f t="shared" si="34"/>
        <v>822.3950000433</v>
      </c>
      <c r="I147" s="4">
        <f t="shared" si="35"/>
        <v>0.82239500004330002</v>
      </c>
      <c r="J147" s="4">
        <f t="shared" si="35"/>
        <v>8.2239500004330007E-4</v>
      </c>
      <c r="K147" s="4">
        <f t="shared" si="36"/>
        <v>1.8130684649954598</v>
      </c>
      <c r="L147" s="3">
        <v>1.2E-2</v>
      </c>
      <c r="M147" s="3">
        <v>3.1</v>
      </c>
      <c r="N147" s="4">
        <f t="shared" si="37"/>
        <v>36.305087581617954</v>
      </c>
      <c r="O147" s="4">
        <f t="shared" si="28"/>
        <v>2.4911180490079294</v>
      </c>
      <c r="P147" s="4">
        <f t="shared" si="29"/>
        <v>15.835926711389014</v>
      </c>
      <c r="Q147" s="4">
        <f t="shared" si="33"/>
        <v>40.223253846928095</v>
      </c>
      <c r="R147" s="2">
        <f t="shared" si="30"/>
        <v>1129.9534835971413</v>
      </c>
      <c r="S147" s="2">
        <f t="shared" si="31"/>
        <v>2715.5815515432378</v>
      </c>
      <c r="T147" s="2">
        <f t="shared" si="32"/>
        <v>7196.2911115895795</v>
      </c>
      <c r="U147" s="2">
        <f t="shared" si="40"/>
        <v>54.3</v>
      </c>
      <c r="V147" s="2">
        <f t="shared" si="41"/>
        <v>0.22500000000000001</v>
      </c>
      <c r="W147" s="2">
        <v>0</v>
      </c>
      <c r="X147" s="4" t="s">
        <v>423</v>
      </c>
      <c r="Y147" s="4" t="s">
        <v>429</v>
      </c>
      <c r="Z147" s="4" t="s">
        <v>517</v>
      </c>
      <c r="AA147" s="4" t="s">
        <v>428</v>
      </c>
      <c r="AB147" s="4" t="s">
        <v>429</v>
      </c>
    </row>
    <row r="148" spans="1:28" x14ac:dyDescent="0.25">
      <c r="A148" s="2" t="s">
        <v>49</v>
      </c>
      <c r="B148" s="4" t="s">
        <v>50</v>
      </c>
      <c r="C148" s="4">
        <v>7</v>
      </c>
      <c r="D148" s="4">
        <v>1</v>
      </c>
      <c r="E148" s="4">
        <f t="shared" si="25"/>
        <v>7</v>
      </c>
      <c r="F148" s="4">
        <v>2275.6669069999998</v>
      </c>
      <c r="G148" s="4">
        <v>6030.517304</v>
      </c>
      <c r="H148" s="4">
        <f t="shared" si="34"/>
        <v>946.90500000269992</v>
      </c>
      <c r="I148" s="4">
        <f t="shared" si="35"/>
        <v>0.94690500000269995</v>
      </c>
      <c r="J148" s="4">
        <f t="shared" si="35"/>
        <v>9.4690500000269994E-4</v>
      </c>
      <c r="K148" s="4">
        <f t="shared" si="36"/>
        <v>2.0875657011059521</v>
      </c>
      <c r="L148" s="3">
        <v>1.2E-2</v>
      </c>
      <c r="M148" s="3">
        <v>3.1</v>
      </c>
      <c r="N148" s="4">
        <f t="shared" si="37"/>
        <v>37.994242889558372</v>
      </c>
      <c r="O148" s="4">
        <f t="shared" si="28"/>
        <v>3.0770072449392756</v>
      </c>
      <c r="P148" s="4">
        <f t="shared" si="29"/>
        <v>16.952555074572206</v>
      </c>
      <c r="Q148" s="4">
        <f t="shared" si="33"/>
        <v>43.059489889413406</v>
      </c>
      <c r="R148" s="2">
        <f t="shared" si="30"/>
        <v>1395.7086685865481</v>
      </c>
      <c r="S148" s="2">
        <f t="shared" si="31"/>
        <v>3354.2626017460907</v>
      </c>
      <c r="T148" s="2">
        <f t="shared" si="32"/>
        <v>8888.7958946271392</v>
      </c>
      <c r="U148" s="2">
        <f t="shared" si="40"/>
        <v>54.3</v>
      </c>
      <c r="V148" s="2">
        <f t="shared" si="41"/>
        <v>0.22500000000000001</v>
      </c>
      <c r="W148" s="2">
        <v>0</v>
      </c>
      <c r="X148" s="4" t="s">
        <v>434</v>
      </c>
      <c r="Y148" s="7" t="s">
        <v>596</v>
      </c>
      <c r="Z148" s="7" t="s">
        <v>597</v>
      </c>
      <c r="AA148" s="7" t="s">
        <v>598</v>
      </c>
      <c r="AB148" s="7" t="s">
        <v>599</v>
      </c>
    </row>
    <row r="149" spans="1:28" x14ac:dyDescent="0.25">
      <c r="A149" s="2" t="s">
        <v>49</v>
      </c>
      <c r="B149" s="4" t="s">
        <v>50</v>
      </c>
      <c r="C149" s="4">
        <v>8</v>
      </c>
      <c r="D149" s="4">
        <v>1</v>
      </c>
      <c r="E149" s="4">
        <f t="shared" si="25"/>
        <v>8</v>
      </c>
      <c r="F149" s="4">
        <v>2451.3338140000001</v>
      </c>
      <c r="G149" s="4">
        <v>6496.0346079999999</v>
      </c>
      <c r="H149" s="4">
        <f t="shared" si="34"/>
        <v>1020.0000000054</v>
      </c>
      <c r="I149" s="4">
        <f t="shared" si="35"/>
        <v>1.0200000000053999</v>
      </c>
      <c r="J149" s="4">
        <f t="shared" si="35"/>
        <v>1.0200000000053998E-3</v>
      </c>
      <c r="K149" s="4">
        <f t="shared" si="36"/>
        <v>2.2487124000119048</v>
      </c>
      <c r="L149" s="3">
        <v>1.2E-2</v>
      </c>
      <c r="M149" s="3">
        <v>3.1</v>
      </c>
      <c r="N149" s="4">
        <f t="shared" si="37"/>
        <v>38.916622113975315</v>
      </c>
      <c r="O149" s="4">
        <f t="shared" si="28"/>
        <v>3.6069534357875623</v>
      </c>
      <c r="P149" s="4">
        <f t="shared" si="29"/>
        <v>17.844200932900726</v>
      </c>
      <c r="Q149" s="4">
        <f t="shared" si="33"/>
        <v>45.324270369567849</v>
      </c>
      <c r="R149" s="2">
        <f t="shared" si="30"/>
        <v>1636.0885031377572</v>
      </c>
      <c r="S149" s="2">
        <f t="shared" si="31"/>
        <v>3931.9598729578402</v>
      </c>
      <c r="T149" s="2">
        <f t="shared" si="32"/>
        <v>10419.693663338276</v>
      </c>
      <c r="U149" s="2">
        <f t="shared" si="40"/>
        <v>54.3</v>
      </c>
      <c r="V149" s="2">
        <f t="shared" si="41"/>
        <v>0.22500000000000001</v>
      </c>
      <c r="W149" s="2">
        <v>0</v>
      </c>
    </row>
    <row r="150" spans="1:28" x14ac:dyDescent="0.25">
      <c r="A150" s="2" t="s">
        <v>49</v>
      </c>
      <c r="B150" s="4" t="s">
        <v>50</v>
      </c>
      <c r="C150" s="4">
        <v>9</v>
      </c>
      <c r="D150" s="4">
        <v>1</v>
      </c>
      <c r="E150" s="4">
        <f t="shared" si="25"/>
        <v>9</v>
      </c>
      <c r="F150" s="4">
        <v>2643.5952900000002</v>
      </c>
      <c r="G150" s="4">
        <v>7005.5275179999999</v>
      </c>
      <c r="H150" s="4">
        <f t="shared" si="34"/>
        <v>1100.000000169</v>
      </c>
      <c r="I150" s="4">
        <f t="shared" si="35"/>
        <v>1.100000000169</v>
      </c>
      <c r="J150" s="4">
        <f t="shared" si="35"/>
        <v>1.1000000001690001E-3</v>
      </c>
      <c r="K150" s="4">
        <f t="shared" si="36"/>
        <v>2.4250820003725808</v>
      </c>
      <c r="L150" s="3">
        <v>1.2E-2</v>
      </c>
      <c r="M150" s="3">
        <v>3.1</v>
      </c>
      <c r="N150" s="4">
        <f t="shared" si="37"/>
        <v>39.876163449959911</v>
      </c>
      <c r="O150" s="4">
        <f t="shared" si="28"/>
        <v>4.0720692802737393</v>
      </c>
      <c r="P150" s="4">
        <f t="shared" si="29"/>
        <v>18.556194612165676</v>
      </c>
      <c r="Q150" s="4">
        <f t="shared" si="33"/>
        <v>47.132734314900816</v>
      </c>
      <c r="R150" s="2">
        <f t="shared" si="30"/>
        <v>1847.0617522628568</v>
      </c>
      <c r="S150" s="2">
        <f t="shared" si="31"/>
        <v>4438.9852253373138</v>
      </c>
      <c r="T150" s="2">
        <f t="shared" si="32"/>
        <v>11763.310847143881</v>
      </c>
      <c r="U150" s="2">
        <f t="shared" si="40"/>
        <v>54.3</v>
      </c>
      <c r="V150" s="2">
        <f t="shared" si="41"/>
        <v>0.22500000000000001</v>
      </c>
      <c r="W150" s="2">
        <v>0</v>
      </c>
    </row>
    <row r="151" spans="1:28" x14ac:dyDescent="0.25">
      <c r="A151" s="2" t="s">
        <v>49</v>
      </c>
      <c r="B151" s="4" t="s">
        <v>50</v>
      </c>
      <c r="C151" s="4">
        <v>10</v>
      </c>
      <c r="D151" s="4">
        <v>1</v>
      </c>
      <c r="E151" s="4">
        <f t="shared" si="25"/>
        <v>10</v>
      </c>
      <c r="F151" s="4">
        <v>3076.18361</v>
      </c>
      <c r="G151" s="4">
        <v>8151.8865660000001</v>
      </c>
      <c r="H151" s="4">
        <f t="shared" si="34"/>
        <v>1280.0000001210001</v>
      </c>
      <c r="I151" s="4">
        <f t="shared" si="35"/>
        <v>1.2800000001210001</v>
      </c>
      <c r="J151" s="4">
        <f t="shared" si="35"/>
        <v>1.2800000001210001E-3</v>
      </c>
      <c r="K151" s="4">
        <f t="shared" si="36"/>
        <v>2.8219136002667589</v>
      </c>
      <c r="L151" s="3">
        <v>1.2E-2</v>
      </c>
      <c r="M151" s="3">
        <v>3.1</v>
      </c>
      <c r="N151" s="4">
        <f t="shared" si="37"/>
        <v>41.874029007707747</v>
      </c>
      <c r="O151" s="4">
        <f t="shared" si="28"/>
        <v>4.4714172570266442</v>
      </c>
      <c r="P151" s="4">
        <f t="shared" si="29"/>
        <v>19.124733112712899</v>
      </c>
      <c r="Q151" s="4">
        <f t="shared" si="33"/>
        <v>48.576822106290763</v>
      </c>
      <c r="R151" s="2">
        <f t="shared" si="30"/>
        <v>2028.203162915443</v>
      </c>
      <c r="S151" s="2">
        <f t="shared" si="31"/>
        <v>4874.3166616569169</v>
      </c>
      <c r="T151" s="2">
        <f t="shared" si="32"/>
        <v>12916.939153390829</v>
      </c>
      <c r="U151" s="2">
        <f t="shared" si="40"/>
        <v>54.3</v>
      </c>
      <c r="V151" s="2">
        <f t="shared" si="41"/>
        <v>0.22500000000000001</v>
      </c>
      <c r="W151" s="2">
        <v>0</v>
      </c>
    </row>
    <row r="152" spans="1:28" x14ac:dyDescent="0.25">
      <c r="A152" s="2" t="s">
        <v>51</v>
      </c>
      <c r="B152" s="4" t="s">
        <v>52</v>
      </c>
      <c r="C152" s="4">
        <v>1</v>
      </c>
      <c r="D152" s="4">
        <v>1</v>
      </c>
      <c r="E152" s="4">
        <f t="shared" si="25"/>
        <v>1</v>
      </c>
      <c r="F152" s="4">
        <v>476.02739730000002</v>
      </c>
      <c r="G152" s="4">
        <v>1261.4726029999999</v>
      </c>
      <c r="H152" s="4">
        <f t="shared" si="34"/>
        <v>198.07500001653005</v>
      </c>
      <c r="I152" s="4">
        <f t="shared" si="35"/>
        <v>0.19807500001653006</v>
      </c>
      <c r="J152" s="4">
        <f t="shared" si="35"/>
        <v>1.9807500001653005E-4</v>
      </c>
      <c r="K152" s="4">
        <f t="shared" si="36"/>
        <v>0.43668010653644246</v>
      </c>
      <c r="L152" s="3">
        <v>1.24E-2</v>
      </c>
      <c r="M152" s="3">
        <v>3.2</v>
      </c>
      <c r="N152" s="4">
        <f t="shared" si="37"/>
        <v>20.585669387454402</v>
      </c>
      <c r="O152" s="4">
        <f t="shared" si="28"/>
        <v>4.2411938413157834E-3</v>
      </c>
      <c r="P152" s="4">
        <f t="shared" si="29"/>
        <v>1.9044529608533411</v>
      </c>
      <c r="Q152" s="4">
        <f t="shared" si="33"/>
        <v>4.8373105205674864</v>
      </c>
      <c r="R152" s="2">
        <f t="shared" si="30"/>
        <v>1.923775453962943</v>
      </c>
      <c r="S152" s="2">
        <f t="shared" si="31"/>
        <v>4.6233488439388202</v>
      </c>
      <c r="T152" s="2">
        <f t="shared" si="32"/>
        <v>12.251874436437873</v>
      </c>
      <c r="U152" s="4">
        <f t="shared" ref="U152:U161" si="42">$Y$154</f>
        <v>20.9</v>
      </c>
      <c r="V152" s="4">
        <f t="shared" ref="V152:V161" si="43">$Y$155</f>
        <v>0.19500000000000001</v>
      </c>
      <c r="W152" s="4">
        <f t="shared" ref="W152:W161" si="44">$Y$156</f>
        <v>-0.35</v>
      </c>
      <c r="Y152" s="4" t="s">
        <v>600</v>
      </c>
      <c r="Z152" s="4" t="s">
        <v>601</v>
      </c>
      <c r="AA152" s="4" t="s">
        <v>602</v>
      </c>
    </row>
    <row r="153" spans="1:28" x14ac:dyDescent="0.25">
      <c r="A153" s="2" t="s">
        <v>51</v>
      </c>
      <c r="B153" s="4" t="s">
        <v>52</v>
      </c>
      <c r="C153" s="4">
        <v>2</v>
      </c>
      <c r="D153" s="4">
        <v>1</v>
      </c>
      <c r="E153" s="4">
        <f t="shared" si="25"/>
        <v>2</v>
      </c>
      <c r="F153" s="4">
        <v>1129.488104</v>
      </c>
      <c r="G153" s="4">
        <v>2993.143474</v>
      </c>
      <c r="H153" s="4">
        <f t="shared" si="34"/>
        <v>469.98000007439998</v>
      </c>
      <c r="I153" s="4">
        <f t="shared" si="35"/>
        <v>0.4699800000744</v>
      </c>
      <c r="J153" s="4">
        <f t="shared" si="35"/>
        <v>4.6998000007440001E-4</v>
      </c>
      <c r="K153" s="4">
        <f t="shared" si="36"/>
        <v>1.0361273077640236</v>
      </c>
      <c r="L153" s="3">
        <v>1.24E-2</v>
      </c>
      <c r="M153" s="3">
        <v>3.2</v>
      </c>
      <c r="N153" s="4">
        <f t="shared" si="37"/>
        <v>26.966869202838879</v>
      </c>
      <c r="O153" s="4">
        <f t="shared" si="28"/>
        <v>1.8640835784128396E-2</v>
      </c>
      <c r="P153" s="4">
        <f t="shared" si="29"/>
        <v>3.0248277144610802</v>
      </c>
      <c r="Q153" s="4">
        <f t="shared" si="33"/>
        <v>7.6830623947311434</v>
      </c>
      <c r="R153" s="2">
        <f t="shared" si="30"/>
        <v>8.4553509376347833</v>
      </c>
      <c r="S153" s="2">
        <f t="shared" si="31"/>
        <v>20.320478100540214</v>
      </c>
      <c r="T153" s="2">
        <f t="shared" si="32"/>
        <v>53.849266966431564</v>
      </c>
      <c r="U153" s="4">
        <f t="shared" si="42"/>
        <v>20.9</v>
      </c>
      <c r="V153" s="4">
        <f t="shared" si="43"/>
        <v>0.19500000000000001</v>
      </c>
      <c r="W153" s="4">
        <f t="shared" si="44"/>
        <v>-0.35</v>
      </c>
      <c r="X153" s="4" t="s">
        <v>422</v>
      </c>
      <c r="Y153" s="4">
        <v>20</v>
      </c>
      <c r="Z153" s="4">
        <v>18</v>
      </c>
      <c r="AA153" s="4">
        <v>18</v>
      </c>
    </row>
    <row r="154" spans="1:28" x14ac:dyDescent="0.25">
      <c r="A154" s="2" t="s">
        <v>51</v>
      </c>
      <c r="B154" s="4" t="s">
        <v>52</v>
      </c>
      <c r="C154" s="4">
        <v>3</v>
      </c>
      <c r="D154" s="4">
        <v>1</v>
      </c>
      <c r="E154" s="4">
        <f t="shared" si="25"/>
        <v>3</v>
      </c>
      <c r="F154" s="4">
        <v>1548.9065129999999</v>
      </c>
      <c r="G154" s="4">
        <v>4104.6022599999997</v>
      </c>
      <c r="H154" s="4">
        <f t="shared" si="34"/>
        <v>644.50000005929996</v>
      </c>
      <c r="I154" s="4">
        <f t="shared" si="35"/>
        <v>0.64450000005929997</v>
      </c>
      <c r="J154" s="4">
        <f t="shared" si="35"/>
        <v>6.445000000593E-4</v>
      </c>
      <c r="K154" s="4">
        <f t="shared" si="36"/>
        <v>1.4208775901307338</v>
      </c>
      <c r="L154" s="3">
        <v>1.24E-2</v>
      </c>
      <c r="M154" s="3">
        <v>3.2</v>
      </c>
      <c r="N154" s="4">
        <f t="shared" si="37"/>
        <v>29.763766337987356</v>
      </c>
      <c r="O154" s="4">
        <f t="shared" si="28"/>
        <v>4.366930968595243E-2</v>
      </c>
      <c r="P154" s="4">
        <f t="shared" si="29"/>
        <v>3.9467108917405</v>
      </c>
      <c r="Q154" s="4">
        <f t="shared" si="33"/>
        <v>10.02464566502087</v>
      </c>
      <c r="R154" s="2">
        <f t="shared" si="30"/>
        <v>19.808089233497125</v>
      </c>
      <c r="S154" s="2">
        <f t="shared" si="31"/>
        <v>47.604155812297819</v>
      </c>
      <c r="T154" s="2">
        <f t="shared" si="32"/>
        <v>126.15101290258922</v>
      </c>
      <c r="U154" s="4">
        <f t="shared" si="42"/>
        <v>20.9</v>
      </c>
      <c r="V154" s="4">
        <f t="shared" si="43"/>
        <v>0.19500000000000001</v>
      </c>
      <c r="W154" s="4">
        <f t="shared" si="44"/>
        <v>-0.35</v>
      </c>
      <c r="X154" s="4" t="s">
        <v>18</v>
      </c>
      <c r="Y154" s="4">
        <v>20.9</v>
      </c>
    </row>
    <row r="155" spans="1:28" x14ac:dyDescent="0.25">
      <c r="A155" s="2" t="s">
        <v>51</v>
      </c>
      <c r="B155" s="4" t="s">
        <v>52</v>
      </c>
      <c r="C155" s="4">
        <v>4</v>
      </c>
      <c r="D155" s="4">
        <v>1</v>
      </c>
      <c r="E155" s="4">
        <f t="shared" si="25"/>
        <v>4</v>
      </c>
      <c r="F155" s="4">
        <v>2095.4578219999999</v>
      </c>
      <c r="G155" s="4">
        <v>5552.9632300000003</v>
      </c>
      <c r="H155" s="4">
        <f t="shared" si="34"/>
        <v>871.91999973419991</v>
      </c>
      <c r="I155" s="4">
        <f t="shared" si="35"/>
        <v>0.87191999973419987</v>
      </c>
      <c r="J155" s="4">
        <f t="shared" si="35"/>
        <v>8.7191999973419991E-4</v>
      </c>
      <c r="K155" s="4">
        <f t="shared" si="36"/>
        <v>1.9222522698140116</v>
      </c>
      <c r="L155" s="3">
        <v>1.24E-2</v>
      </c>
      <c r="M155" s="3">
        <v>3.2</v>
      </c>
      <c r="N155" s="4">
        <f t="shared" si="37"/>
        <v>32.711817394436984</v>
      </c>
      <c r="O155" s="4">
        <f t="shared" si="28"/>
        <v>7.6646686250982088E-2</v>
      </c>
      <c r="P155" s="4">
        <f t="shared" si="29"/>
        <v>4.705268320684806</v>
      </c>
      <c r="Q155" s="4">
        <f t="shared" si="33"/>
        <v>11.951381534539408</v>
      </c>
      <c r="R155" s="2">
        <f t="shared" si="30"/>
        <v>34.766393415183607</v>
      </c>
      <c r="S155" s="2">
        <f t="shared" si="31"/>
        <v>83.552976244132694</v>
      </c>
      <c r="T155" s="2">
        <f t="shared" si="32"/>
        <v>221.41538704695162</v>
      </c>
      <c r="U155" s="4">
        <f t="shared" si="42"/>
        <v>20.9</v>
      </c>
      <c r="V155" s="4">
        <f t="shared" si="43"/>
        <v>0.19500000000000001</v>
      </c>
      <c r="W155" s="4">
        <f t="shared" si="44"/>
        <v>-0.35</v>
      </c>
      <c r="X155" s="4" t="s">
        <v>19</v>
      </c>
      <c r="Y155" s="4">
        <v>0.19500000000000001</v>
      </c>
    </row>
    <row r="156" spans="1:28" x14ac:dyDescent="0.25">
      <c r="A156" s="2" t="s">
        <v>51</v>
      </c>
      <c r="B156" s="4" t="s">
        <v>52</v>
      </c>
      <c r="C156" s="4">
        <v>5</v>
      </c>
      <c r="D156" s="4">
        <v>1</v>
      </c>
      <c r="E156" s="4">
        <f t="shared" si="25"/>
        <v>5</v>
      </c>
      <c r="F156" s="4">
        <v>2636.890171</v>
      </c>
      <c r="G156" s="4">
        <v>6987.7589529999996</v>
      </c>
      <c r="H156" s="4">
        <f t="shared" si="34"/>
        <v>1097.2100001530998</v>
      </c>
      <c r="I156" s="4">
        <f t="shared" si="35"/>
        <v>1.0972100001530998</v>
      </c>
      <c r="J156" s="4">
        <f t="shared" si="35"/>
        <v>1.0972100001530997E-3</v>
      </c>
      <c r="K156" s="4">
        <f t="shared" si="36"/>
        <v>2.4189311105375264</v>
      </c>
      <c r="L156" s="3">
        <v>1.24E-2</v>
      </c>
      <c r="M156" s="3">
        <v>3.2</v>
      </c>
      <c r="N156" s="4">
        <f t="shared" si="37"/>
        <v>35.147648337383011</v>
      </c>
      <c r="O156" s="4">
        <f t="shared" si="28"/>
        <v>0.11418347013324644</v>
      </c>
      <c r="P156" s="4">
        <f t="shared" si="29"/>
        <v>5.3294356633460485</v>
      </c>
      <c r="Q156" s="4">
        <f t="shared" si="33"/>
        <v>13.536766584898963</v>
      </c>
      <c r="R156" s="2">
        <f t="shared" si="30"/>
        <v>51.792812427196722</v>
      </c>
      <c r="S156" s="2">
        <f t="shared" si="31"/>
        <v>124.47203178850451</v>
      </c>
      <c r="T156" s="2">
        <f t="shared" si="32"/>
        <v>329.85088423953692</v>
      </c>
      <c r="U156" s="4">
        <f t="shared" si="42"/>
        <v>20.9</v>
      </c>
      <c r="V156" s="4">
        <f t="shared" si="43"/>
        <v>0.19500000000000001</v>
      </c>
      <c r="W156" s="4">
        <f t="shared" si="44"/>
        <v>-0.35</v>
      </c>
      <c r="X156" s="4" t="s">
        <v>477</v>
      </c>
      <c r="Y156" s="4">
        <v>-0.35</v>
      </c>
    </row>
    <row r="157" spans="1:28" x14ac:dyDescent="0.25">
      <c r="A157" s="2" t="s">
        <v>51</v>
      </c>
      <c r="B157" s="4" t="s">
        <v>52</v>
      </c>
      <c r="C157" s="4">
        <v>6</v>
      </c>
      <c r="D157" s="4">
        <v>1</v>
      </c>
      <c r="E157" s="4">
        <f t="shared" si="25"/>
        <v>6</v>
      </c>
      <c r="F157" s="4">
        <v>2919.850997</v>
      </c>
      <c r="G157" s="4">
        <v>7737.6051429999998</v>
      </c>
      <c r="H157" s="4">
        <f t="shared" si="34"/>
        <v>1214.9499998517001</v>
      </c>
      <c r="I157" s="4">
        <f t="shared" si="35"/>
        <v>1.2149499998517002</v>
      </c>
      <c r="J157" s="4">
        <f t="shared" si="35"/>
        <v>1.2149499998517002E-3</v>
      </c>
      <c r="K157" s="4">
        <f t="shared" si="36"/>
        <v>2.6785030686730549</v>
      </c>
      <c r="L157" s="3">
        <v>1.24E-2</v>
      </c>
      <c r="M157" s="3">
        <v>3.2</v>
      </c>
      <c r="N157" s="4">
        <f t="shared" si="37"/>
        <v>36.285258805695427</v>
      </c>
      <c r="O157" s="4">
        <f t="shared" si="28"/>
        <v>0.15327221520668291</v>
      </c>
      <c r="P157" s="4">
        <f t="shared" si="29"/>
        <v>5.8430221853144442</v>
      </c>
      <c r="Q157" s="4">
        <f t="shared" si="33"/>
        <v>14.841276350698688</v>
      </c>
      <c r="R157" s="2">
        <f t="shared" si="30"/>
        <v>69.523190031244795</v>
      </c>
      <c r="S157" s="2">
        <f t="shared" si="31"/>
        <v>167.08288880376062</v>
      </c>
      <c r="T157" s="2">
        <f t="shared" si="32"/>
        <v>442.76965532996564</v>
      </c>
      <c r="U157" s="4">
        <f t="shared" si="42"/>
        <v>20.9</v>
      </c>
      <c r="V157" s="4">
        <f t="shared" si="43"/>
        <v>0.19500000000000001</v>
      </c>
      <c r="W157" s="4">
        <f t="shared" si="44"/>
        <v>-0.35</v>
      </c>
      <c r="X157" s="4" t="s">
        <v>423</v>
      </c>
    </row>
    <row r="158" spans="1:28" x14ac:dyDescent="0.25">
      <c r="A158" s="2" t="s">
        <v>51</v>
      </c>
      <c r="B158" s="4" t="s">
        <v>52</v>
      </c>
      <c r="C158" s="4">
        <v>7</v>
      </c>
      <c r="D158" s="4">
        <v>1</v>
      </c>
      <c r="E158" s="4">
        <f t="shared" si="25"/>
        <v>7</v>
      </c>
      <c r="F158" s="4">
        <v>3445.5659700000001</v>
      </c>
      <c r="G158" s="4">
        <v>9130.7498190000006</v>
      </c>
      <c r="H158" s="4">
        <f t="shared" si="34"/>
        <v>1433.7000001169999</v>
      </c>
      <c r="I158" s="4">
        <f t="shared" si="35"/>
        <v>1.4337000001169999</v>
      </c>
      <c r="J158" s="4">
        <f t="shared" si="35"/>
        <v>1.4337000001169999E-3</v>
      </c>
      <c r="K158" s="4">
        <f t="shared" si="36"/>
        <v>3.1607636942579402</v>
      </c>
      <c r="L158" s="3">
        <v>1.24E-2</v>
      </c>
      <c r="M158" s="3">
        <v>3.2</v>
      </c>
      <c r="N158" s="4">
        <f t="shared" si="37"/>
        <v>38.211926836032923</v>
      </c>
      <c r="O158" s="4">
        <f t="shared" si="28"/>
        <v>0.19164966333316838</v>
      </c>
      <c r="P158" s="4">
        <f t="shared" si="29"/>
        <v>6.2656189755004892</v>
      </c>
      <c r="Q158" s="4">
        <f t="shared" si="33"/>
        <v>15.914672197771242</v>
      </c>
      <c r="R158" s="2">
        <f t="shared" si="30"/>
        <v>86.930928383652684</v>
      </c>
      <c r="S158" s="2">
        <f t="shared" si="31"/>
        <v>208.91835708640397</v>
      </c>
      <c r="T158" s="2">
        <f t="shared" si="32"/>
        <v>553.63364627897056</v>
      </c>
      <c r="U158" s="4">
        <f t="shared" si="42"/>
        <v>20.9</v>
      </c>
      <c r="V158" s="4">
        <f t="shared" si="43"/>
        <v>0.19500000000000001</v>
      </c>
      <c r="W158" s="4">
        <f t="shared" si="44"/>
        <v>-0.35</v>
      </c>
      <c r="X158" s="4" t="s">
        <v>434</v>
      </c>
      <c r="Y158" s="7" t="s">
        <v>603</v>
      </c>
      <c r="Z158" s="7" t="s">
        <v>604</v>
      </c>
      <c r="AA158" s="7" t="s">
        <v>605</v>
      </c>
    </row>
    <row r="159" spans="1:28" x14ac:dyDescent="0.25">
      <c r="A159" s="2" t="s">
        <v>51</v>
      </c>
      <c r="B159" s="4" t="s">
        <v>52</v>
      </c>
      <c r="C159" s="4">
        <v>8</v>
      </c>
      <c r="D159" s="4">
        <v>1</v>
      </c>
      <c r="E159" s="4">
        <f t="shared" si="25"/>
        <v>8</v>
      </c>
      <c r="F159" s="4">
        <v>3970.9204519999998</v>
      </c>
      <c r="G159" s="4">
        <v>10522.939200000001</v>
      </c>
      <c r="H159" s="4">
        <f t="shared" si="34"/>
        <v>1652.3000000771999</v>
      </c>
      <c r="I159" s="4">
        <f t="shared" si="35"/>
        <v>1.6523000000771999</v>
      </c>
      <c r="J159" s="4">
        <f t="shared" si="35"/>
        <v>1.6523000000772E-3</v>
      </c>
      <c r="K159" s="4">
        <f t="shared" si="36"/>
        <v>3.6426936261701961</v>
      </c>
      <c r="L159" s="3">
        <v>1.24E-2</v>
      </c>
      <c r="M159" s="3">
        <v>3.2</v>
      </c>
      <c r="N159" s="4">
        <f t="shared" si="37"/>
        <v>39.94463945663405</v>
      </c>
      <c r="O159" s="4">
        <f t="shared" si="28"/>
        <v>0.22780925292423412</v>
      </c>
      <c r="P159" s="4">
        <f t="shared" si="29"/>
        <v>6.613346260848795</v>
      </c>
      <c r="Q159" s="4">
        <f t="shared" si="33"/>
        <v>16.797899502555939</v>
      </c>
      <c r="R159" s="2">
        <f t="shared" si="30"/>
        <v>103.33266183026286</v>
      </c>
      <c r="S159" s="2">
        <f t="shared" si="31"/>
        <v>248.33612552334262</v>
      </c>
      <c r="T159" s="2">
        <f t="shared" si="32"/>
        <v>658.09073263685787</v>
      </c>
      <c r="U159" s="4">
        <f t="shared" si="42"/>
        <v>20.9</v>
      </c>
      <c r="V159" s="4">
        <f t="shared" si="43"/>
        <v>0.19500000000000001</v>
      </c>
      <c r="W159" s="4">
        <f t="shared" si="44"/>
        <v>-0.35</v>
      </c>
    </row>
    <row r="160" spans="1:28" x14ac:dyDescent="0.25">
      <c r="A160" s="2" t="s">
        <v>51</v>
      </c>
      <c r="B160" s="4" t="s">
        <v>52</v>
      </c>
      <c r="C160" s="4">
        <v>9</v>
      </c>
      <c r="D160" s="4">
        <v>1</v>
      </c>
      <c r="E160" s="4">
        <f t="shared" si="25"/>
        <v>9</v>
      </c>
      <c r="F160" s="4">
        <v>4109.5890410000002</v>
      </c>
      <c r="G160" s="4">
        <v>10890.410959999999</v>
      </c>
      <c r="H160" s="4">
        <f t="shared" si="34"/>
        <v>1709.9999999601</v>
      </c>
      <c r="I160" s="4">
        <f t="shared" si="35"/>
        <v>1.7099999999601001</v>
      </c>
      <c r="J160" s="4">
        <f t="shared" si="35"/>
        <v>1.7099999999601002E-3</v>
      </c>
      <c r="K160" s="4">
        <f t="shared" si="36"/>
        <v>3.7699001999120356</v>
      </c>
      <c r="L160" s="3">
        <v>1.24E-2</v>
      </c>
      <c r="M160" s="3">
        <v>3.2</v>
      </c>
      <c r="N160" s="4">
        <f t="shared" si="37"/>
        <v>40.375415800387913</v>
      </c>
      <c r="O160" s="4">
        <f t="shared" si="28"/>
        <v>0.26087551618474653</v>
      </c>
      <c r="P160" s="4">
        <f t="shared" si="29"/>
        <v>6.8994683227851157</v>
      </c>
      <c r="Q160" s="4">
        <f t="shared" si="33"/>
        <v>17.524649539874193</v>
      </c>
      <c r="R160" s="2">
        <f t="shared" si="30"/>
        <v>118.33128438676349</v>
      </c>
      <c r="S160" s="2">
        <f t="shared" si="31"/>
        <v>284.38184183312541</v>
      </c>
      <c r="T160" s="2">
        <f t="shared" si="32"/>
        <v>753.61188085778235</v>
      </c>
      <c r="U160" s="4">
        <f t="shared" si="42"/>
        <v>20.9</v>
      </c>
      <c r="V160" s="4">
        <f t="shared" si="43"/>
        <v>0.19500000000000001</v>
      </c>
      <c r="W160" s="4">
        <f t="shared" si="44"/>
        <v>-0.35</v>
      </c>
    </row>
    <row r="161" spans="1:25" x14ac:dyDescent="0.25">
      <c r="A161" s="2" t="s">
        <v>51</v>
      </c>
      <c r="B161" s="4" t="s">
        <v>52</v>
      </c>
      <c r="C161" s="4">
        <v>10</v>
      </c>
      <c r="D161" s="4">
        <v>1</v>
      </c>
      <c r="E161" s="4">
        <f t="shared" si="25"/>
        <v>10</v>
      </c>
      <c r="F161" s="4">
        <v>4373.9485699999996</v>
      </c>
      <c r="G161" s="4">
        <v>11590.96371</v>
      </c>
      <c r="H161" s="4">
        <f t="shared" si="34"/>
        <v>1819.9999999769998</v>
      </c>
      <c r="I161" s="4">
        <f t="shared" si="35"/>
        <v>1.8199999999769998</v>
      </c>
      <c r="J161" s="4">
        <f t="shared" si="35"/>
        <v>1.8199999999769997E-3</v>
      </c>
      <c r="K161" s="4">
        <f t="shared" si="36"/>
        <v>4.012408399949293</v>
      </c>
      <c r="L161" s="3">
        <v>1.24E-2</v>
      </c>
      <c r="M161" s="3">
        <v>3.2</v>
      </c>
      <c r="N161" s="4">
        <f t="shared" si="37"/>
        <v>41.169731262769922</v>
      </c>
      <c r="O161" s="4">
        <f t="shared" si="28"/>
        <v>0.29044537704626744</v>
      </c>
      <c r="P161" s="4">
        <f t="shared" si="29"/>
        <v>7.1348994717807708</v>
      </c>
      <c r="Q161" s="4">
        <f t="shared" si="33"/>
        <v>18.122644658323157</v>
      </c>
      <c r="R161" s="2">
        <f t="shared" si="30"/>
        <v>131.74396360654782</v>
      </c>
      <c r="S161" s="2">
        <f t="shared" si="31"/>
        <v>316.61611056608461</v>
      </c>
      <c r="T161" s="2">
        <f t="shared" si="32"/>
        <v>839.03269300012425</v>
      </c>
      <c r="U161" s="4">
        <f t="shared" si="42"/>
        <v>20.9</v>
      </c>
      <c r="V161" s="4">
        <f t="shared" si="43"/>
        <v>0.19500000000000001</v>
      </c>
      <c r="W161" s="4">
        <f t="shared" si="44"/>
        <v>-0.35</v>
      </c>
    </row>
    <row r="162" spans="1:25" x14ac:dyDescent="0.25">
      <c r="A162" s="4" t="s">
        <v>53</v>
      </c>
      <c r="B162" s="4" t="s">
        <v>54</v>
      </c>
      <c r="C162" s="4">
        <v>1</v>
      </c>
      <c r="D162" s="4">
        <v>2</v>
      </c>
      <c r="E162" s="4">
        <f t="shared" si="25"/>
        <v>2</v>
      </c>
      <c r="F162" s="4">
        <v>476.02739730000002</v>
      </c>
      <c r="G162" s="4">
        <v>1261.4726029999999</v>
      </c>
      <c r="H162" s="4">
        <v>198.07499999999999</v>
      </c>
      <c r="I162" s="4">
        <v>0.198075</v>
      </c>
      <c r="J162" s="4">
        <v>1.98075E-4</v>
      </c>
      <c r="K162" s="4">
        <v>0.43668010699999998</v>
      </c>
      <c r="L162" s="4">
        <v>1.2E-2</v>
      </c>
      <c r="M162" s="4">
        <v>2.95</v>
      </c>
      <c r="N162" s="4">
        <v>26.897463590000001</v>
      </c>
      <c r="O162" s="4">
        <f t="shared" si="28"/>
        <v>3.8588377440321391E-2</v>
      </c>
      <c r="P162" s="4">
        <f t="shared" si="29"/>
        <v>4.6525262861153562</v>
      </c>
      <c r="Q162" s="4">
        <f t="shared" si="33"/>
        <v>11.817416766733004</v>
      </c>
      <c r="R162" s="4">
        <f t="shared" si="30"/>
        <v>17.503414393555982</v>
      </c>
      <c r="S162" s="4">
        <f t="shared" si="31"/>
        <v>42.065403493285224</v>
      </c>
      <c r="T162" s="4">
        <f t="shared" si="32"/>
        <v>111.47331925720584</v>
      </c>
      <c r="U162" s="4">
        <v>41</v>
      </c>
      <c r="V162" s="4">
        <v>0.17</v>
      </c>
      <c r="W162" s="4">
        <v>0</v>
      </c>
      <c r="Y162" s="4" t="s">
        <v>606</v>
      </c>
    </row>
    <row r="163" spans="1:25" x14ac:dyDescent="0.25">
      <c r="A163" s="4" t="s">
        <v>53</v>
      </c>
      <c r="B163" s="4" t="s">
        <v>54</v>
      </c>
      <c r="C163" s="4">
        <v>2</v>
      </c>
      <c r="D163" s="4">
        <v>2</v>
      </c>
      <c r="E163" s="4">
        <f t="shared" si="25"/>
        <v>4</v>
      </c>
      <c r="F163" s="4">
        <v>1129.488104</v>
      </c>
      <c r="G163" s="4">
        <v>2993.143474</v>
      </c>
      <c r="H163" s="4">
        <v>469.98000009999998</v>
      </c>
      <c r="I163" s="4">
        <v>0.46998000000000001</v>
      </c>
      <c r="J163" s="4">
        <v>4.6998E-4</v>
      </c>
      <c r="K163" s="4">
        <v>1.036127308</v>
      </c>
      <c r="L163" s="4">
        <v>1.2E-2</v>
      </c>
      <c r="M163" s="4">
        <v>2.95</v>
      </c>
      <c r="N163" s="4">
        <v>36.05077627</v>
      </c>
      <c r="O163" s="4">
        <f t="shared" si="28"/>
        <v>0.18841727616725545</v>
      </c>
      <c r="P163" s="4">
        <f t="shared" si="29"/>
        <v>7.964056422445208</v>
      </c>
      <c r="Q163" s="4">
        <f t="shared" si="33"/>
        <v>20.228703313010829</v>
      </c>
      <c r="R163" s="4">
        <f t="shared" si="30"/>
        <v>85.464740484643812</v>
      </c>
      <c r="S163" s="4">
        <f t="shared" si="31"/>
        <v>205.39471397414999</v>
      </c>
      <c r="T163" s="4">
        <f t="shared" si="32"/>
        <v>544.29599203149746</v>
      </c>
      <c r="U163" s="4">
        <v>41</v>
      </c>
      <c r="V163" s="4">
        <v>0.17</v>
      </c>
      <c r="W163" s="4">
        <v>0</v>
      </c>
    </row>
    <row r="164" spans="1:25" x14ac:dyDescent="0.25">
      <c r="A164" s="4" t="s">
        <v>53</v>
      </c>
      <c r="B164" s="4" t="s">
        <v>54</v>
      </c>
      <c r="C164" s="4">
        <v>3</v>
      </c>
      <c r="D164" s="4">
        <v>2</v>
      </c>
      <c r="E164" s="4">
        <f t="shared" si="25"/>
        <v>6</v>
      </c>
      <c r="F164" s="4">
        <v>1548.9065129999999</v>
      </c>
      <c r="G164" s="4">
        <v>4104.6022599999997</v>
      </c>
      <c r="H164" s="4">
        <v>644.50000009999997</v>
      </c>
      <c r="I164" s="4">
        <v>0.64449999999999996</v>
      </c>
      <c r="J164" s="4">
        <v>6.445E-4</v>
      </c>
      <c r="K164" s="4">
        <v>1.4208775899999999</v>
      </c>
      <c r="L164" s="4">
        <v>1.2E-2</v>
      </c>
      <c r="M164" s="4">
        <v>2.95</v>
      </c>
      <c r="N164" s="4">
        <v>40.123975620000003</v>
      </c>
      <c r="O164" s="4">
        <f t="shared" si="28"/>
        <v>0.40482448204776578</v>
      </c>
      <c r="P164" s="4">
        <f t="shared" si="29"/>
        <v>10.321105296418812</v>
      </c>
      <c r="Q164" s="4">
        <f t="shared" si="33"/>
        <v>26.215607452903786</v>
      </c>
      <c r="R164" s="4">
        <f t="shared" si="30"/>
        <v>183.62551462282198</v>
      </c>
      <c r="S164" s="4">
        <f t="shared" si="31"/>
        <v>441.30140500558036</v>
      </c>
      <c r="T164" s="4">
        <f t="shared" si="32"/>
        <v>1169.448723264788</v>
      </c>
      <c r="U164" s="4">
        <v>41</v>
      </c>
      <c r="V164" s="4">
        <v>0.17</v>
      </c>
      <c r="W164" s="4">
        <v>0</v>
      </c>
    </row>
    <row r="165" spans="1:25" x14ac:dyDescent="0.25">
      <c r="A165" s="4" t="s">
        <v>53</v>
      </c>
      <c r="B165" s="4" t="s">
        <v>54</v>
      </c>
      <c r="C165" s="4">
        <v>4</v>
      </c>
      <c r="D165" s="4">
        <v>2</v>
      </c>
      <c r="E165" s="4">
        <f t="shared" si="25"/>
        <v>8</v>
      </c>
      <c r="F165" s="4">
        <v>2095.4578219999999</v>
      </c>
      <c r="G165" s="4">
        <v>5552.9632300000003</v>
      </c>
      <c r="H165" s="4">
        <v>871.91999969999995</v>
      </c>
      <c r="I165" s="4">
        <v>0.87192000000000003</v>
      </c>
      <c r="J165" s="4">
        <v>8.7191999999999999E-4</v>
      </c>
      <c r="K165" s="4">
        <v>1.92225227</v>
      </c>
      <c r="L165" s="4">
        <v>1.2E-2</v>
      </c>
      <c r="M165" s="4">
        <v>2.95</v>
      </c>
      <c r="N165" s="4">
        <v>44.45255659</v>
      </c>
      <c r="O165" s="4">
        <f t="shared" si="28"/>
        <v>0.63129036650426562</v>
      </c>
      <c r="P165" s="4">
        <f t="shared" si="29"/>
        <v>11.998782734214256</v>
      </c>
      <c r="Q165" s="4">
        <f t="shared" si="33"/>
        <v>30.476908144904211</v>
      </c>
      <c r="R165" s="4">
        <f t="shared" si="30"/>
        <v>286.34883404136116</v>
      </c>
      <c r="S165" s="4">
        <f t="shared" si="31"/>
        <v>688.17311713857521</v>
      </c>
      <c r="T165" s="4">
        <f t="shared" si="32"/>
        <v>1823.6587604172241</v>
      </c>
      <c r="U165" s="4">
        <v>41</v>
      </c>
      <c r="V165" s="4">
        <v>0.17</v>
      </c>
      <c r="W165" s="4">
        <v>0</v>
      </c>
    </row>
    <row r="166" spans="1:25" x14ac:dyDescent="0.25">
      <c r="A166" s="4" t="s">
        <v>53</v>
      </c>
      <c r="B166" s="4" t="s">
        <v>54</v>
      </c>
      <c r="C166" s="4">
        <v>5</v>
      </c>
      <c r="D166" s="4">
        <v>2</v>
      </c>
      <c r="E166" s="4">
        <f t="shared" si="25"/>
        <v>10</v>
      </c>
      <c r="F166" s="4">
        <v>2636.890171</v>
      </c>
      <c r="G166" s="4">
        <v>6987.7589529999996</v>
      </c>
      <c r="H166" s="4">
        <v>1097.21</v>
      </c>
      <c r="I166" s="4">
        <v>1.09721</v>
      </c>
      <c r="J166" s="4">
        <v>1.0972099999999999E-3</v>
      </c>
      <c r="K166" s="4">
        <v>2.418931111</v>
      </c>
      <c r="L166" s="4">
        <v>1.2E-2</v>
      </c>
      <c r="M166" s="4">
        <v>2.95</v>
      </c>
      <c r="N166" s="4">
        <v>48.054238410000004</v>
      </c>
      <c r="O166" s="4">
        <f t="shared" si="28"/>
        <v>0.83517717152534021</v>
      </c>
      <c r="P166" s="4">
        <f t="shared" si="29"/>
        <v>13.192903745605465</v>
      </c>
      <c r="Q166" s="4">
        <f t="shared" si="33"/>
        <v>33.50997551383788</v>
      </c>
      <c r="R166" s="4">
        <f t="shared" si="30"/>
        <v>378.83044312640737</v>
      </c>
      <c r="S166" s="4">
        <f t="shared" si="31"/>
        <v>910.43125000338216</v>
      </c>
      <c r="T166" s="4">
        <f t="shared" si="32"/>
        <v>2412.6428125089628</v>
      </c>
      <c r="U166" s="4">
        <v>41</v>
      </c>
      <c r="V166" s="4">
        <v>0.17</v>
      </c>
      <c r="W166" s="4">
        <v>0</v>
      </c>
    </row>
    <row r="167" spans="1:25" x14ac:dyDescent="0.25">
      <c r="A167" s="4" t="s">
        <v>53</v>
      </c>
      <c r="B167" s="4" t="s">
        <v>54</v>
      </c>
      <c r="C167" s="4">
        <v>6</v>
      </c>
      <c r="D167" s="4">
        <v>2</v>
      </c>
      <c r="E167" s="4">
        <f t="shared" si="25"/>
        <v>12</v>
      </c>
      <c r="F167" s="4">
        <v>2919.850997</v>
      </c>
      <c r="G167" s="4">
        <v>7737.6051429999998</v>
      </c>
      <c r="H167" s="4">
        <v>1214.95</v>
      </c>
      <c r="I167" s="4">
        <v>1.21495</v>
      </c>
      <c r="J167" s="4">
        <v>1.21495E-3</v>
      </c>
      <c r="K167" s="4">
        <v>2.678503069</v>
      </c>
      <c r="L167" s="4">
        <v>1.2E-2</v>
      </c>
      <c r="M167" s="4">
        <v>2.95</v>
      </c>
      <c r="N167" s="4">
        <v>49.743692510000002</v>
      </c>
      <c r="O167" s="4">
        <f t="shared" si="28"/>
        <v>1.0040766809778492</v>
      </c>
      <c r="P167" s="4">
        <f t="shared" si="29"/>
        <v>14.042843643300998</v>
      </c>
      <c r="Q167" s="4">
        <f t="shared" si="33"/>
        <v>35.668822853984537</v>
      </c>
      <c r="R167" s="4">
        <f t="shared" si="30"/>
        <v>455.44206302122319</v>
      </c>
      <c r="S167" s="4">
        <f t="shared" si="31"/>
        <v>1094.5495386234636</v>
      </c>
      <c r="T167" s="4">
        <f t="shared" si="32"/>
        <v>2900.5562773521783</v>
      </c>
      <c r="U167" s="4">
        <v>41</v>
      </c>
      <c r="V167" s="4">
        <v>0.17</v>
      </c>
      <c r="W167" s="4">
        <v>0</v>
      </c>
    </row>
    <row r="168" spans="1:25" x14ac:dyDescent="0.25">
      <c r="A168" s="4" t="s">
        <v>53</v>
      </c>
      <c r="B168" s="4" t="s">
        <v>54</v>
      </c>
      <c r="C168" s="4">
        <v>7</v>
      </c>
      <c r="D168" s="4">
        <v>2</v>
      </c>
      <c r="E168" s="4">
        <f t="shared" si="25"/>
        <v>14</v>
      </c>
      <c r="F168" s="4">
        <v>3445.5659700000001</v>
      </c>
      <c r="G168" s="4">
        <v>9130.7498190000006</v>
      </c>
      <c r="H168" s="4">
        <v>1433.7</v>
      </c>
      <c r="I168" s="4">
        <v>1.4337</v>
      </c>
      <c r="J168" s="4">
        <v>1.4337E-3</v>
      </c>
      <c r="K168" s="4">
        <v>3.1607636939999999</v>
      </c>
      <c r="L168" s="4">
        <v>1.2E-2</v>
      </c>
      <c r="M168" s="4">
        <v>2.95</v>
      </c>
      <c r="N168" s="4">
        <v>52.615155799999997</v>
      </c>
      <c r="O168" s="4">
        <f t="shared" si="28"/>
        <v>1.1371127539997286</v>
      </c>
      <c r="P168" s="4">
        <f t="shared" si="29"/>
        <v>14.647805638612571</v>
      </c>
      <c r="Q168" s="4">
        <f t="shared" si="33"/>
        <v>37.20542632207593</v>
      </c>
      <c r="R168" s="4">
        <f t="shared" si="30"/>
        <v>515.78628244310971</v>
      </c>
      <c r="S168" s="4">
        <f t="shared" si="31"/>
        <v>1239.5728970033879</v>
      </c>
      <c r="T168" s="4">
        <f t="shared" si="32"/>
        <v>3284.8681770589778</v>
      </c>
      <c r="U168" s="4">
        <v>41</v>
      </c>
      <c r="V168" s="4">
        <v>0.17</v>
      </c>
      <c r="W168" s="4">
        <v>0</v>
      </c>
    </row>
    <row r="169" spans="1:25" x14ac:dyDescent="0.25">
      <c r="A169" s="4" t="s">
        <v>53</v>
      </c>
      <c r="B169" s="4" t="s">
        <v>54</v>
      </c>
      <c r="C169" s="4">
        <v>8</v>
      </c>
      <c r="D169" s="4">
        <v>2</v>
      </c>
      <c r="E169" s="4">
        <f t="shared" si="25"/>
        <v>16</v>
      </c>
      <c r="F169" s="4">
        <v>3970.9204519999998</v>
      </c>
      <c r="G169" s="4">
        <v>10522.939200000001</v>
      </c>
      <c r="H169" s="4">
        <v>1652.3</v>
      </c>
      <c r="I169" s="4">
        <v>1.6523000000000001</v>
      </c>
      <c r="J169" s="4">
        <v>1.6523E-3</v>
      </c>
      <c r="K169" s="4">
        <v>3.6426936259999998</v>
      </c>
      <c r="L169" s="4">
        <v>1.2E-2</v>
      </c>
      <c r="M169" s="4">
        <v>2.95</v>
      </c>
      <c r="N169" s="4">
        <v>55.208073880000001</v>
      </c>
      <c r="O169" s="4">
        <f t="shared" si="28"/>
        <v>1.2385753690707848</v>
      </c>
      <c r="P169" s="4">
        <f t="shared" si="29"/>
        <v>15.078399633274598</v>
      </c>
      <c r="Q169" s="4">
        <f t="shared" si="33"/>
        <v>38.299135068517479</v>
      </c>
      <c r="R169" s="4">
        <f t="shared" si="30"/>
        <v>561.80900521213846</v>
      </c>
      <c r="S169" s="4">
        <f t="shared" si="31"/>
        <v>1350.1778543911041</v>
      </c>
      <c r="T169" s="4">
        <f t="shared" si="32"/>
        <v>3577.9713141364259</v>
      </c>
      <c r="U169" s="4">
        <v>41</v>
      </c>
      <c r="V169" s="4">
        <v>0.17</v>
      </c>
      <c r="W169" s="4">
        <v>0</v>
      </c>
    </row>
    <row r="170" spans="1:25" x14ac:dyDescent="0.25">
      <c r="A170" s="4" t="s">
        <v>53</v>
      </c>
      <c r="B170" s="4" t="s">
        <v>54</v>
      </c>
      <c r="C170" s="4">
        <v>9</v>
      </c>
      <c r="D170" s="4">
        <v>2</v>
      </c>
      <c r="E170" s="4">
        <f t="shared" si="25"/>
        <v>18</v>
      </c>
      <c r="F170" s="4">
        <v>4109.5890410000002</v>
      </c>
      <c r="G170" s="4">
        <v>10890.410959999999</v>
      </c>
      <c r="H170" s="4">
        <v>1710</v>
      </c>
      <c r="I170" s="4">
        <v>1.71</v>
      </c>
      <c r="J170" s="4">
        <v>1.7099999999999999E-3</v>
      </c>
      <c r="K170" s="4">
        <v>3.7699001999999999</v>
      </c>
      <c r="L170" s="4">
        <v>1.2E-2</v>
      </c>
      <c r="M170" s="4">
        <v>2.95</v>
      </c>
      <c r="N170" s="4">
        <v>55.854206490000003</v>
      </c>
      <c r="O170" s="4">
        <f t="shared" si="28"/>
        <v>1.3143238586178687</v>
      </c>
      <c r="P170" s="4">
        <f t="shared" si="29"/>
        <v>15.384883659834832</v>
      </c>
      <c r="Q170" s="4">
        <f t="shared" si="33"/>
        <v>39.077604495980474</v>
      </c>
      <c r="R170" s="4">
        <f t="shared" si="30"/>
        <v>596.16798297115542</v>
      </c>
      <c r="S170" s="4">
        <f t="shared" si="31"/>
        <v>1432.751701444738</v>
      </c>
      <c r="T170" s="4">
        <f t="shared" si="32"/>
        <v>3796.7920088285555</v>
      </c>
      <c r="U170" s="4">
        <v>41</v>
      </c>
      <c r="V170" s="4">
        <v>0.17</v>
      </c>
      <c r="W170" s="4">
        <v>0</v>
      </c>
    </row>
    <row r="171" spans="1:25" x14ac:dyDescent="0.25">
      <c r="A171" s="4" t="s">
        <v>53</v>
      </c>
      <c r="B171" s="4" t="s">
        <v>54</v>
      </c>
      <c r="C171" s="4">
        <v>10</v>
      </c>
      <c r="D171" s="4">
        <v>2</v>
      </c>
      <c r="E171" s="4">
        <f t="shared" si="25"/>
        <v>20</v>
      </c>
      <c r="F171" s="4">
        <v>4373.9485699999996</v>
      </c>
      <c r="G171" s="4">
        <v>11590.96371</v>
      </c>
      <c r="H171" s="4">
        <v>1820</v>
      </c>
      <c r="I171" s="4">
        <v>1.82</v>
      </c>
      <c r="J171" s="4">
        <v>1.82E-3</v>
      </c>
      <c r="K171" s="4">
        <v>4.0124084</v>
      </c>
      <c r="L171" s="4">
        <v>1.2E-2</v>
      </c>
      <c r="M171" s="4">
        <v>2.95</v>
      </c>
      <c r="N171" s="4">
        <v>57.0471492</v>
      </c>
      <c r="O171" s="4">
        <f t="shared" si="28"/>
        <v>1.3700639142901681</v>
      </c>
      <c r="P171" s="4">
        <f t="shared" si="29"/>
        <v>15.603029894341192</v>
      </c>
      <c r="Q171" s="4">
        <f t="shared" si="33"/>
        <v>39.631695931626631</v>
      </c>
      <c r="R171" s="4">
        <f t="shared" si="30"/>
        <v>621.45127699565819</v>
      </c>
      <c r="S171" s="4">
        <f t="shared" si="31"/>
        <v>1493.5142441616397</v>
      </c>
      <c r="T171" s="4">
        <f t="shared" si="32"/>
        <v>3957.8127470283448</v>
      </c>
      <c r="U171" s="4">
        <v>41</v>
      </c>
      <c r="V171" s="4">
        <v>0.17</v>
      </c>
      <c r="W171" s="4">
        <v>0</v>
      </c>
    </row>
    <row r="172" spans="1:25" x14ac:dyDescent="0.25">
      <c r="A172" s="4" t="s">
        <v>55</v>
      </c>
      <c r="B172" s="4" t="s">
        <v>56</v>
      </c>
      <c r="C172" s="4">
        <v>1</v>
      </c>
      <c r="D172" s="4">
        <v>1</v>
      </c>
      <c r="E172" s="4">
        <f t="shared" si="25"/>
        <v>1</v>
      </c>
      <c r="F172" s="4">
        <v>32.684450849999998</v>
      </c>
      <c r="G172" s="4">
        <v>86.613794760000005</v>
      </c>
      <c r="H172" s="4">
        <v>13.6</v>
      </c>
      <c r="I172" s="4">
        <v>1.3599999999999999E-2</v>
      </c>
      <c r="J172" s="4">
        <v>1.36E-5</v>
      </c>
      <c r="K172" s="4">
        <v>2.9982832000000001E-2</v>
      </c>
      <c r="L172" s="4">
        <v>1.2999999999999999E-2</v>
      </c>
      <c r="M172" s="4">
        <v>3</v>
      </c>
      <c r="N172" s="4">
        <v>10.15153817</v>
      </c>
      <c r="O172" s="4">
        <f t="shared" si="28"/>
        <v>5.8918280589254329E-2</v>
      </c>
      <c r="P172" s="4">
        <f t="shared" si="29"/>
        <v>5.00599724669864</v>
      </c>
      <c r="Q172" s="4">
        <f t="shared" si="33"/>
        <v>12.715233006614545</v>
      </c>
      <c r="R172" s="4">
        <f t="shared" si="30"/>
        <v>26.724914311425248</v>
      </c>
      <c r="S172" s="4">
        <f t="shared" si="31"/>
        <v>64.227143262257258</v>
      </c>
      <c r="T172" s="4">
        <f t="shared" si="32"/>
        <v>170.20192964498173</v>
      </c>
      <c r="U172" s="4">
        <v>152</v>
      </c>
      <c r="V172" s="4">
        <v>9.6000000000000002E-2</v>
      </c>
      <c r="W172" s="4">
        <v>0.09</v>
      </c>
      <c r="Y172" s="4" t="s">
        <v>607</v>
      </c>
    </row>
    <row r="173" spans="1:25" x14ac:dyDescent="0.25">
      <c r="A173" s="4" t="s">
        <v>55</v>
      </c>
      <c r="B173" s="4" t="s">
        <v>56</v>
      </c>
      <c r="C173" s="4">
        <v>2</v>
      </c>
      <c r="D173" s="4">
        <v>1</v>
      </c>
      <c r="E173" s="4">
        <f t="shared" si="25"/>
        <v>2</v>
      </c>
      <c r="F173" s="4">
        <v>155.0108147</v>
      </c>
      <c r="G173" s="4">
        <v>410.778659</v>
      </c>
      <c r="H173" s="4">
        <v>64.5</v>
      </c>
      <c r="I173" s="4">
        <v>6.4500000000000002E-2</v>
      </c>
      <c r="J173" s="4">
        <v>6.4499999999999996E-5</v>
      </c>
      <c r="K173" s="4">
        <v>0.14219799</v>
      </c>
      <c r="L173" s="4">
        <v>1.2999999999999999E-2</v>
      </c>
      <c r="M173" s="4">
        <v>3</v>
      </c>
      <c r="N173" s="4">
        <v>17.055801020000001</v>
      </c>
      <c r="O173" s="4">
        <f t="shared" si="28"/>
        <v>0.47325800148199632</v>
      </c>
      <c r="P173" s="4">
        <f t="shared" si="29"/>
        <v>10.02551228346263</v>
      </c>
      <c r="Q173" s="4">
        <f t="shared" si="33"/>
        <v>25.464801199995083</v>
      </c>
      <c r="R173" s="4">
        <f t="shared" si="30"/>
        <v>214.66647380591499</v>
      </c>
      <c r="S173" s="4">
        <f t="shared" si="31"/>
        <v>515.90116271548902</v>
      </c>
      <c r="T173" s="4">
        <f t="shared" si="32"/>
        <v>1367.138081196046</v>
      </c>
      <c r="U173" s="4">
        <v>152</v>
      </c>
      <c r="V173" s="4">
        <v>9.6000000000000002E-2</v>
      </c>
      <c r="W173" s="4">
        <v>0.09</v>
      </c>
    </row>
    <row r="174" spans="1:25" x14ac:dyDescent="0.25">
      <c r="A174" s="4" t="s">
        <v>55</v>
      </c>
      <c r="B174" s="4" t="s">
        <v>56</v>
      </c>
      <c r="C174" s="4">
        <v>3</v>
      </c>
      <c r="D174" s="4">
        <v>1</v>
      </c>
      <c r="E174" s="4">
        <f t="shared" si="25"/>
        <v>3</v>
      </c>
      <c r="F174" s="4">
        <v>455.65969719999998</v>
      </c>
      <c r="G174" s="4">
        <v>1207.498198</v>
      </c>
      <c r="H174" s="4">
        <v>189.6</v>
      </c>
      <c r="I174" s="4">
        <v>0.18959999999999999</v>
      </c>
      <c r="J174" s="4">
        <v>1.896E-4</v>
      </c>
      <c r="K174" s="4">
        <v>0.417995952</v>
      </c>
      <c r="L174" s="4">
        <v>1.2999999999999999E-2</v>
      </c>
      <c r="M174" s="4">
        <v>3</v>
      </c>
      <c r="N174" s="4">
        <v>24.432336070000002</v>
      </c>
      <c r="O174" s="4">
        <f t="shared" si="28"/>
        <v>1.4572956392570955</v>
      </c>
      <c r="P174" s="4">
        <f t="shared" si="29"/>
        <v>14.585561072478503</v>
      </c>
      <c r="Q174" s="4">
        <f t="shared" si="33"/>
        <v>37.047325124095401</v>
      </c>
      <c r="R174" s="4">
        <f t="shared" si="30"/>
        <v>661.0189689184964</v>
      </c>
      <c r="S174" s="4">
        <f t="shared" si="31"/>
        <v>1588.6060296046535</v>
      </c>
      <c r="T174" s="4">
        <f t="shared" si="32"/>
        <v>4209.8059784523311</v>
      </c>
      <c r="U174" s="4">
        <v>152</v>
      </c>
      <c r="V174" s="4">
        <v>9.6000000000000002E-2</v>
      </c>
      <c r="W174" s="4">
        <v>0.09</v>
      </c>
    </row>
    <row r="175" spans="1:25" x14ac:dyDescent="0.25">
      <c r="A175" s="4" t="s">
        <v>55</v>
      </c>
      <c r="B175" s="4" t="s">
        <v>56</v>
      </c>
      <c r="C175" s="4">
        <v>4</v>
      </c>
      <c r="D175" s="4">
        <v>1</v>
      </c>
      <c r="E175" s="4">
        <f t="shared" si="25"/>
        <v>4</v>
      </c>
      <c r="F175" s="4">
        <v>1113.4342710000001</v>
      </c>
      <c r="G175" s="4">
        <v>2950.600817</v>
      </c>
      <c r="H175" s="4">
        <v>463.3000002</v>
      </c>
      <c r="I175" s="4">
        <v>0.46329999999999999</v>
      </c>
      <c r="J175" s="4">
        <v>4.6329999999999999E-4</v>
      </c>
      <c r="K175" s="4">
        <v>1.0214004459999999</v>
      </c>
      <c r="L175" s="4">
        <v>1.2999999999999999E-2</v>
      </c>
      <c r="M175" s="4">
        <v>3</v>
      </c>
      <c r="N175" s="4">
        <v>32.908365789999998</v>
      </c>
      <c r="O175" s="4">
        <f t="shared" si="28"/>
        <v>3.085080153406305</v>
      </c>
      <c r="P175" s="4">
        <f t="shared" si="29"/>
        <v>18.728201308817106</v>
      </c>
      <c r="Q175" s="4">
        <f t="shared" si="33"/>
        <v>47.569631324395452</v>
      </c>
      <c r="R175" s="4">
        <f t="shared" si="30"/>
        <v>1399.3704826257156</v>
      </c>
      <c r="S175" s="4">
        <f t="shared" si="31"/>
        <v>3363.0629238781917</v>
      </c>
      <c r="T175" s="4">
        <f t="shared" si="32"/>
        <v>8912.1167482772071</v>
      </c>
      <c r="U175" s="4">
        <v>152</v>
      </c>
      <c r="V175" s="4">
        <v>9.6000000000000002E-2</v>
      </c>
      <c r="W175" s="4">
        <v>0.09</v>
      </c>
    </row>
    <row r="176" spans="1:25" x14ac:dyDescent="0.25">
      <c r="A176" s="4" t="s">
        <v>55</v>
      </c>
      <c r="B176" s="4" t="s">
        <v>56</v>
      </c>
      <c r="C176" s="4">
        <v>5</v>
      </c>
      <c r="D176" s="4">
        <v>1</v>
      </c>
      <c r="E176" s="4">
        <f t="shared" si="25"/>
        <v>5</v>
      </c>
      <c r="F176" s="4">
        <v>2142.0331649999998</v>
      </c>
      <c r="G176" s="4">
        <v>5676.3878869999999</v>
      </c>
      <c r="H176" s="4">
        <v>891.3</v>
      </c>
      <c r="I176" s="4">
        <v>0.89129999999999998</v>
      </c>
      <c r="J176" s="4">
        <v>8.9130000000000003E-4</v>
      </c>
      <c r="K176" s="4">
        <v>1.964977806</v>
      </c>
      <c r="L176" s="4">
        <v>1.2999999999999999E-2</v>
      </c>
      <c r="M176" s="4">
        <v>3</v>
      </c>
      <c r="N176" s="4">
        <v>40.928596409999997</v>
      </c>
      <c r="O176" s="4">
        <f t="shared" si="28"/>
        <v>5.3436950694669401</v>
      </c>
      <c r="P176" s="4">
        <f t="shared" si="29"/>
        <v>22.491640895049091</v>
      </c>
      <c r="Q176" s="4">
        <f t="shared" si="33"/>
        <v>57.128767873424692</v>
      </c>
      <c r="R176" s="4">
        <f t="shared" si="30"/>
        <v>2423.8621936963923</v>
      </c>
      <c r="S176" s="4">
        <f t="shared" si="31"/>
        <v>5825.1915253458119</v>
      </c>
      <c r="T176" s="4">
        <f t="shared" si="32"/>
        <v>15436.757542166401</v>
      </c>
      <c r="U176" s="4">
        <v>152</v>
      </c>
      <c r="V176" s="4">
        <v>9.6000000000000002E-2</v>
      </c>
      <c r="W176" s="4">
        <v>0.09</v>
      </c>
    </row>
    <row r="177" spans="1:25" x14ac:dyDescent="0.25">
      <c r="A177" s="4" t="s">
        <v>55</v>
      </c>
      <c r="B177" s="4" t="s">
        <v>56</v>
      </c>
      <c r="C177" s="4">
        <v>6</v>
      </c>
      <c r="D177" s="4">
        <v>1</v>
      </c>
      <c r="E177" s="4">
        <f t="shared" si="25"/>
        <v>6</v>
      </c>
      <c r="F177" s="4">
        <v>4036.7700070000001</v>
      </c>
      <c r="G177" s="4">
        <v>10697.44052</v>
      </c>
      <c r="H177" s="4">
        <v>1679.7</v>
      </c>
      <c r="I177" s="4">
        <v>1.6797</v>
      </c>
      <c r="J177" s="4">
        <v>1.6796999999999999E-3</v>
      </c>
      <c r="K177" s="4">
        <v>3.703100214</v>
      </c>
      <c r="L177" s="4">
        <v>1.2999999999999999E-2</v>
      </c>
      <c r="M177" s="4">
        <v>3</v>
      </c>
      <c r="N177" s="4">
        <v>50.554845790000002</v>
      </c>
      <c r="O177" s="4">
        <f t="shared" si="28"/>
        <v>8.169776368743193</v>
      </c>
      <c r="P177" s="4">
        <f t="shared" si="29"/>
        <v>25.91059033578934</v>
      </c>
      <c r="Q177" s="4">
        <f t="shared" si="33"/>
        <v>65.812899452904929</v>
      </c>
      <c r="R177" s="4">
        <f t="shared" si="30"/>
        <v>3705.7526325367608</v>
      </c>
      <c r="S177" s="4">
        <f t="shared" si="31"/>
        <v>8905.9183670674374</v>
      </c>
      <c r="T177" s="4">
        <f t="shared" si="32"/>
        <v>23600.683672728708</v>
      </c>
      <c r="U177" s="4">
        <v>152</v>
      </c>
      <c r="V177" s="4">
        <v>9.6000000000000002E-2</v>
      </c>
      <c r="W177" s="4">
        <v>0.09</v>
      </c>
    </row>
    <row r="178" spans="1:25" x14ac:dyDescent="0.25">
      <c r="A178" s="4" t="s">
        <v>55</v>
      </c>
      <c r="B178" s="4" t="s">
        <v>56</v>
      </c>
      <c r="C178" s="4">
        <v>7</v>
      </c>
      <c r="D178" s="4">
        <v>1</v>
      </c>
      <c r="E178" s="4">
        <f t="shared" si="25"/>
        <v>7</v>
      </c>
      <c r="F178" s="4">
        <v>6590.9637110000003</v>
      </c>
      <c r="G178" s="4">
        <v>17466.053830000001</v>
      </c>
      <c r="H178" s="4">
        <v>2742.5</v>
      </c>
      <c r="I178" s="4">
        <v>2.7425000000000002</v>
      </c>
      <c r="J178" s="4">
        <v>2.7425000000000001E-3</v>
      </c>
      <c r="K178" s="4">
        <v>6.0461703499999997</v>
      </c>
      <c r="L178" s="4">
        <v>1.2999999999999999E-2</v>
      </c>
      <c r="M178" s="4">
        <v>3</v>
      </c>
      <c r="N178" s="4">
        <v>59.529800620000003</v>
      </c>
      <c r="O178" s="4">
        <f t="shared" si="28"/>
        <v>11.474058109118864</v>
      </c>
      <c r="P178" s="4">
        <f t="shared" si="29"/>
        <v>29.016582875460092</v>
      </c>
      <c r="Q178" s="4">
        <f t="shared" si="33"/>
        <v>73.702120503668638</v>
      </c>
      <c r="R178" s="4">
        <f t="shared" si="30"/>
        <v>5204.55140074882</v>
      </c>
      <c r="S178" s="4">
        <f t="shared" si="31"/>
        <v>12507.934152244219</v>
      </c>
      <c r="T178" s="4">
        <f t="shared" si="32"/>
        <v>33146.025503447177</v>
      </c>
      <c r="U178" s="4">
        <v>152</v>
      </c>
      <c r="V178" s="4">
        <v>9.6000000000000002E-2</v>
      </c>
      <c r="W178" s="4">
        <v>0.09</v>
      </c>
    </row>
    <row r="179" spans="1:25" x14ac:dyDescent="0.25">
      <c r="A179" s="4" t="s">
        <v>55</v>
      </c>
      <c r="B179" s="4" t="s">
        <v>56</v>
      </c>
      <c r="C179" s="4">
        <v>8</v>
      </c>
      <c r="D179" s="4">
        <v>1</v>
      </c>
      <c r="E179" s="4">
        <f t="shared" si="25"/>
        <v>8</v>
      </c>
      <c r="F179" s="4">
        <v>10846.19082</v>
      </c>
      <c r="G179" s="4">
        <v>28742.40567</v>
      </c>
      <c r="H179" s="4">
        <v>4513.1000000000004</v>
      </c>
      <c r="I179" s="4">
        <v>4.5130999999999997</v>
      </c>
      <c r="J179" s="4">
        <v>4.5130999999999999E-3</v>
      </c>
      <c r="K179" s="4">
        <v>9.9496705219999999</v>
      </c>
      <c r="L179" s="4">
        <v>1.2999999999999999E-2</v>
      </c>
      <c r="M179" s="4">
        <v>3</v>
      </c>
      <c r="N179" s="4">
        <v>70.281960589999997</v>
      </c>
      <c r="O179" s="4">
        <f t="shared" si="28"/>
        <v>15.157460260179651</v>
      </c>
      <c r="P179" s="4">
        <f t="shared" si="29"/>
        <v>31.838265331928827</v>
      </c>
      <c r="Q179" s="4">
        <f t="shared" si="33"/>
        <v>80.869193943099219</v>
      </c>
      <c r="R179" s="4">
        <f t="shared" si="30"/>
        <v>6875.3164990699761</v>
      </c>
      <c r="S179" s="4">
        <f t="shared" si="31"/>
        <v>16523.23119218932</v>
      </c>
      <c r="T179" s="4">
        <f t="shared" si="32"/>
        <v>43786.562659301693</v>
      </c>
      <c r="U179" s="4">
        <v>152</v>
      </c>
      <c r="V179" s="4">
        <v>9.6000000000000002E-2</v>
      </c>
      <c r="W179" s="4">
        <v>0.09</v>
      </c>
    </row>
    <row r="180" spans="1:25" x14ac:dyDescent="0.25">
      <c r="A180" s="4" t="s">
        <v>55</v>
      </c>
      <c r="B180" s="4" t="s">
        <v>56</v>
      </c>
      <c r="C180" s="4">
        <v>9</v>
      </c>
      <c r="D180" s="4">
        <v>1</v>
      </c>
      <c r="E180" s="4">
        <f t="shared" si="25"/>
        <v>9</v>
      </c>
      <c r="F180" s="4">
        <v>18022.110069999999</v>
      </c>
      <c r="G180" s="4">
        <v>47758.591679999998</v>
      </c>
      <c r="H180" s="4">
        <v>7499</v>
      </c>
      <c r="I180" s="4">
        <v>7.4989999999999997</v>
      </c>
      <c r="J180" s="4">
        <v>7.4989999999999996E-3</v>
      </c>
      <c r="K180" s="4">
        <v>16.532445379999999</v>
      </c>
      <c r="L180" s="4">
        <v>1.2999999999999999E-2</v>
      </c>
      <c r="M180" s="4">
        <v>3</v>
      </c>
      <c r="N180" s="4">
        <v>83.244075370000004</v>
      </c>
      <c r="O180" s="4">
        <f t="shared" si="28"/>
        <v>19.12126104006353</v>
      </c>
      <c r="P180" s="4">
        <f t="shared" si="29"/>
        <v>34.401662308403012</v>
      </c>
      <c r="Q180" s="4">
        <f t="shared" si="33"/>
        <v>87.380222263343654</v>
      </c>
      <c r="R180" s="4">
        <f t="shared" si="30"/>
        <v>8673.2684272407623</v>
      </c>
      <c r="S180" s="4">
        <f t="shared" si="31"/>
        <v>20844.192326942473</v>
      </c>
      <c r="T180" s="4">
        <f t="shared" si="32"/>
        <v>55237.109666397555</v>
      </c>
      <c r="U180" s="4">
        <v>152</v>
      </c>
      <c r="V180" s="4">
        <v>9.6000000000000002E-2</v>
      </c>
      <c r="W180" s="4">
        <v>0.09</v>
      </c>
    </row>
    <row r="181" spans="1:25" x14ac:dyDescent="0.25">
      <c r="A181" s="4" t="s">
        <v>55</v>
      </c>
      <c r="B181" s="4" t="s">
        <v>56</v>
      </c>
      <c r="C181" s="4">
        <v>10</v>
      </c>
      <c r="D181" s="4">
        <v>1</v>
      </c>
      <c r="E181" s="4">
        <f t="shared" ref="E181:E244" si="45">C181*D181</f>
        <v>10</v>
      </c>
      <c r="F181" s="4">
        <v>27537.010340000001</v>
      </c>
      <c r="G181" s="4">
        <v>72973.077390000006</v>
      </c>
      <c r="H181" s="4">
        <v>11458.15</v>
      </c>
      <c r="I181" s="4">
        <v>11.45815</v>
      </c>
      <c r="J181" s="4">
        <v>1.145815E-2</v>
      </c>
      <c r="K181" s="4">
        <v>25.260866660000001</v>
      </c>
      <c r="L181" s="4">
        <v>1.2999999999999999E-2</v>
      </c>
      <c r="M181" s="4">
        <v>3</v>
      </c>
      <c r="N181" s="4">
        <v>95.879048850000004</v>
      </c>
      <c r="O181" s="4">
        <f t="shared" si="28"/>
        <v>23.273183523538354</v>
      </c>
      <c r="P181" s="4">
        <f t="shared" si="29"/>
        <v>36.730416220429134</v>
      </c>
      <c r="Q181" s="4">
        <f t="shared" si="33"/>
        <v>93.295257199890003</v>
      </c>
      <c r="R181" s="4">
        <f t="shared" si="30"/>
        <v>10556.551026271354</v>
      </c>
      <c r="S181" s="4">
        <f t="shared" si="31"/>
        <v>25370.225970370957</v>
      </c>
      <c r="T181" s="4">
        <f t="shared" si="32"/>
        <v>67231.098821483029</v>
      </c>
      <c r="U181" s="4">
        <v>152</v>
      </c>
      <c r="V181" s="4">
        <v>9.6000000000000002E-2</v>
      </c>
      <c r="W181" s="4">
        <v>0.09</v>
      </c>
    </row>
    <row r="182" spans="1:25" x14ac:dyDescent="0.25">
      <c r="A182" s="4" t="s">
        <v>57</v>
      </c>
      <c r="B182" s="4" t="s">
        <v>58</v>
      </c>
      <c r="C182" s="4">
        <v>1</v>
      </c>
      <c r="D182" s="4">
        <v>2</v>
      </c>
      <c r="E182" s="4">
        <f t="shared" si="45"/>
        <v>2</v>
      </c>
      <c r="F182" s="4">
        <v>290.55515500000001</v>
      </c>
      <c r="G182" s="4">
        <v>769.97116089999997</v>
      </c>
      <c r="H182" s="4">
        <v>120.9</v>
      </c>
      <c r="I182" s="4">
        <v>0.12089999999999999</v>
      </c>
      <c r="J182" s="4">
        <v>1.209E-4</v>
      </c>
      <c r="K182" s="4">
        <v>0.26653855799999998</v>
      </c>
      <c r="L182" s="4">
        <v>4.0000000000000001E-3</v>
      </c>
      <c r="M182" s="4">
        <v>3.1</v>
      </c>
      <c r="N182" s="4">
        <v>21.719413710000001</v>
      </c>
      <c r="O182" s="4">
        <f t="shared" si="28"/>
        <v>0.82530599124171045</v>
      </c>
      <c r="P182" s="4">
        <f t="shared" si="29"/>
        <v>15.804692329076595</v>
      </c>
      <c r="Q182" s="4">
        <f t="shared" si="33"/>
        <v>40.143918515854551</v>
      </c>
      <c r="R182" s="4">
        <f t="shared" si="30"/>
        <v>374.35294574199202</v>
      </c>
      <c r="S182" s="4">
        <f t="shared" si="31"/>
        <v>899.67062182646498</v>
      </c>
      <c r="T182" s="4">
        <f t="shared" si="32"/>
        <v>2384.1271478401322</v>
      </c>
      <c r="U182" s="4">
        <v>72.900000000000006</v>
      </c>
      <c r="V182" s="4">
        <v>0.4</v>
      </c>
      <c r="W182" s="4">
        <v>0</v>
      </c>
      <c r="Y182" s="4" t="s">
        <v>608</v>
      </c>
    </row>
    <row r="183" spans="1:25" x14ac:dyDescent="0.25">
      <c r="A183" s="4" t="s">
        <v>57</v>
      </c>
      <c r="B183" s="4" t="s">
        <v>58</v>
      </c>
      <c r="C183" s="4">
        <v>2</v>
      </c>
      <c r="D183" s="4">
        <v>2</v>
      </c>
      <c r="E183" s="4">
        <f t="shared" si="45"/>
        <v>4</v>
      </c>
      <c r="F183" s="4">
        <v>1987.02235</v>
      </c>
      <c r="G183" s="4">
        <v>5265.6092280000003</v>
      </c>
      <c r="H183" s="4">
        <v>826.79999980000002</v>
      </c>
      <c r="I183" s="4">
        <v>0.82679999999999998</v>
      </c>
      <c r="J183" s="4">
        <v>8.2680000000000004E-4</v>
      </c>
      <c r="K183" s="4">
        <v>1.8227798159999999</v>
      </c>
      <c r="L183" s="4">
        <v>4.0000000000000001E-3</v>
      </c>
      <c r="M183" s="4">
        <v>3.1</v>
      </c>
      <c r="N183" s="4">
        <v>41.2261539</v>
      </c>
      <c r="O183" s="4">
        <f t="shared" si="28"/>
        <v>2.6075497870551114</v>
      </c>
      <c r="P183" s="4">
        <f t="shared" si="29"/>
        <v>22.906198361491981</v>
      </c>
      <c r="Q183" s="4">
        <f t="shared" si="33"/>
        <v>58.181743838189632</v>
      </c>
      <c r="R183" s="4">
        <f t="shared" si="30"/>
        <v>1182.7660944086108</v>
      </c>
      <c r="S183" s="4">
        <f t="shared" si="31"/>
        <v>2842.5044326090137</v>
      </c>
      <c r="T183" s="4">
        <f t="shared" si="32"/>
        <v>7532.6367464138866</v>
      </c>
      <c r="U183" s="4">
        <v>72.900000000000006</v>
      </c>
      <c r="V183" s="4">
        <v>0.4</v>
      </c>
      <c r="W183" s="4">
        <v>0</v>
      </c>
    </row>
    <row r="184" spans="1:25" x14ac:dyDescent="0.25">
      <c r="A184" s="4" t="s">
        <v>57</v>
      </c>
      <c r="B184" s="4" t="s">
        <v>58</v>
      </c>
      <c r="C184" s="4">
        <v>3</v>
      </c>
      <c r="D184" s="4">
        <v>2</v>
      </c>
      <c r="E184" s="4">
        <f t="shared" si="45"/>
        <v>6</v>
      </c>
      <c r="F184" s="4">
        <v>3981.7351600000002</v>
      </c>
      <c r="G184" s="4">
        <v>10551.598169999999</v>
      </c>
      <c r="H184" s="4">
        <v>1656.8</v>
      </c>
      <c r="I184" s="4">
        <v>1.6568000000000001</v>
      </c>
      <c r="J184" s="4">
        <v>1.6567999999999999E-3</v>
      </c>
      <c r="K184" s="4">
        <v>3.652614416</v>
      </c>
      <c r="L184" s="4">
        <v>4.0000000000000001E-3</v>
      </c>
      <c r="M184" s="4">
        <v>3.1</v>
      </c>
      <c r="N184" s="4">
        <v>51.975182889999999</v>
      </c>
      <c r="O184" s="4">
        <f t="shared" si="28"/>
        <v>3.9067424584819719</v>
      </c>
      <c r="P184" s="4">
        <f t="shared" si="29"/>
        <v>26.097110710709384</v>
      </c>
      <c r="Q184" s="4">
        <f t="shared" si="33"/>
        <v>66.286661205201838</v>
      </c>
      <c r="R184" s="4">
        <f t="shared" si="30"/>
        <v>1772.0706781585814</v>
      </c>
      <c r="S184" s="4">
        <f t="shared" si="31"/>
        <v>4258.7615432794546</v>
      </c>
      <c r="T184" s="4">
        <f t="shared" si="32"/>
        <v>11285.718089690554</v>
      </c>
      <c r="U184" s="4">
        <v>72.900000000000006</v>
      </c>
      <c r="V184" s="4">
        <v>0.4</v>
      </c>
      <c r="W184" s="4">
        <v>0</v>
      </c>
    </row>
    <row r="185" spans="1:25" x14ac:dyDescent="0.25">
      <c r="A185" s="4" t="s">
        <v>57</v>
      </c>
      <c r="B185" s="4" t="s">
        <v>58</v>
      </c>
      <c r="C185" s="4">
        <v>4</v>
      </c>
      <c r="D185" s="4">
        <v>2</v>
      </c>
      <c r="E185" s="4">
        <f t="shared" si="45"/>
        <v>8</v>
      </c>
      <c r="F185" s="4">
        <v>5681.3266039999999</v>
      </c>
      <c r="G185" s="4">
        <v>15055.5155</v>
      </c>
      <c r="H185" s="4">
        <v>2364</v>
      </c>
      <c r="I185" s="4">
        <v>2.3639999999999999</v>
      </c>
      <c r="J185" s="4">
        <v>2.3640000000000002E-3</v>
      </c>
      <c r="K185" s="4">
        <v>5.2117216800000001</v>
      </c>
      <c r="L185" s="4">
        <v>4.0000000000000001E-3</v>
      </c>
      <c r="M185" s="4">
        <v>3.1</v>
      </c>
      <c r="N185" s="4">
        <v>58.513375859999996</v>
      </c>
      <c r="O185" s="4">
        <f t="shared" si="28"/>
        <v>4.6112699590305661</v>
      </c>
      <c r="P185" s="4">
        <f t="shared" si="29"/>
        <v>27.530880051172087</v>
      </c>
      <c r="Q185" s="4">
        <f t="shared" si="33"/>
        <v>69.928435329977106</v>
      </c>
      <c r="R185" s="4">
        <f t="shared" si="30"/>
        <v>2091.6393569098377</v>
      </c>
      <c r="S185" s="4">
        <f t="shared" si="31"/>
        <v>5026.7708649599563</v>
      </c>
      <c r="T185" s="4">
        <f t="shared" si="32"/>
        <v>13320.942792143884</v>
      </c>
      <c r="U185" s="4">
        <v>72.900000000000006</v>
      </c>
      <c r="V185" s="4">
        <v>0.4</v>
      </c>
      <c r="W185" s="4">
        <v>0</v>
      </c>
    </row>
    <row r="186" spans="1:25" x14ac:dyDescent="0.25">
      <c r="A186" s="4" t="s">
        <v>57</v>
      </c>
      <c r="B186" s="4" t="s">
        <v>58</v>
      </c>
      <c r="C186" s="4">
        <v>5</v>
      </c>
      <c r="D186" s="4">
        <v>2</v>
      </c>
      <c r="E186" s="4">
        <f t="shared" si="45"/>
        <v>10</v>
      </c>
      <c r="F186" s="4">
        <v>6717.4957940000004</v>
      </c>
      <c r="G186" s="4">
        <v>17801.363850000002</v>
      </c>
      <c r="H186" s="4">
        <v>2795.15</v>
      </c>
      <c r="I186" s="4">
        <v>2.79515</v>
      </c>
      <c r="J186" s="4">
        <v>2.7951500000000002E-3</v>
      </c>
      <c r="K186" s="4">
        <v>6.1622435930000004</v>
      </c>
      <c r="L186" s="4">
        <v>4.0000000000000001E-3</v>
      </c>
      <c r="M186" s="4">
        <v>3.1</v>
      </c>
      <c r="N186" s="4">
        <v>61.873930319999999</v>
      </c>
      <c r="O186" s="4">
        <f t="shared" si="28"/>
        <v>4.9540670098420607</v>
      </c>
      <c r="P186" s="4">
        <f t="shared" si="29"/>
        <v>28.17511414370523</v>
      </c>
      <c r="Q186" s="4">
        <f t="shared" si="33"/>
        <v>71.564789925011283</v>
      </c>
      <c r="R186" s="4">
        <f t="shared" si="30"/>
        <v>2247.12966853338</v>
      </c>
      <c r="S186" s="4">
        <f t="shared" si="31"/>
        <v>5400.4558244012987</v>
      </c>
      <c r="T186" s="4">
        <f t="shared" si="32"/>
        <v>14311.207934663442</v>
      </c>
      <c r="U186" s="4">
        <v>72.900000000000006</v>
      </c>
      <c r="V186" s="4">
        <v>0.4</v>
      </c>
      <c r="W186" s="4">
        <v>0</v>
      </c>
    </row>
    <row r="187" spans="1:25" x14ac:dyDescent="0.25">
      <c r="A187" s="4" t="s">
        <v>57</v>
      </c>
      <c r="B187" s="4" t="s">
        <v>58</v>
      </c>
      <c r="C187" s="4">
        <v>6</v>
      </c>
      <c r="D187" s="4">
        <v>2</v>
      </c>
      <c r="E187" s="4">
        <f t="shared" si="45"/>
        <v>12</v>
      </c>
      <c r="F187" s="4">
        <v>7278.5388130000001</v>
      </c>
      <c r="G187" s="4">
        <v>19288.127850000001</v>
      </c>
      <c r="H187" s="4">
        <v>3028.6</v>
      </c>
      <c r="I187" s="4">
        <v>3.0286</v>
      </c>
      <c r="J187" s="4">
        <v>3.0286000000000002E-3</v>
      </c>
      <c r="K187" s="4">
        <v>6.676912132</v>
      </c>
      <c r="L187" s="4">
        <v>4.0000000000000001E-3</v>
      </c>
      <c r="M187" s="4">
        <v>3.1</v>
      </c>
      <c r="N187" s="4">
        <v>63.550646100000002</v>
      </c>
      <c r="O187" s="4">
        <f t="shared" si="28"/>
        <v>5.1135606788957313</v>
      </c>
      <c r="P187" s="4">
        <f t="shared" si="29"/>
        <v>28.464587181152147</v>
      </c>
      <c r="Q187" s="4">
        <f t="shared" si="33"/>
        <v>72.300051440126452</v>
      </c>
      <c r="R187" s="4">
        <f t="shared" si="30"/>
        <v>2319.4748659159995</v>
      </c>
      <c r="S187" s="4">
        <f t="shared" si="31"/>
        <v>5574.320754424416</v>
      </c>
      <c r="T187" s="4">
        <f t="shared" si="32"/>
        <v>14771.949999224702</v>
      </c>
      <c r="U187" s="4">
        <v>72.900000000000006</v>
      </c>
      <c r="V187" s="4">
        <v>0.4</v>
      </c>
      <c r="W187" s="4">
        <v>0</v>
      </c>
    </row>
    <row r="188" spans="1:25" x14ac:dyDescent="0.25">
      <c r="A188" s="4" t="s">
        <v>57</v>
      </c>
      <c r="B188" s="4" t="s">
        <v>58</v>
      </c>
      <c r="C188" s="4">
        <v>7</v>
      </c>
      <c r="D188" s="4">
        <v>2</v>
      </c>
      <c r="E188" s="4">
        <f t="shared" si="45"/>
        <v>14</v>
      </c>
      <c r="F188" s="4">
        <v>7769.8870479999996</v>
      </c>
      <c r="G188" s="4">
        <v>20590.200680000002</v>
      </c>
      <c r="H188" s="4">
        <v>3233.0500010000001</v>
      </c>
      <c r="I188" s="4">
        <v>3.2330500010000001</v>
      </c>
      <c r="J188" s="4">
        <v>3.2330499999999999E-3</v>
      </c>
      <c r="K188" s="4">
        <v>7.1276466919999999</v>
      </c>
      <c r="L188" s="4">
        <v>4.0000000000000001E-3</v>
      </c>
      <c r="M188" s="4">
        <v>3.1</v>
      </c>
      <c r="N188" s="4">
        <v>64.949648440000004</v>
      </c>
      <c r="O188" s="4">
        <f t="shared" si="28"/>
        <v>5.1863445200664673</v>
      </c>
      <c r="P188" s="4">
        <f t="shared" si="29"/>
        <v>28.594655801208031</v>
      </c>
      <c r="Q188" s="4">
        <f t="shared" si="33"/>
        <v>72.6304257350684</v>
      </c>
      <c r="R188" s="4">
        <f t="shared" si="30"/>
        <v>2352.4891001925353</v>
      </c>
      <c r="S188" s="4">
        <f t="shared" si="31"/>
        <v>5653.6628218998685</v>
      </c>
      <c r="T188" s="4">
        <f t="shared" si="32"/>
        <v>14982.206478034652</v>
      </c>
      <c r="U188" s="4">
        <v>72.900000000000006</v>
      </c>
      <c r="V188" s="4">
        <v>0.4</v>
      </c>
      <c r="W188" s="4">
        <v>0</v>
      </c>
    </row>
    <row r="189" spans="1:25" x14ac:dyDescent="0.25">
      <c r="A189" s="4" t="s">
        <v>57</v>
      </c>
      <c r="B189" s="4" t="s">
        <v>58</v>
      </c>
      <c r="C189" s="4">
        <v>8</v>
      </c>
      <c r="D189" s="4">
        <v>2</v>
      </c>
      <c r="E189" s="4">
        <f t="shared" si="45"/>
        <v>16</v>
      </c>
      <c r="F189" s="4">
        <v>8090.60322</v>
      </c>
      <c r="G189" s="4">
        <v>21440.098529999999</v>
      </c>
      <c r="H189" s="4">
        <v>3366.5</v>
      </c>
      <c r="I189" s="4">
        <v>3.3664999999999998</v>
      </c>
      <c r="J189" s="4">
        <v>3.3665000000000001E-3</v>
      </c>
      <c r="K189" s="4">
        <v>7.42185323</v>
      </c>
      <c r="L189" s="4">
        <v>4.0000000000000001E-3</v>
      </c>
      <c r="M189" s="4">
        <v>3.1</v>
      </c>
      <c r="N189" s="4">
        <v>65.831265509999994</v>
      </c>
      <c r="O189" s="4">
        <f t="shared" si="28"/>
        <v>5.2192756664873734</v>
      </c>
      <c r="P189" s="4">
        <f t="shared" si="29"/>
        <v>28.653099399521899</v>
      </c>
      <c r="Q189" s="4">
        <f t="shared" si="33"/>
        <v>72.778872474785629</v>
      </c>
      <c r="R189" s="4">
        <f t="shared" si="30"/>
        <v>2367.426434708645</v>
      </c>
      <c r="S189" s="4">
        <f t="shared" si="31"/>
        <v>5689.5612465961185</v>
      </c>
      <c r="T189" s="4">
        <f t="shared" si="32"/>
        <v>15077.337303479713</v>
      </c>
      <c r="U189" s="4">
        <v>72.900000000000006</v>
      </c>
      <c r="V189" s="4">
        <v>0.4</v>
      </c>
      <c r="W189" s="4">
        <v>0</v>
      </c>
    </row>
    <row r="190" spans="1:25" x14ac:dyDescent="0.25">
      <c r="A190" s="4" t="s">
        <v>57</v>
      </c>
      <c r="B190" s="4" t="s">
        <v>58</v>
      </c>
      <c r="C190" s="4">
        <v>9</v>
      </c>
      <c r="D190" s="4">
        <v>2</v>
      </c>
      <c r="E190" s="4">
        <f t="shared" si="45"/>
        <v>18</v>
      </c>
      <c r="F190" s="4">
        <v>8291.2761339999997</v>
      </c>
      <c r="G190" s="4">
        <v>21971.88176</v>
      </c>
      <c r="H190" s="4">
        <v>3449.9999990000001</v>
      </c>
      <c r="I190" s="4">
        <v>3.4499999990000001</v>
      </c>
      <c r="J190" s="4">
        <v>3.4499999999999999E-3</v>
      </c>
      <c r="K190" s="4">
        <v>7.6059389990000001</v>
      </c>
      <c r="L190" s="4">
        <v>4.0000000000000001E-3</v>
      </c>
      <c r="M190" s="4">
        <v>3.1</v>
      </c>
      <c r="N190" s="4">
        <v>66.371102100000002</v>
      </c>
      <c r="O190" s="4">
        <f t="shared" si="28"/>
        <v>5.2341185935672314</v>
      </c>
      <c r="P190" s="4">
        <f t="shared" si="29"/>
        <v>28.67935980101155</v>
      </c>
      <c r="Q190" s="4">
        <f t="shared" si="33"/>
        <v>72.845573894569341</v>
      </c>
      <c r="R190" s="4">
        <f t="shared" si="30"/>
        <v>2374.1590811873389</v>
      </c>
      <c r="S190" s="4">
        <f t="shared" si="31"/>
        <v>5705.7416034302787</v>
      </c>
      <c r="T190" s="4">
        <f t="shared" si="32"/>
        <v>15120.215249090237</v>
      </c>
      <c r="U190" s="4">
        <v>72.900000000000006</v>
      </c>
      <c r="V190" s="4">
        <v>0.4</v>
      </c>
      <c r="W190" s="4">
        <v>0</v>
      </c>
    </row>
    <row r="191" spans="1:25" x14ac:dyDescent="0.25">
      <c r="A191" s="4" t="s">
        <v>57</v>
      </c>
      <c r="B191" s="4" t="s">
        <v>58</v>
      </c>
      <c r="C191" s="4">
        <v>10</v>
      </c>
      <c r="D191" s="4">
        <v>2</v>
      </c>
      <c r="E191" s="4">
        <f t="shared" si="45"/>
        <v>20</v>
      </c>
      <c r="F191" s="4">
        <v>8651.7664029999996</v>
      </c>
      <c r="G191" s="4">
        <v>22927.180970000001</v>
      </c>
      <c r="H191" s="4">
        <v>3600</v>
      </c>
      <c r="I191" s="4">
        <v>3.6</v>
      </c>
      <c r="J191" s="4">
        <v>3.5999999999999999E-3</v>
      </c>
      <c r="K191" s="4">
        <v>7.9366320010000004</v>
      </c>
      <c r="L191" s="4">
        <v>4.0000000000000001E-3</v>
      </c>
      <c r="M191" s="4">
        <v>3.1</v>
      </c>
      <c r="N191" s="4">
        <v>67.319388829999994</v>
      </c>
      <c r="O191" s="4">
        <f t="shared" si="28"/>
        <v>5.2407972511841665</v>
      </c>
      <c r="P191" s="4">
        <f t="shared" si="29"/>
        <v>28.691159360010204</v>
      </c>
      <c r="Q191" s="4">
        <f t="shared" si="33"/>
        <v>72.875544774425919</v>
      </c>
      <c r="R191" s="4">
        <f t="shared" si="30"/>
        <v>2377.1884729269291</v>
      </c>
      <c r="S191" s="4">
        <f t="shared" si="31"/>
        <v>5713.0220450058378</v>
      </c>
      <c r="T191" s="4">
        <f t="shared" si="32"/>
        <v>15139.50841926547</v>
      </c>
      <c r="U191" s="4">
        <v>72.900000000000006</v>
      </c>
      <c r="V191" s="4">
        <v>0.4</v>
      </c>
      <c r="W191" s="4">
        <v>0</v>
      </c>
    </row>
    <row r="192" spans="1:25" x14ac:dyDescent="0.25">
      <c r="A192" s="4" t="s">
        <v>59</v>
      </c>
      <c r="B192" s="4" t="s">
        <v>60</v>
      </c>
      <c r="C192" s="4">
        <v>1</v>
      </c>
      <c r="D192" s="4">
        <v>2</v>
      </c>
      <c r="E192" s="4">
        <f t="shared" si="45"/>
        <v>2</v>
      </c>
      <c r="F192" s="4">
        <v>476.02739730000002</v>
      </c>
      <c r="G192" s="4">
        <v>1261.4726029999999</v>
      </c>
      <c r="H192" s="4">
        <v>198.07499999999999</v>
      </c>
      <c r="I192" s="4">
        <v>0.198075</v>
      </c>
      <c r="J192" s="4">
        <v>1.98075E-4</v>
      </c>
      <c r="K192" s="4">
        <v>0.43668010699999998</v>
      </c>
      <c r="L192" s="4">
        <v>1.6799999999999999E-2</v>
      </c>
      <c r="M192" s="4">
        <v>3.1</v>
      </c>
      <c r="N192" s="4">
        <v>20.577550299999999</v>
      </c>
      <c r="O192" s="4">
        <f t="shared" si="28"/>
        <v>1.4079247080738808</v>
      </c>
      <c r="P192" s="4">
        <f t="shared" si="29"/>
        <v>11.818575229523548</v>
      </c>
      <c r="Q192" s="4">
        <f t="shared" si="33"/>
        <v>30.01918108298981</v>
      </c>
      <c r="R192" s="4">
        <f t="shared" si="30"/>
        <v>638.62466460155531</v>
      </c>
      <c r="S192" s="4">
        <f t="shared" si="31"/>
        <v>1534.7865046901115</v>
      </c>
      <c r="T192" s="4">
        <f t="shared" si="32"/>
        <v>4067.1842374287953</v>
      </c>
      <c r="U192" s="4">
        <v>263.2</v>
      </c>
      <c r="V192" s="4">
        <v>7.0000000000000007E-2</v>
      </c>
      <c r="W192" s="4">
        <v>0.27</v>
      </c>
      <c r="Y192" s="4" t="s">
        <v>609</v>
      </c>
    </row>
    <row r="193" spans="1:25" x14ac:dyDescent="0.25">
      <c r="A193" s="4" t="s">
        <v>59</v>
      </c>
      <c r="B193" s="4" t="s">
        <v>60</v>
      </c>
      <c r="C193" s="4">
        <v>2</v>
      </c>
      <c r="D193" s="4">
        <v>2</v>
      </c>
      <c r="E193" s="4">
        <f t="shared" si="45"/>
        <v>4</v>
      </c>
      <c r="F193" s="4">
        <v>1129.488104</v>
      </c>
      <c r="G193" s="4">
        <v>2993.143474</v>
      </c>
      <c r="H193" s="4">
        <v>469.98000009999998</v>
      </c>
      <c r="I193" s="4">
        <v>0.46998000000000001</v>
      </c>
      <c r="J193" s="4">
        <v>4.6998E-4</v>
      </c>
      <c r="K193" s="4">
        <v>1.036127308</v>
      </c>
      <c r="L193" s="4">
        <v>1.6799999999999999E-2</v>
      </c>
      <c r="M193" s="4">
        <v>3.1</v>
      </c>
      <c r="N193" s="4">
        <v>27.19205101</v>
      </c>
      <c r="O193" s="4">
        <f t="shared" si="28"/>
        <v>12.350698548657491</v>
      </c>
      <c r="P193" s="4">
        <f t="shared" si="29"/>
        <v>23.811942810023442</v>
      </c>
      <c r="Q193" s="4">
        <f t="shared" si="33"/>
        <v>60.482334737459546</v>
      </c>
      <c r="R193" s="4">
        <f t="shared" si="30"/>
        <v>5602.1892882480834</v>
      </c>
      <c r="S193" s="4">
        <f t="shared" si="31"/>
        <v>13463.564739841586</v>
      </c>
      <c r="T193" s="4">
        <f t="shared" si="32"/>
        <v>35678.446560580203</v>
      </c>
      <c r="U193" s="4">
        <v>263.2</v>
      </c>
      <c r="V193" s="4">
        <v>7.0000000000000007E-2</v>
      </c>
      <c r="W193" s="4">
        <v>0.27</v>
      </c>
    </row>
    <row r="194" spans="1:25" x14ac:dyDescent="0.25">
      <c r="A194" s="4" t="s">
        <v>59</v>
      </c>
      <c r="B194" s="4" t="s">
        <v>60</v>
      </c>
      <c r="C194" s="4">
        <v>3</v>
      </c>
      <c r="D194" s="4">
        <v>2</v>
      </c>
      <c r="E194" s="4">
        <f t="shared" si="45"/>
        <v>6</v>
      </c>
      <c r="F194" s="4">
        <v>1548.9065129999999</v>
      </c>
      <c r="G194" s="4">
        <v>4104.6022599999997</v>
      </c>
      <c r="H194" s="4">
        <v>644.50000009999997</v>
      </c>
      <c r="I194" s="4">
        <v>0.64449999999999996</v>
      </c>
      <c r="J194" s="4">
        <v>6.445E-4</v>
      </c>
      <c r="K194" s="4">
        <v>1.4208775899999999</v>
      </c>
      <c r="L194" s="4">
        <v>1.6799999999999999E-2</v>
      </c>
      <c r="M194" s="4">
        <v>3.1</v>
      </c>
      <c r="N194" s="4">
        <v>30.1079939</v>
      </c>
      <c r="O194" s="4">
        <f t="shared" ref="O194:O257" si="46">R194*0.00220462</f>
        <v>38.073451818461308</v>
      </c>
      <c r="P194" s="4">
        <f t="shared" ref="P194:P257" si="47">Q194/2.54</f>
        <v>34.238475686296084</v>
      </c>
      <c r="Q194" s="4">
        <f t="shared" si="33"/>
        <v>86.965728243192046</v>
      </c>
      <c r="R194" s="4">
        <f t="shared" ref="R194:R257" si="48">L194*(Q194^M194)</f>
        <v>17269.847782593512</v>
      </c>
      <c r="S194" s="4">
        <f t="shared" ref="S194:S257" si="49">R194/20/5.7/3.65*1000</f>
        <v>41504.080227333594</v>
      </c>
      <c r="T194" s="4">
        <f t="shared" ref="T194:T257" si="50">S194*2.65</f>
        <v>109985.81260243402</v>
      </c>
      <c r="U194" s="4">
        <v>263.2</v>
      </c>
      <c r="V194" s="4">
        <v>7.0000000000000007E-2</v>
      </c>
      <c r="W194" s="4">
        <v>0.27</v>
      </c>
    </row>
    <row r="195" spans="1:25" x14ac:dyDescent="0.25">
      <c r="A195" s="4" t="s">
        <v>59</v>
      </c>
      <c r="B195" s="4" t="s">
        <v>60</v>
      </c>
      <c r="C195" s="4">
        <v>4</v>
      </c>
      <c r="D195" s="4">
        <v>2</v>
      </c>
      <c r="E195" s="4">
        <f t="shared" si="45"/>
        <v>8</v>
      </c>
      <c r="F195" s="4">
        <v>2095.4578219999999</v>
      </c>
      <c r="G195" s="4">
        <v>5552.9632300000003</v>
      </c>
      <c r="H195" s="4">
        <v>871.91999969999995</v>
      </c>
      <c r="I195" s="4">
        <v>0.87192000000000003</v>
      </c>
      <c r="J195" s="4">
        <v>8.7191999999999999E-4</v>
      </c>
      <c r="K195" s="4">
        <v>1.92225227</v>
      </c>
      <c r="L195" s="4">
        <v>1.6799999999999999E-2</v>
      </c>
      <c r="M195" s="4">
        <v>3.1</v>
      </c>
      <c r="N195" s="4">
        <v>33.191106310000002</v>
      </c>
      <c r="O195" s="4">
        <f t="shared" si="46"/>
        <v>78.854992162426996</v>
      </c>
      <c r="P195" s="4">
        <f t="shared" si="47"/>
        <v>43.302867908940087</v>
      </c>
      <c r="Q195" s="4">
        <f t="shared" ref="Q195:Q258" si="51">U195*(1-EXP(-V195*(E195-W195)))</f>
        <v>109.98928448870782</v>
      </c>
      <c r="R195" s="4">
        <f t="shared" si="48"/>
        <v>35768.065318479828</v>
      </c>
      <c r="S195" s="4">
        <f t="shared" si="49"/>
        <v>85960.262721653038</v>
      </c>
      <c r="T195" s="4">
        <f t="shared" si="50"/>
        <v>227794.69621238054</v>
      </c>
      <c r="U195" s="4">
        <v>263.2</v>
      </c>
      <c r="V195" s="4">
        <v>7.0000000000000007E-2</v>
      </c>
      <c r="W195" s="4">
        <v>0.27</v>
      </c>
    </row>
    <row r="196" spans="1:25" x14ac:dyDescent="0.25">
      <c r="A196" s="4" t="s">
        <v>59</v>
      </c>
      <c r="B196" s="4" t="s">
        <v>60</v>
      </c>
      <c r="C196" s="4">
        <v>5</v>
      </c>
      <c r="D196" s="4">
        <v>2</v>
      </c>
      <c r="E196" s="4">
        <f t="shared" si="45"/>
        <v>10</v>
      </c>
      <c r="F196" s="4">
        <v>2636.890171</v>
      </c>
      <c r="G196" s="4">
        <v>6987.7589529999996</v>
      </c>
      <c r="H196" s="4">
        <v>1097.21</v>
      </c>
      <c r="I196" s="4">
        <v>1.09721</v>
      </c>
      <c r="J196" s="4">
        <v>1.0972099999999999E-3</v>
      </c>
      <c r="K196" s="4">
        <v>2.418931111</v>
      </c>
      <c r="L196" s="4">
        <v>1.6799999999999999E-2</v>
      </c>
      <c r="M196" s="4">
        <v>3.1</v>
      </c>
      <c r="N196" s="4">
        <v>35.745346249999997</v>
      </c>
      <c r="O196" s="4">
        <f t="shared" si="46"/>
        <v>132.40952428635586</v>
      </c>
      <c r="P196" s="4">
        <f t="shared" si="47"/>
        <v>51.183071936580546</v>
      </c>
      <c r="Q196" s="4">
        <f t="shared" si="51"/>
        <v>130.0050027189146</v>
      </c>
      <c r="R196" s="4">
        <f t="shared" si="48"/>
        <v>60060.021358037149</v>
      </c>
      <c r="S196" s="4">
        <f t="shared" si="49"/>
        <v>144340.3541409208</v>
      </c>
      <c r="T196" s="4">
        <f t="shared" si="50"/>
        <v>382501.93847344012</v>
      </c>
      <c r="U196" s="4">
        <v>263.2</v>
      </c>
      <c r="V196" s="4">
        <v>7.0000000000000007E-2</v>
      </c>
      <c r="W196" s="4">
        <v>0.27</v>
      </c>
    </row>
    <row r="197" spans="1:25" x14ac:dyDescent="0.25">
      <c r="A197" s="4" t="s">
        <v>59</v>
      </c>
      <c r="B197" s="4" t="s">
        <v>60</v>
      </c>
      <c r="C197" s="4">
        <v>6</v>
      </c>
      <c r="D197" s="4">
        <v>2</v>
      </c>
      <c r="E197" s="4">
        <f t="shared" si="45"/>
        <v>12</v>
      </c>
      <c r="F197" s="4">
        <v>2919.850997</v>
      </c>
      <c r="G197" s="4">
        <v>7737.6051429999998</v>
      </c>
      <c r="H197" s="4">
        <v>1214.95</v>
      </c>
      <c r="I197" s="4">
        <v>1.21495</v>
      </c>
      <c r="J197" s="4">
        <v>1.21495E-3</v>
      </c>
      <c r="K197" s="4">
        <v>2.678503069</v>
      </c>
      <c r="L197" s="4">
        <v>1.6799999999999999E-2</v>
      </c>
      <c r="M197" s="4">
        <v>3.1</v>
      </c>
      <c r="N197" s="4">
        <v>36.94024039</v>
      </c>
      <c r="O197" s="4">
        <f t="shared" si="46"/>
        <v>195.45126801943385</v>
      </c>
      <c r="P197" s="4">
        <f t="shared" si="47"/>
        <v>58.033792204632618</v>
      </c>
      <c r="Q197" s="4">
        <f t="shared" si="51"/>
        <v>147.40583219976685</v>
      </c>
      <c r="R197" s="4">
        <f t="shared" si="48"/>
        <v>88655.309313820006</v>
      </c>
      <c r="S197" s="4">
        <f t="shared" si="49"/>
        <v>213062.50736318194</v>
      </c>
      <c r="T197" s="4">
        <f t="shared" si="50"/>
        <v>564615.64451243216</v>
      </c>
      <c r="U197" s="4">
        <v>263.2</v>
      </c>
      <c r="V197" s="4">
        <v>7.0000000000000007E-2</v>
      </c>
      <c r="W197" s="4">
        <v>0.27</v>
      </c>
    </row>
    <row r="198" spans="1:25" x14ac:dyDescent="0.25">
      <c r="A198" s="4" t="s">
        <v>59</v>
      </c>
      <c r="B198" s="4" t="s">
        <v>60</v>
      </c>
      <c r="C198" s="4">
        <v>7</v>
      </c>
      <c r="D198" s="4">
        <v>2</v>
      </c>
      <c r="E198" s="4">
        <f t="shared" si="45"/>
        <v>14</v>
      </c>
      <c r="F198" s="4">
        <v>3445.5659700000001</v>
      </c>
      <c r="G198" s="4">
        <v>9130.7498190000006</v>
      </c>
      <c r="H198" s="4">
        <v>1433.7</v>
      </c>
      <c r="I198" s="4">
        <v>1.4337</v>
      </c>
      <c r="J198" s="4">
        <v>1.4337E-3</v>
      </c>
      <c r="K198" s="4">
        <v>3.1607636939999999</v>
      </c>
      <c r="L198" s="4">
        <v>1.6799999999999999E-2</v>
      </c>
      <c r="M198" s="4">
        <v>3.1</v>
      </c>
      <c r="N198" s="4">
        <v>38.966664020000003</v>
      </c>
      <c r="O198" s="4">
        <f t="shared" si="46"/>
        <v>264.58488888747956</v>
      </c>
      <c r="P198" s="4">
        <f t="shared" si="47"/>
        <v>63.989522288077197</v>
      </c>
      <c r="Q198" s="4">
        <f t="shared" si="51"/>
        <v>162.53338661171608</v>
      </c>
      <c r="R198" s="4">
        <f t="shared" si="48"/>
        <v>120013.82954317731</v>
      </c>
      <c r="S198" s="4">
        <f t="shared" si="49"/>
        <v>288425.44951496593</v>
      </c>
      <c r="T198" s="4">
        <f t="shared" si="50"/>
        <v>764327.44121465972</v>
      </c>
      <c r="U198" s="4">
        <v>263.2</v>
      </c>
      <c r="V198" s="4">
        <v>7.0000000000000007E-2</v>
      </c>
      <c r="W198" s="4">
        <v>0.27</v>
      </c>
    </row>
    <row r="199" spans="1:25" x14ac:dyDescent="0.25">
      <c r="A199" s="4" t="s">
        <v>59</v>
      </c>
      <c r="B199" s="4" t="s">
        <v>60</v>
      </c>
      <c r="C199" s="4">
        <v>8</v>
      </c>
      <c r="D199" s="4">
        <v>2</v>
      </c>
      <c r="E199" s="4">
        <f t="shared" si="45"/>
        <v>16</v>
      </c>
      <c r="F199" s="4">
        <v>3970.9204519999998</v>
      </c>
      <c r="G199" s="4">
        <v>10522.939200000001</v>
      </c>
      <c r="H199" s="4">
        <v>1652.3</v>
      </c>
      <c r="I199" s="4">
        <v>1.6523000000000001</v>
      </c>
      <c r="J199" s="4">
        <v>1.6523E-3</v>
      </c>
      <c r="K199" s="4">
        <v>3.6426936259999998</v>
      </c>
      <c r="L199" s="4">
        <v>1.6799999999999999E-2</v>
      </c>
      <c r="M199" s="4">
        <v>3.1</v>
      </c>
      <c r="N199" s="4">
        <v>40.791912869999997</v>
      </c>
      <c r="O199" s="4">
        <f t="shared" si="46"/>
        <v>336.75795576802403</v>
      </c>
      <c r="P199" s="4">
        <f t="shared" si="47"/>
        <v>69.16718528393217</v>
      </c>
      <c r="Q199" s="4">
        <f t="shared" si="51"/>
        <v>175.6846506211877</v>
      </c>
      <c r="R199" s="4">
        <f t="shared" si="48"/>
        <v>152751.02093241649</v>
      </c>
      <c r="S199" s="4">
        <f t="shared" si="49"/>
        <v>367101.70856144308</v>
      </c>
      <c r="T199" s="4">
        <f t="shared" si="50"/>
        <v>972819.5276878241</v>
      </c>
      <c r="U199" s="4">
        <v>263.2</v>
      </c>
      <c r="V199" s="4">
        <v>7.0000000000000007E-2</v>
      </c>
      <c r="W199" s="4">
        <v>0.27</v>
      </c>
    </row>
    <row r="200" spans="1:25" x14ac:dyDescent="0.25">
      <c r="A200" s="4" t="s">
        <v>59</v>
      </c>
      <c r="B200" s="4" t="s">
        <v>60</v>
      </c>
      <c r="C200" s="4">
        <v>9</v>
      </c>
      <c r="D200" s="4">
        <v>2</v>
      </c>
      <c r="E200" s="4">
        <f t="shared" si="45"/>
        <v>18</v>
      </c>
      <c r="F200" s="4">
        <v>4109.5890410000002</v>
      </c>
      <c r="G200" s="4">
        <v>10890.410959999999</v>
      </c>
      <c r="H200" s="4">
        <v>1710</v>
      </c>
      <c r="I200" s="4">
        <v>1.71</v>
      </c>
      <c r="J200" s="4">
        <v>1.7099999999999999E-3</v>
      </c>
      <c r="K200" s="4">
        <v>3.7699001999999999</v>
      </c>
      <c r="L200" s="4">
        <v>1.6799999999999999E-2</v>
      </c>
      <c r="M200" s="4">
        <v>3.1</v>
      </c>
      <c r="N200" s="4">
        <v>41.246095969999999</v>
      </c>
      <c r="O200" s="4">
        <f t="shared" si="46"/>
        <v>409.44909648971856</v>
      </c>
      <c r="P200" s="4">
        <f t="shared" si="47"/>
        <v>73.668429249498331</v>
      </c>
      <c r="Q200" s="4">
        <f t="shared" si="51"/>
        <v>187.11781029372577</v>
      </c>
      <c r="R200" s="4">
        <f t="shared" si="48"/>
        <v>185723.20694256542</v>
      </c>
      <c r="S200" s="4">
        <f t="shared" si="49"/>
        <v>446342.72276511759</v>
      </c>
      <c r="T200" s="4">
        <f t="shared" si="50"/>
        <v>1182808.2153275616</v>
      </c>
      <c r="U200" s="4">
        <v>263.2</v>
      </c>
      <c r="V200" s="4">
        <v>7.0000000000000007E-2</v>
      </c>
      <c r="W200" s="4">
        <v>0.27</v>
      </c>
    </row>
    <row r="201" spans="1:25" x14ac:dyDescent="0.25">
      <c r="A201" s="4" t="s">
        <v>59</v>
      </c>
      <c r="B201" s="4" t="s">
        <v>60</v>
      </c>
      <c r="C201" s="4">
        <v>10</v>
      </c>
      <c r="D201" s="4">
        <v>2</v>
      </c>
      <c r="E201" s="4">
        <f t="shared" si="45"/>
        <v>20</v>
      </c>
      <c r="F201" s="4">
        <v>4373.9485699999996</v>
      </c>
      <c r="G201" s="4">
        <v>11590.96371</v>
      </c>
      <c r="H201" s="4">
        <v>1820</v>
      </c>
      <c r="I201" s="4">
        <v>1.82</v>
      </c>
      <c r="J201" s="4">
        <v>1.82E-3</v>
      </c>
      <c r="K201" s="4">
        <v>4.0124084</v>
      </c>
      <c r="L201" s="4">
        <v>1.6799999999999999E-2</v>
      </c>
      <c r="M201" s="4">
        <v>3.1</v>
      </c>
      <c r="N201" s="4">
        <v>42.083980279999999</v>
      </c>
      <c r="O201" s="4">
        <f t="shared" si="46"/>
        <v>480.70651748495408</v>
      </c>
      <c r="P201" s="4">
        <f t="shared" si="47"/>
        <v>77.581622760502455</v>
      </c>
      <c r="Q201" s="4">
        <f t="shared" si="51"/>
        <v>197.05732181167625</v>
      </c>
      <c r="R201" s="4">
        <f t="shared" si="48"/>
        <v>218045.06785067453</v>
      </c>
      <c r="S201" s="4">
        <f t="shared" si="49"/>
        <v>524020.83117201278</v>
      </c>
      <c r="T201" s="4">
        <f t="shared" si="50"/>
        <v>1388655.2026058338</v>
      </c>
      <c r="U201" s="4">
        <v>263.2</v>
      </c>
      <c r="V201" s="4">
        <v>7.0000000000000007E-2</v>
      </c>
      <c r="W201" s="4">
        <v>0.27</v>
      </c>
    </row>
    <row r="202" spans="1:25" x14ac:dyDescent="0.25">
      <c r="A202" s="4" t="s">
        <v>61</v>
      </c>
      <c r="B202" s="4" t="s">
        <v>62</v>
      </c>
      <c r="C202" s="4">
        <v>1</v>
      </c>
      <c r="D202" s="4">
        <v>1</v>
      </c>
      <c r="E202" s="4">
        <f t="shared" si="45"/>
        <v>1</v>
      </c>
      <c r="F202" s="4">
        <v>16.822879109999999</v>
      </c>
      <c r="G202" s="4">
        <v>44.580629649999999</v>
      </c>
      <c r="H202" s="4">
        <v>6.9999999979999998</v>
      </c>
      <c r="I202" s="4">
        <v>7.0000000000000001E-3</v>
      </c>
      <c r="J202" s="4">
        <v>6.9999999999999999E-6</v>
      </c>
      <c r="K202" s="4">
        <v>1.5432339999999999E-2</v>
      </c>
      <c r="L202" s="4">
        <v>1.2500000000000001E-2</v>
      </c>
      <c r="M202" s="4">
        <v>3</v>
      </c>
      <c r="N202" s="4">
        <v>8.2425705990000004</v>
      </c>
      <c r="O202" s="4">
        <f t="shared" si="46"/>
        <v>2.5441272143766646E-3</v>
      </c>
      <c r="P202" s="4">
        <f t="shared" si="47"/>
        <v>1.7793633426790521</v>
      </c>
      <c r="Q202" s="4">
        <f t="shared" si="51"/>
        <v>4.5195828904047923</v>
      </c>
      <c r="R202" s="4">
        <f t="shared" si="48"/>
        <v>1.1539980651435007</v>
      </c>
      <c r="S202" s="4">
        <f t="shared" si="49"/>
        <v>2.773367135648884</v>
      </c>
      <c r="T202" s="4">
        <f t="shared" si="50"/>
        <v>7.349422909469542</v>
      </c>
      <c r="U202" s="4">
        <v>33.700000000000003</v>
      </c>
      <c r="V202" s="4">
        <v>0.32</v>
      </c>
      <c r="W202" s="4">
        <v>0.55000000000000004</v>
      </c>
      <c r="Y202" s="4" t="s">
        <v>610</v>
      </c>
    </row>
    <row r="203" spans="1:25" x14ac:dyDescent="0.25">
      <c r="A203" s="4" t="s">
        <v>61</v>
      </c>
      <c r="B203" s="4" t="s">
        <v>62</v>
      </c>
      <c r="C203" s="4">
        <v>2</v>
      </c>
      <c r="D203" s="4">
        <v>1</v>
      </c>
      <c r="E203" s="4">
        <f t="shared" si="45"/>
        <v>2</v>
      </c>
      <c r="F203" s="4">
        <v>32.972843070000003</v>
      </c>
      <c r="G203" s="4">
        <v>87.378034139999997</v>
      </c>
      <c r="H203" s="4">
        <v>13.72</v>
      </c>
      <c r="I203" s="4">
        <v>1.372E-2</v>
      </c>
      <c r="J203" s="4">
        <v>1.3699999999999999E-5</v>
      </c>
      <c r="K203" s="4">
        <v>3.0247386000000001E-2</v>
      </c>
      <c r="L203" s="4">
        <v>1.2500000000000001E-2</v>
      </c>
      <c r="M203" s="4">
        <v>3</v>
      </c>
      <c r="N203" s="4">
        <v>10.315288199999999</v>
      </c>
      <c r="O203" s="4">
        <f t="shared" si="46"/>
        <v>5.3961656859975192E-2</v>
      </c>
      <c r="P203" s="4">
        <f t="shared" si="47"/>
        <v>4.9254599269522767</v>
      </c>
      <c r="Q203" s="4">
        <f t="shared" si="51"/>
        <v>12.510668214458784</v>
      </c>
      <c r="R203" s="4">
        <f t="shared" si="48"/>
        <v>24.476624933083794</v>
      </c>
      <c r="S203" s="4">
        <f t="shared" si="49"/>
        <v>58.823900343868765</v>
      </c>
      <c r="T203" s="4">
        <f t="shared" si="50"/>
        <v>155.88333591125223</v>
      </c>
      <c r="U203" s="4">
        <v>33.700000000000003</v>
      </c>
      <c r="V203" s="4">
        <v>0.32</v>
      </c>
      <c r="W203" s="4">
        <v>0.55000000000000004</v>
      </c>
    </row>
    <row r="204" spans="1:25" x14ac:dyDescent="0.25">
      <c r="A204" s="4" t="s">
        <v>61</v>
      </c>
      <c r="B204" s="4" t="s">
        <v>62</v>
      </c>
      <c r="C204" s="4">
        <v>3</v>
      </c>
      <c r="D204" s="4">
        <v>1</v>
      </c>
      <c r="E204" s="4">
        <f t="shared" si="45"/>
        <v>3</v>
      </c>
      <c r="F204" s="4">
        <v>91.492429720000004</v>
      </c>
      <c r="G204" s="4">
        <v>242.45493880000001</v>
      </c>
      <c r="H204" s="4">
        <v>38.070000010000001</v>
      </c>
      <c r="I204" s="4">
        <v>3.807E-2</v>
      </c>
      <c r="J204" s="4">
        <v>3.8099999999999998E-5</v>
      </c>
      <c r="K204" s="4">
        <v>8.3929882999999997E-2</v>
      </c>
      <c r="L204" s="4">
        <v>1.2500000000000001E-2</v>
      </c>
      <c r="M204" s="4">
        <v>3</v>
      </c>
      <c r="N204" s="4">
        <v>14.495202539999999</v>
      </c>
      <c r="O204" s="4">
        <f t="shared" si="46"/>
        <v>0.16925822579919275</v>
      </c>
      <c r="P204" s="4">
        <f t="shared" si="47"/>
        <v>7.2099949321631094</v>
      </c>
      <c r="Q204" s="4">
        <f t="shared" si="51"/>
        <v>18.313387127694298</v>
      </c>
      <c r="R204" s="4">
        <f t="shared" si="48"/>
        <v>76.774331086170292</v>
      </c>
      <c r="S204" s="4">
        <f t="shared" si="49"/>
        <v>184.5093272919257</v>
      </c>
      <c r="T204" s="4">
        <f t="shared" si="50"/>
        <v>488.94971732360307</v>
      </c>
      <c r="U204" s="4">
        <v>33.700000000000003</v>
      </c>
      <c r="V204" s="4">
        <v>0.32</v>
      </c>
      <c r="W204" s="4">
        <v>0.55000000000000004</v>
      </c>
    </row>
    <row r="205" spans="1:25" x14ac:dyDescent="0.25">
      <c r="A205" s="4" t="s">
        <v>61</v>
      </c>
      <c r="B205" s="4" t="s">
        <v>62</v>
      </c>
      <c r="C205" s="4">
        <v>4</v>
      </c>
      <c r="D205" s="4">
        <v>1</v>
      </c>
      <c r="E205" s="4">
        <f t="shared" si="45"/>
        <v>4</v>
      </c>
      <c r="F205" s="4">
        <v>197.62076429999999</v>
      </c>
      <c r="G205" s="4">
        <v>523.6950253</v>
      </c>
      <c r="H205" s="4">
        <v>82.230000029999999</v>
      </c>
      <c r="I205" s="4">
        <v>8.2229999999999998E-2</v>
      </c>
      <c r="J205" s="4">
        <v>8.2200000000000006E-5</v>
      </c>
      <c r="K205" s="4">
        <v>0.181285903</v>
      </c>
      <c r="L205" s="4">
        <v>1.2500000000000001E-2</v>
      </c>
      <c r="M205" s="4">
        <v>3</v>
      </c>
      <c r="N205" s="4">
        <v>18.73728916</v>
      </c>
      <c r="O205" s="4">
        <f t="shared" si="46"/>
        <v>0.31503247839267406</v>
      </c>
      <c r="P205" s="4">
        <f t="shared" si="47"/>
        <v>8.8689078263580932</v>
      </c>
      <c r="Q205" s="4">
        <f t="shared" si="51"/>
        <v>22.527025878949555</v>
      </c>
      <c r="R205" s="4">
        <f t="shared" si="48"/>
        <v>142.89649844085332</v>
      </c>
      <c r="S205" s="4">
        <f t="shared" si="49"/>
        <v>343.41864561608588</v>
      </c>
      <c r="T205" s="4">
        <f t="shared" si="50"/>
        <v>910.0594108826275</v>
      </c>
      <c r="U205" s="4">
        <v>33.700000000000003</v>
      </c>
      <c r="V205" s="4">
        <v>0.32</v>
      </c>
      <c r="W205" s="4">
        <v>0.55000000000000004</v>
      </c>
    </row>
    <row r="206" spans="1:25" x14ac:dyDescent="0.25">
      <c r="A206" s="4" t="s">
        <v>61</v>
      </c>
      <c r="B206" s="4" t="s">
        <v>62</v>
      </c>
      <c r="C206" s="4">
        <v>5</v>
      </c>
      <c r="D206" s="4">
        <v>1</v>
      </c>
      <c r="E206" s="4">
        <f t="shared" si="45"/>
        <v>5</v>
      </c>
      <c r="F206" s="4">
        <v>286.37346789999998</v>
      </c>
      <c r="G206" s="4">
        <v>758.88968990000001</v>
      </c>
      <c r="H206" s="4">
        <v>119.16</v>
      </c>
      <c r="I206" s="4">
        <v>0.11916</v>
      </c>
      <c r="J206" s="4">
        <v>1.1916E-4</v>
      </c>
      <c r="K206" s="4">
        <v>0.26270251900000002</v>
      </c>
      <c r="L206" s="4">
        <v>1.2500000000000001E-2</v>
      </c>
      <c r="M206" s="4">
        <v>3</v>
      </c>
      <c r="N206" s="4">
        <v>21.203464490000002</v>
      </c>
      <c r="O206" s="4">
        <f t="shared" si="46"/>
        <v>0.46162510404551982</v>
      </c>
      <c r="P206" s="4">
        <f t="shared" si="47"/>
        <v>10.073525827066911</v>
      </c>
      <c r="Q206" s="4">
        <f t="shared" si="51"/>
        <v>25.586755600749953</v>
      </c>
      <c r="R206" s="4">
        <f t="shared" si="48"/>
        <v>209.38987401253723</v>
      </c>
      <c r="S206" s="4">
        <f t="shared" si="49"/>
        <v>503.22007693472062</v>
      </c>
      <c r="T206" s="4">
        <f t="shared" si="50"/>
        <v>1333.5332038770096</v>
      </c>
      <c r="U206" s="4">
        <v>33.700000000000003</v>
      </c>
      <c r="V206" s="4">
        <v>0.32</v>
      </c>
      <c r="W206" s="4">
        <v>0.55000000000000004</v>
      </c>
    </row>
    <row r="207" spans="1:25" x14ac:dyDescent="0.25">
      <c r="A207" s="4" t="s">
        <v>61</v>
      </c>
      <c r="B207" s="4" t="s">
        <v>62</v>
      </c>
      <c r="C207" s="4">
        <v>6</v>
      </c>
      <c r="D207" s="4">
        <v>1</v>
      </c>
      <c r="E207" s="4">
        <f t="shared" si="45"/>
        <v>6</v>
      </c>
      <c r="F207" s="4">
        <v>355.75582800000001</v>
      </c>
      <c r="G207" s="4">
        <v>942.75294410000004</v>
      </c>
      <c r="H207" s="4">
        <v>148.03</v>
      </c>
      <c r="I207" s="4">
        <v>0.14802999999999999</v>
      </c>
      <c r="J207" s="4">
        <v>1.4803E-4</v>
      </c>
      <c r="K207" s="4">
        <v>0.326349899</v>
      </c>
      <c r="L207" s="4">
        <v>1.2500000000000001E-2</v>
      </c>
      <c r="M207" s="4">
        <v>3</v>
      </c>
      <c r="N207" s="4">
        <v>22.793616759999999</v>
      </c>
      <c r="O207" s="4">
        <f t="shared" si="46"/>
        <v>0.59262501419292635</v>
      </c>
      <c r="P207" s="4">
        <f t="shared" si="47"/>
        <v>10.948258028323252</v>
      </c>
      <c r="Q207" s="4">
        <f t="shared" si="51"/>
        <v>27.808575391941062</v>
      </c>
      <c r="R207" s="4">
        <f t="shared" si="48"/>
        <v>268.81050439210674</v>
      </c>
      <c r="S207" s="4">
        <f t="shared" si="49"/>
        <v>646.0238029130179</v>
      </c>
      <c r="T207" s="4">
        <f t="shared" si="50"/>
        <v>1711.9630777194973</v>
      </c>
      <c r="U207" s="4">
        <v>33.700000000000003</v>
      </c>
      <c r="V207" s="4">
        <v>0.32</v>
      </c>
      <c r="W207" s="4">
        <v>0.55000000000000004</v>
      </c>
    </row>
    <row r="208" spans="1:25" x14ac:dyDescent="0.25">
      <c r="A208" s="4" t="s">
        <v>61</v>
      </c>
      <c r="B208" s="4" t="s">
        <v>62</v>
      </c>
      <c r="C208" s="4">
        <v>7</v>
      </c>
      <c r="D208" s="4">
        <v>1</v>
      </c>
      <c r="E208" s="4">
        <f t="shared" si="45"/>
        <v>7</v>
      </c>
      <c r="F208" s="4">
        <v>418.3129055</v>
      </c>
      <c r="G208" s="4">
        <v>1108.5291999999999</v>
      </c>
      <c r="H208" s="4">
        <v>174.06</v>
      </c>
      <c r="I208" s="4">
        <v>0.17405999999999999</v>
      </c>
      <c r="J208" s="4">
        <v>1.7406E-4</v>
      </c>
      <c r="K208" s="4">
        <v>0.38373615700000002</v>
      </c>
      <c r="L208" s="4">
        <v>1.2500000000000001E-2</v>
      </c>
      <c r="M208" s="4">
        <v>3</v>
      </c>
      <c r="N208" s="4">
        <v>24.058192120000001</v>
      </c>
      <c r="O208" s="4">
        <f t="shared" si="46"/>
        <v>0.70187215487787324</v>
      </c>
      <c r="P208" s="4">
        <f t="shared" si="47"/>
        <v>11.583443973962897</v>
      </c>
      <c r="Q208" s="4">
        <f t="shared" si="51"/>
        <v>29.421947693865757</v>
      </c>
      <c r="R208" s="4">
        <f t="shared" si="48"/>
        <v>318.36423278291642</v>
      </c>
      <c r="S208" s="4">
        <f t="shared" si="49"/>
        <v>765.1147146909791</v>
      </c>
      <c r="T208" s="4">
        <f t="shared" si="50"/>
        <v>2027.5539939310945</v>
      </c>
      <c r="U208" s="4">
        <v>33.700000000000003</v>
      </c>
      <c r="V208" s="4">
        <v>0.32</v>
      </c>
      <c r="W208" s="4">
        <v>0.55000000000000004</v>
      </c>
    </row>
    <row r="209" spans="1:25" x14ac:dyDescent="0.25">
      <c r="A209" s="4" t="s">
        <v>61</v>
      </c>
      <c r="B209" s="4" t="s">
        <v>62</v>
      </c>
      <c r="C209" s="4">
        <v>8</v>
      </c>
      <c r="D209" s="4">
        <v>1</v>
      </c>
      <c r="E209" s="4">
        <f t="shared" si="45"/>
        <v>8</v>
      </c>
      <c r="F209" s="4">
        <v>455.49146839999997</v>
      </c>
      <c r="G209" s="4">
        <v>1207.0523909999999</v>
      </c>
      <c r="H209" s="4">
        <v>189.53</v>
      </c>
      <c r="I209" s="4">
        <v>0.18953</v>
      </c>
      <c r="J209" s="4">
        <v>1.8953000000000001E-4</v>
      </c>
      <c r="K209" s="4">
        <v>0.41784162899999999</v>
      </c>
      <c r="L209" s="4">
        <v>1.2500000000000001E-2</v>
      </c>
      <c r="M209" s="4">
        <v>3</v>
      </c>
      <c r="N209" s="4">
        <v>24.750804309999999</v>
      </c>
      <c r="O209" s="4">
        <f t="shared" si="46"/>
        <v>0.7890982822677115</v>
      </c>
      <c r="P209" s="4">
        <f t="shared" si="47"/>
        <v>12.044683636751865</v>
      </c>
      <c r="Q209" s="4">
        <f t="shared" si="51"/>
        <v>30.593496437349735</v>
      </c>
      <c r="R209" s="4">
        <f t="shared" si="48"/>
        <v>357.92938568447693</v>
      </c>
      <c r="S209" s="4">
        <f t="shared" si="49"/>
        <v>860.20039818427529</v>
      </c>
      <c r="T209" s="4">
        <f t="shared" si="50"/>
        <v>2279.5310551883294</v>
      </c>
      <c r="U209" s="4">
        <v>33.700000000000003</v>
      </c>
      <c r="V209" s="4">
        <v>0.32</v>
      </c>
      <c r="W209" s="4">
        <v>0.55000000000000004</v>
      </c>
    </row>
    <row r="210" spans="1:25" x14ac:dyDescent="0.25">
      <c r="A210" s="4" t="s">
        <v>61</v>
      </c>
      <c r="B210" s="4" t="s">
        <v>62</v>
      </c>
      <c r="C210" s="4">
        <v>9</v>
      </c>
      <c r="D210" s="4">
        <v>1</v>
      </c>
      <c r="E210" s="4">
        <f t="shared" si="45"/>
        <v>9</v>
      </c>
      <c r="F210" s="4">
        <v>520.11535690000005</v>
      </c>
      <c r="G210" s="4">
        <v>1378.3056959999999</v>
      </c>
      <c r="H210" s="4">
        <v>216.42</v>
      </c>
      <c r="I210" s="4">
        <v>0.21642</v>
      </c>
      <c r="J210" s="4">
        <v>2.1641999999999999E-4</v>
      </c>
      <c r="K210" s="4">
        <v>0.47712386000000001</v>
      </c>
      <c r="L210" s="4">
        <v>1.2500000000000001E-2</v>
      </c>
      <c r="M210" s="4">
        <v>3</v>
      </c>
      <c r="N210" s="4">
        <v>25.869962149999999</v>
      </c>
      <c r="O210" s="4">
        <f t="shared" si="46"/>
        <v>0.85677353898074948</v>
      </c>
      <c r="P210" s="4">
        <f t="shared" si="47"/>
        <v>12.379612373746269</v>
      </c>
      <c r="Q210" s="4">
        <f t="shared" si="51"/>
        <v>31.444215429315523</v>
      </c>
      <c r="R210" s="4">
        <f t="shared" si="48"/>
        <v>388.6264022737476</v>
      </c>
      <c r="S210" s="4">
        <f t="shared" si="49"/>
        <v>933.97356951152983</v>
      </c>
      <c r="T210" s="4">
        <f t="shared" si="50"/>
        <v>2475.029959205554</v>
      </c>
      <c r="U210" s="4">
        <v>33.700000000000003</v>
      </c>
      <c r="V210" s="4">
        <v>0.32</v>
      </c>
      <c r="W210" s="4">
        <v>0.55000000000000004</v>
      </c>
    </row>
    <row r="211" spans="1:25" x14ac:dyDescent="0.25">
      <c r="A211" s="4" t="s">
        <v>61</v>
      </c>
      <c r="B211" s="4" t="s">
        <v>62</v>
      </c>
      <c r="C211" s="4">
        <v>10</v>
      </c>
      <c r="D211" s="4">
        <v>1</v>
      </c>
      <c r="E211" s="4">
        <f t="shared" si="45"/>
        <v>10</v>
      </c>
      <c r="F211" s="4">
        <v>647.62076430000002</v>
      </c>
      <c r="G211" s="4">
        <v>1716.195025</v>
      </c>
      <c r="H211" s="4">
        <v>269.47500000000002</v>
      </c>
      <c r="I211" s="4">
        <v>0.26947500000000002</v>
      </c>
      <c r="J211" s="4">
        <v>2.6947499999999998E-4</v>
      </c>
      <c r="K211" s="4">
        <v>0.59408997500000005</v>
      </c>
      <c r="L211" s="4">
        <v>1.2500000000000001E-2</v>
      </c>
      <c r="M211" s="4">
        <v>3</v>
      </c>
      <c r="N211" s="4">
        <v>27.831470670000002</v>
      </c>
      <c r="O211" s="4">
        <f t="shared" si="46"/>
        <v>0.9082682453704467</v>
      </c>
      <c r="P211" s="4">
        <f t="shared" si="47"/>
        <v>12.622820553603063</v>
      </c>
      <c r="Q211" s="4">
        <f t="shared" si="51"/>
        <v>32.061964206151778</v>
      </c>
      <c r="R211" s="4">
        <f t="shared" si="48"/>
        <v>411.98403596558438</v>
      </c>
      <c r="S211" s="4">
        <f t="shared" si="49"/>
        <v>990.10823351498277</v>
      </c>
      <c r="T211" s="4">
        <f t="shared" si="50"/>
        <v>2623.7868188147045</v>
      </c>
      <c r="U211" s="4">
        <v>33.700000000000003</v>
      </c>
      <c r="V211" s="4">
        <v>0.32</v>
      </c>
      <c r="W211" s="4">
        <v>0.55000000000000004</v>
      </c>
    </row>
    <row r="212" spans="1:25" x14ac:dyDescent="0.25">
      <c r="A212" s="4" t="s">
        <v>63</v>
      </c>
      <c r="B212" s="4" t="s">
        <v>64</v>
      </c>
      <c r="C212" s="4">
        <v>1</v>
      </c>
      <c r="D212" s="4">
        <v>2</v>
      </c>
      <c r="E212" s="4">
        <f t="shared" si="45"/>
        <v>2</v>
      </c>
      <c r="F212" s="4">
        <v>127.5414564</v>
      </c>
      <c r="G212" s="4">
        <v>337.98485950000003</v>
      </c>
      <c r="H212" s="4">
        <v>53.070000010000001</v>
      </c>
      <c r="I212" s="4">
        <v>5.3069999999999999E-2</v>
      </c>
      <c r="J212" s="4">
        <v>5.3100000000000003E-5</v>
      </c>
      <c r="K212" s="4">
        <v>0.11699918300000001</v>
      </c>
      <c r="L212" s="4">
        <v>1.2E-2</v>
      </c>
      <c r="M212" s="4">
        <v>3.1</v>
      </c>
      <c r="N212" s="4">
        <v>14.99760408</v>
      </c>
      <c r="O212" s="4">
        <f t="shared" si="46"/>
        <v>0.60670467650071125</v>
      </c>
      <c r="P212" s="4">
        <f t="shared" si="47"/>
        <v>10.0407705456392</v>
      </c>
      <c r="Q212" s="4">
        <f t="shared" si="51"/>
        <v>25.503557185923569</v>
      </c>
      <c r="R212" s="4">
        <f t="shared" si="48"/>
        <v>275.19693938216619</v>
      </c>
      <c r="S212" s="4">
        <f t="shared" si="49"/>
        <v>661.37212060121658</v>
      </c>
      <c r="T212" s="4">
        <f t="shared" si="50"/>
        <v>1752.6361195932238</v>
      </c>
      <c r="U212" s="4">
        <v>42.5</v>
      </c>
      <c r="V212" s="4">
        <v>0.47</v>
      </c>
      <c r="W212" s="4">
        <v>0.05</v>
      </c>
      <c r="Y212" s="4" t="s">
        <v>611</v>
      </c>
    </row>
    <row r="213" spans="1:25" x14ac:dyDescent="0.25">
      <c r="A213" s="4" t="s">
        <v>63</v>
      </c>
      <c r="B213" s="4" t="s">
        <v>64</v>
      </c>
      <c r="C213" s="4">
        <v>2</v>
      </c>
      <c r="D213" s="4">
        <v>2</v>
      </c>
      <c r="E213" s="4">
        <f t="shared" si="45"/>
        <v>4</v>
      </c>
      <c r="F213" s="4">
        <v>347.4885845</v>
      </c>
      <c r="G213" s="4">
        <v>920.84474890000001</v>
      </c>
      <c r="H213" s="4">
        <v>144.59</v>
      </c>
      <c r="I213" s="4">
        <v>0.14459</v>
      </c>
      <c r="J213" s="4">
        <v>1.4459E-4</v>
      </c>
      <c r="K213" s="4">
        <v>0.31876600599999999</v>
      </c>
      <c r="L213" s="4">
        <v>1.2E-2</v>
      </c>
      <c r="M213" s="4">
        <v>3.1</v>
      </c>
      <c r="N213" s="4">
        <v>20.722289929999999</v>
      </c>
      <c r="O213" s="4">
        <f t="shared" si="46"/>
        <v>1.7451540389025069</v>
      </c>
      <c r="P213" s="4">
        <f t="shared" si="47"/>
        <v>14.118392257772612</v>
      </c>
      <c r="Q213" s="4">
        <f t="shared" si="51"/>
        <v>35.860716334742435</v>
      </c>
      <c r="R213" s="4">
        <f t="shared" si="48"/>
        <v>791.58949791914563</v>
      </c>
      <c r="S213" s="4">
        <f t="shared" si="49"/>
        <v>1902.4020618100112</v>
      </c>
      <c r="T213" s="4">
        <f t="shared" si="50"/>
        <v>5041.3654637965292</v>
      </c>
      <c r="U213" s="4">
        <v>42.5</v>
      </c>
      <c r="V213" s="4">
        <v>0.47</v>
      </c>
      <c r="W213" s="4">
        <v>0.05</v>
      </c>
    </row>
    <row r="214" spans="1:25" x14ac:dyDescent="0.25">
      <c r="A214" s="4" t="s">
        <v>63</v>
      </c>
      <c r="B214" s="4" t="s">
        <v>64</v>
      </c>
      <c r="C214" s="4">
        <v>3</v>
      </c>
      <c r="D214" s="4">
        <v>2</v>
      </c>
      <c r="E214" s="4">
        <f t="shared" si="45"/>
        <v>6</v>
      </c>
      <c r="F214" s="4">
        <v>732.42009129999997</v>
      </c>
      <c r="G214" s="4">
        <v>1940.9132420000001</v>
      </c>
      <c r="H214" s="4">
        <v>304.76</v>
      </c>
      <c r="I214" s="4">
        <v>0.30475999999999998</v>
      </c>
      <c r="J214" s="4">
        <v>3.0476E-4</v>
      </c>
      <c r="K214" s="4">
        <v>0.67187999099999995</v>
      </c>
      <c r="L214" s="4">
        <v>1.2E-2</v>
      </c>
      <c r="M214" s="4">
        <v>3.1</v>
      </c>
      <c r="N214" s="4">
        <v>26.35698417</v>
      </c>
      <c r="O214" s="4">
        <f t="shared" si="46"/>
        <v>2.4308079206819979</v>
      </c>
      <c r="P214" s="4">
        <f t="shared" si="47"/>
        <v>15.711224800594193</v>
      </c>
      <c r="Q214" s="4">
        <f t="shared" si="51"/>
        <v>39.906510993509251</v>
      </c>
      <c r="R214" s="4">
        <f t="shared" si="48"/>
        <v>1102.5972370213451</v>
      </c>
      <c r="S214" s="4">
        <f t="shared" si="49"/>
        <v>2649.8371473716534</v>
      </c>
      <c r="T214" s="4">
        <f t="shared" si="50"/>
        <v>7022.0684405348811</v>
      </c>
      <c r="U214" s="4">
        <v>42.5</v>
      </c>
      <c r="V214" s="4">
        <v>0.47</v>
      </c>
      <c r="W214" s="4">
        <v>0.05</v>
      </c>
    </row>
    <row r="215" spans="1:25" x14ac:dyDescent="0.25">
      <c r="A215" s="4" t="s">
        <v>63</v>
      </c>
      <c r="B215" s="4" t="s">
        <v>64</v>
      </c>
      <c r="C215" s="4">
        <v>4</v>
      </c>
      <c r="D215" s="4">
        <v>2</v>
      </c>
      <c r="E215" s="4">
        <f t="shared" si="45"/>
        <v>8</v>
      </c>
      <c r="F215" s="4">
        <v>1115.2006730000001</v>
      </c>
      <c r="G215" s="4">
        <v>2955.281782</v>
      </c>
      <c r="H215" s="4">
        <v>464.03500000000003</v>
      </c>
      <c r="I215" s="4">
        <v>0.46403499999999998</v>
      </c>
      <c r="J215" s="4">
        <v>4.6403500000000001E-4</v>
      </c>
      <c r="K215" s="4">
        <v>1.023020842</v>
      </c>
      <c r="L215" s="4">
        <v>1.2E-2</v>
      </c>
      <c r="M215" s="4">
        <v>3.1</v>
      </c>
      <c r="N215" s="4">
        <v>30.185377429999999</v>
      </c>
      <c r="O215" s="4">
        <f t="shared" si="46"/>
        <v>2.741822891893761</v>
      </c>
      <c r="P215" s="4">
        <f t="shared" si="47"/>
        <v>16.333429528885198</v>
      </c>
      <c r="Q215" s="4">
        <f t="shared" si="51"/>
        <v>41.486911003368398</v>
      </c>
      <c r="R215" s="4">
        <f t="shared" si="48"/>
        <v>1243.6714226913305</v>
      </c>
      <c r="S215" s="4">
        <f t="shared" si="49"/>
        <v>2988.8762862084363</v>
      </c>
      <c r="T215" s="4">
        <f t="shared" si="50"/>
        <v>7920.5221584523561</v>
      </c>
      <c r="U215" s="4">
        <v>42.5</v>
      </c>
      <c r="V215" s="4">
        <v>0.47</v>
      </c>
      <c r="W215" s="4">
        <v>0.05</v>
      </c>
    </row>
    <row r="216" spans="1:25" x14ac:dyDescent="0.25">
      <c r="A216" s="4" t="s">
        <v>63</v>
      </c>
      <c r="B216" s="4" t="s">
        <v>64</v>
      </c>
      <c r="C216" s="4">
        <v>5</v>
      </c>
      <c r="D216" s="4">
        <v>2</v>
      </c>
      <c r="E216" s="4">
        <f t="shared" si="45"/>
        <v>10</v>
      </c>
      <c r="F216" s="4">
        <v>1550.4325879999999</v>
      </c>
      <c r="G216" s="4">
        <v>4108.6463590000003</v>
      </c>
      <c r="H216" s="4">
        <v>645.13499990000003</v>
      </c>
      <c r="I216" s="4">
        <v>0.64513500000000001</v>
      </c>
      <c r="J216" s="4">
        <v>6.4513500000000002E-4</v>
      </c>
      <c r="K216" s="4">
        <v>1.422277523</v>
      </c>
      <c r="L216" s="4">
        <v>1.2E-2</v>
      </c>
      <c r="M216" s="4">
        <v>3.1</v>
      </c>
      <c r="N216" s="4">
        <v>33.570503690000002</v>
      </c>
      <c r="O216" s="4">
        <f t="shared" si="46"/>
        <v>2.870289386316494</v>
      </c>
      <c r="P216" s="4">
        <f t="shared" si="47"/>
        <v>16.576480015047345</v>
      </c>
      <c r="Q216" s="4">
        <f t="shared" si="51"/>
        <v>42.104259238220259</v>
      </c>
      <c r="R216" s="4">
        <f t="shared" si="48"/>
        <v>1301.9429136615354</v>
      </c>
      <c r="S216" s="4">
        <f t="shared" si="49"/>
        <v>3128.9183217052046</v>
      </c>
      <c r="T216" s="4">
        <f t="shared" si="50"/>
        <v>8291.6335525187915</v>
      </c>
      <c r="U216" s="4">
        <v>42.5</v>
      </c>
      <c r="V216" s="4">
        <v>0.47</v>
      </c>
      <c r="W216" s="4">
        <v>0.05</v>
      </c>
    </row>
    <row r="217" spans="1:25" x14ac:dyDescent="0.25">
      <c r="A217" s="4" t="s">
        <v>63</v>
      </c>
      <c r="B217" s="4" t="s">
        <v>64</v>
      </c>
      <c r="C217" s="4">
        <v>6</v>
      </c>
      <c r="D217" s="4">
        <v>2</v>
      </c>
      <c r="E217" s="4">
        <f t="shared" si="45"/>
        <v>12</v>
      </c>
      <c r="F217" s="4">
        <v>1976.4359529999999</v>
      </c>
      <c r="G217" s="4">
        <v>5237.5552749999997</v>
      </c>
      <c r="H217" s="4">
        <v>822.39499999999998</v>
      </c>
      <c r="I217" s="4">
        <v>0.82239499999999999</v>
      </c>
      <c r="J217" s="4">
        <v>8.2239499999999996E-4</v>
      </c>
      <c r="K217" s="4">
        <v>1.813068465</v>
      </c>
      <c r="L217" s="4">
        <v>1.2E-2</v>
      </c>
      <c r="M217" s="4">
        <v>3.1</v>
      </c>
      <c r="N217" s="4">
        <v>36.305087579999999</v>
      </c>
      <c r="O217" s="4">
        <f t="shared" si="46"/>
        <v>2.9215594884746614</v>
      </c>
      <c r="P217" s="4">
        <f t="shared" si="47"/>
        <v>16.671422300339703</v>
      </c>
      <c r="Q217" s="4">
        <f t="shared" si="51"/>
        <v>42.345412642862847</v>
      </c>
      <c r="R217" s="4">
        <f t="shared" si="48"/>
        <v>1325.198668466521</v>
      </c>
      <c r="S217" s="4">
        <f t="shared" si="49"/>
        <v>3184.8081433946668</v>
      </c>
      <c r="T217" s="4">
        <f t="shared" si="50"/>
        <v>8439.7415799958671</v>
      </c>
      <c r="U217" s="4">
        <v>42.5</v>
      </c>
      <c r="V217" s="4">
        <v>0.47</v>
      </c>
      <c r="W217" s="4">
        <v>0.05</v>
      </c>
    </row>
    <row r="218" spans="1:25" x14ac:dyDescent="0.25">
      <c r="A218" s="4" t="s">
        <v>63</v>
      </c>
      <c r="B218" s="4" t="s">
        <v>64</v>
      </c>
      <c r="C218" s="4">
        <v>7</v>
      </c>
      <c r="D218" s="4">
        <v>2</v>
      </c>
      <c r="E218" s="4">
        <f t="shared" si="45"/>
        <v>14</v>
      </c>
      <c r="F218" s="4">
        <v>2275.6669069999998</v>
      </c>
      <c r="G218" s="4">
        <v>6030.517304</v>
      </c>
      <c r="H218" s="4">
        <v>946.90499999999997</v>
      </c>
      <c r="I218" s="4">
        <v>0.946905</v>
      </c>
      <c r="J218" s="4">
        <v>9.4690499999999995E-4</v>
      </c>
      <c r="K218" s="4">
        <v>2.0875657009999999</v>
      </c>
      <c r="L218" s="4">
        <v>1.2E-2</v>
      </c>
      <c r="M218" s="4">
        <v>3.1</v>
      </c>
      <c r="N218" s="4">
        <v>37.994242890000002</v>
      </c>
      <c r="O218" s="4">
        <f t="shared" si="46"/>
        <v>2.9417543425699604</v>
      </c>
      <c r="P218" s="4">
        <f t="shared" si="47"/>
        <v>16.708509399727451</v>
      </c>
      <c r="Q218" s="4">
        <f t="shared" si="51"/>
        <v>42.439613875307721</v>
      </c>
      <c r="R218" s="4">
        <f t="shared" si="48"/>
        <v>1334.3589110912358</v>
      </c>
      <c r="S218" s="4">
        <f t="shared" si="49"/>
        <v>3206.82266544397</v>
      </c>
      <c r="T218" s="4">
        <f t="shared" si="50"/>
        <v>8498.0800634265197</v>
      </c>
      <c r="U218" s="4">
        <v>42.5</v>
      </c>
      <c r="V218" s="4">
        <v>0.47</v>
      </c>
      <c r="W218" s="4">
        <v>0.05</v>
      </c>
    </row>
    <row r="219" spans="1:25" x14ac:dyDescent="0.25">
      <c r="A219" s="4" t="s">
        <v>63</v>
      </c>
      <c r="B219" s="4" t="s">
        <v>64</v>
      </c>
      <c r="C219" s="4">
        <v>8</v>
      </c>
      <c r="D219" s="4">
        <v>2</v>
      </c>
      <c r="E219" s="4">
        <f t="shared" si="45"/>
        <v>16</v>
      </c>
      <c r="F219" s="4">
        <v>2451.3338140000001</v>
      </c>
      <c r="G219" s="4">
        <v>6496.0346079999999</v>
      </c>
      <c r="H219" s="4">
        <v>1020</v>
      </c>
      <c r="I219" s="4">
        <v>1.02</v>
      </c>
      <c r="J219" s="4">
        <v>1.0200000000000001E-3</v>
      </c>
      <c r="K219" s="4">
        <v>2.2487124000000001</v>
      </c>
      <c r="L219" s="4">
        <v>1.2E-2</v>
      </c>
      <c r="M219" s="4">
        <v>3.1</v>
      </c>
      <c r="N219" s="4">
        <v>38.916622109999999</v>
      </c>
      <c r="O219" s="4">
        <f t="shared" si="46"/>
        <v>2.9496686292408216</v>
      </c>
      <c r="P219" s="4">
        <f t="shared" si="47"/>
        <v>16.722996653081008</v>
      </c>
      <c r="Q219" s="4">
        <f t="shared" si="51"/>
        <v>42.476411498825762</v>
      </c>
      <c r="R219" s="4">
        <f t="shared" si="48"/>
        <v>1337.9487754083796</v>
      </c>
      <c r="S219" s="4">
        <f t="shared" si="49"/>
        <v>3215.4500730794989</v>
      </c>
      <c r="T219" s="4">
        <f t="shared" si="50"/>
        <v>8520.9426936606724</v>
      </c>
      <c r="U219" s="4">
        <v>42.5</v>
      </c>
      <c r="V219" s="4">
        <v>0.47</v>
      </c>
      <c r="W219" s="4">
        <v>0.05</v>
      </c>
    </row>
    <row r="220" spans="1:25" x14ac:dyDescent="0.25">
      <c r="A220" s="4" t="s">
        <v>63</v>
      </c>
      <c r="B220" s="4" t="s">
        <v>64</v>
      </c>
      <c r="C220" s="4">
        <v>9</v>
      </c>
      <c r="D220" s="4">
        <v>2</v>
      </c>
      <c r="E220" s="4">
        <f t="shared" si="45"/>
        <v>18</v>
      </c>
      <c r="F220" s="4">
        <v>2643.5952900000002</v>
      </c>
      <c r="G220" s="4">
        <v>7005.5275179999999</v>
      </c>
      <c r="H220" s="4">
        <v>1100</v>
      </c>
      <c r="I220" s="4">
        <v>1.1000000000000001</v>
      </c>
      <c r="J220" s="4">
        <v>1.1000000000000001E-3</v>
      </c>
      <c r="K220" s="4">
        <v>2.4250820000000002</v>
      </c>
      <c r="L220" s="4">
        <v>1.2E-2</v>
      </c>
      <c r="M220" s="4">
        <v>3.1</v>
      </c>
      <c r="N220" s="4">
        <v>39.87616345</v>
      </c>
      <c r="O220" s="4">
        <f t="shared" si="46"/>
        <v>2.9527640833468047</v>
      </c>
      <c r="P220" s="4">
        <f t="shared" si="47"/>
        <v>16.728655777498801</v>
      </c>
      <c r="Q220" s="4">
        <f t="shared" si="51"/>
        <v>42.490785674846954</v>
      </c>
      <c r="R220" s="4">
        <f t="shared" si="48"/>
        <v>1339.3528514423369</v>
      </c>
      <c r="S220" s="4">
        <f t="shared" si="49"/>
        <v>3218.8244447064089</v>
      </c>
      <c r="T220" s="4">
        <f t="shared" si="50"/>
        <v>8529.8847784719837</v>
      </c>
      <c r="U220" s="4">
        <v>42.5</v>
      </c>
      <c r="V220" s="4">
        <v>0.47</v>
      </c>
      <c r="W220" s="4">
        <v>0.05</v>
      </c>
    </row>
    <row r="221" spans="1:25" x14ac:dyDescent="0.25">
      <c r="A221" s="4" t="s">
        <v>63</v>
      </c>
      <c r="B221" s="4" t="s">
        <v>64</v>
      </c>
      <c r="C221" s="4">
        <v>10</v>
      </c>
      <c r="D221" s="4">
        <v>2</v>
      </c>
      <c r="E221" s="4">
        <f t="shared" si="45"/>
        <v>20</v>
      </c>
      <c r="F221" s="4">
        <v>3076.18361</v>
      </c>
      <c r="G221" s="4">
        <v>8151.8865660000001</v>
      </c>
      <c r="H221" s="4">
        <v>1280</v>
      </c>
      <c r="I221" s="4">
        <v>1.28</v>
      </c>
      <c r="J221" s="4">
        <v>1.2800000000000001E-3</v>
      </c>
      <c r="K221" s="4">
        <v>2.8219135999999998</v>
      </c>
      <c r="L221" s="4">
        <v>1.2E-2</v>
      </c>
      <c r="M221" s="4">
        <v>3.1</v>
      </c>
      <c r="N221" s="4">
        <v>41.874029010000001</v>
      </c>
      <c r="O221" s="4">
        <f t="shared" si="46"/>
        <v>2.9539738513279654</v>
      </c>
      <c r="P221" s="4">
        <f t="shared" si="47"/>
        <v>16.730866389020147</v>
      </c>
      <c r="Q221" s="4">
        <f t="shared" si="51"/>
        <v>42.496400628111175</v>
      </c>
      <c r="R221" s="4">
        <f t="shared" si="48"/>
        <v>1339.9015936206536</v>
      </c>
      <c r="S221" s="4">
        <f t="shared" si="49"/>
        <v>3220.1432194680451</v>
      </c>
      <c r="T221" s="4">
        <f t="shared" si="50"/>
        <v>8533.3795315903189</v>
      </c>
      <c r="U221" s="4">
        <v>42.5</v>
      </c>
      <c r="V221" s="4">
        <v>0.47</v>
      </c>
      <c r="W221" s="4">
        <v>0.05</v>
      </c>
    </row>
    <row r="222" spans="1:25" x14ac:dyDescent="0.25">
      <c r="A222" s="4" t="s">
        <v>65</v>
      </c>
      <c r="B222" s="4" t="s">
        <v>66</v>
      </c>
      <c r="C222" s="4">
        <v>1</v>
      </c>
      <c r="D222" s="4">
        <v>3</v>
      </c>
      <c r="E222" s="4">
        <f t="shared" si="45"/>
        <v>3</v>
      </c>
      <c r="F222" s="4">
        <v>350</v>
      </c>
      <c r="G222" s="4">
        <v>927.5</v>
      </c>
      <c r="H222" s="4">
        <v>145.63499999999999</v>
      </c>
      <c r="I222" s="4">
        <v>0.14563499999999999</v>
      </c>
      <c r="J222" s="4">
        <v>1.45635E-4</v>
      </c>
      <c r="K222" s="4">
        <v>0.321069834</v>
      </c>
      <c r="L222" s="4">
        <v>1.2699999999999999E-2</v>
      </c>
      <c r="M222" s="4">
        <v>3.1</v>
      </c>
      <c r="N222" s="4">
        <v>20.394068969999999</v>
      </c>
      <c r="O222" s="4">
        <f t="shared" si="46"/>
        <v>0.71421687962519242</v>
      </c>
      <c r="P222" s="4">
        <f t="shared" si="47"/>
        <v>10.391543026968289</v>
      </c>
      <c r="Q222" s="4">
        <f t="shared" si="51"/>
        <v>26.394519288499456</v>
      </c>
      <c r="R222" s="4">
        <f t="shared" si="48"/>
        <v>323.9637123972351</v>
      </c>
      <c r="S222" s="4">
        <f t="shared" si="49"/>
        <v>778.57176735696964</v>
      </c>
      <c r="T222" s="4">
        <f t="shared" si="50"/>
        <v>2063.2151834959695</v>
      </c>
      <c r="U222" s="4">
        <v>58.5</v>
      </c>
      <c r="V222" s="4">
        <v>0.2</v>
      </c>
      <c r="W222" s="4">
        <v>0</v>
      </c>
      <c r="Y222" s="4" t="s">
        <v>607</v>
      </c>
    </row>
    <row r="223" spans="1:25" x14ac:dyDescent="0.25">
      <c r="A223" s="4" t="s">
        <v>65</v>
      </c>
      <c r="B223" s="4" t="s">
        <v>66</v>
      </c>
      <c r="C223" s="4">
        <v>2</v>
      </c>
      <c r="D223" s="4">
        <v>3</v>
      </c>
      <c r="E223" s="4">
        <f t="shared" si="45"/>
        <v>6</v>
      </c>
      <c r="F223" s="4">
        <v>1200</v>
      </c>
      <c r="G223" s="4">
        <v>3180</v>
      </c>
      <c r="H223" s="4">
        <v>499.32</v>
      </c>
      <c r="I223" s="4">
        <v>0.49931999999999999</v>
      </c>
      <c r="J223" s="4">
        <v>4.9932000000000004E-4</v>
      </c>
      <c r="K223" s="4">
        <v>1.100810858</v>
      </c>
      <c r="L223" s="4">
        <v>1.2699999999999999E-2</v>
      </c>
      <c r="M223" s="4">
        <v>3.1</v>
      </c>
      <c r="N223" s="4">
        <v>30.347369</v>
      </c>
      <c r="O223" s="4">
        <f t="shared" si="46"/>
        <v>2.7722077841252046</v>
      </c>
      <c r="P223" s="4">
        <f t="shared" si="47"/>
        <v>16.094542757140228</v>
      </c>
      <c r="Q223" s="4">
        <f t="shared" si="51"/>
        <v>40.880138603136182</v>
      </c>
      <c r="R223" s="4">
        <f t="shared" si="48"/>
        <v>1257.4537943614794</v>
      </c>
      <c r="S223" s="4">
        <f t="shared" si="49"/>
        <v>3021.9990251417435</v>
      </c>
      <c r="T223" s="4">
        <f t="shared" si="50"/>
        <v>8008.2974166256199</v>
      </c>
      <c r="U223" s="4">
        <v>58.5</v>
      </c>
      <c r="V223" s="4">
        <v>0.2</v>
      </c>
      <c r="W223" s="4">
        <v>0</v>
      </c>
    </row>
    <row r="224" spans="1:25" x14ac:dyDescent="0.25">
      <c r="A224" s="4" t="s">
        <v>65</v>
      </c>
      <c r="B224" s="4" t="s">
        <v>66</v>
      </c>
      <c r="C224" s="4">
        <v>3</v>
      </c>
      <c r="D224" s="4">
        <v>3</v>
      </c>
      <c r="E224" s="4">
        <f t="shared" si="45"/>
        <v>9</v>
      </c>
      <c r="F224" s="4">
        <v>1800</v>
      </c>
      <c r="G224" s="4">
        <v>4770</v>
      </c>
      <c r="H224" s="4">
        <v>748.98</v>
      </c>
      <c r="I224" s="4">
        <v>0.74897999999999998</v>
      </c>
      <c r="J224" s="4">
        <v>7.4898E-4</v>
      </c>
      <c r="K224" s="4">
        <v>1.6512162880000001</v>
      </c>
      <c r="L224" s="4">
        <v>1.2699999999999999E-2</v>
      </c>
      <c r="M224" s="4">
        <v>3.1</v>
      </c>
      <c r="N224" s="4">
        <v>34.587938440000002</v>
      </c>
      <c r="O224" s="4">
        <f t="shared" si="46"/>
        <v>4.8091322899113846</v>
      </c>
      <c r="P224" s="4">
        <f t="shared" si="47"/>
        <v>19.224415369699678</v>
      </c>
      <c r="Q224" s="4">
        <f t="shared" si="51"/>
        <v>48.830015039037185</v>
      </c>
      <c r="R224" s="4">
        <f t="shared" si="48"/>
        <v>2181.3883072417852</v>
      </c>
      <c r="S224" s="4">
        <f t="shared" si="49"/>
        <v>5242.4616852722547</v>
      </c>
      <c r="T224" s="4">
        <f t="shared" si="50"/>
        <v>13892.523465971475</v>
      </c>
      <c r="U224" s="4">
        <v>58.5</v>
      </c>
      <c r="V224" s="4">
        <v>0.2</v>
      </c>
      <c r="W224" s="4">
        <v>0</v>
      </c>
    </row>
    <row r="225" spans="1:25" x14ac:dyDescent="0.25">
      <c r="A225" s="4" t="s">
        <v>65</v>
      </c>
      <c r="B225" s="4" t="s">
        <v>66</v>
      </c>
      <c r="C225" s="4">
        <v>4</v>
      </c>
      <c r="D225" s="4">
        <v>3</v>
      </c>
      <c r="E225" s="4">
        <f t="shared" si="45"/>
        <v>12</v>
      </c>
      <c r="F225" s="4">
        <v>3129.99</v>
      </c>
      <c r="G225" s="4">
        <v>8294.48</v>
      </c>
      <c r="H225" s="4">
        <v>1302.388839</v>
      </c>
      <c r="I225" s="4">
        <v>1.302388839</v>
      </c>
      <c r="J225" s="4">
        <v>1.3023889999999999E-3</v>
      </c>
      <c r="K225" s="4">
        <v>2.8712724820000002</v>
      </c>
      <c r="L225" s="4">
        <v>1.2699999999999999E-2</v>
      </c>
      <c r="M225" s="4">
        <v>3.1</v>
      </c>
      <c r="N225" s="4">
        <v>41.345787909999999</v>
      </c>
      <c r="O225" s="4">
        <f t="shared" si="46"/>
        <v>6.2702716901252744</v>
      </c>
      <c r="P225" s="4">
        <f t="shared" si="47"/>
        <v>20.942125878964319</v>
      </c>
      <c r="Q225" s="4">
        <f t="shared" si="51"/>
        <v>53.192999732569369</v>
      </c>
      <c r="R225" s="4">
        <f t="shared" si="48"/>
        <v>2844.150778875849</v>
      </c>
      <c r="S225" s="4">
        <f t="shared" si="49"/>
        <v>6835.2578199371519</v>
      </c>
      <c r="T225" s="4">
        <f t="shared" si="50"/>
        <v>18113.433222833453</v>
      </c>
      <c r="U225" s="4">
        <v>58.5</v>
      </c>
      <c r="V225" s="4">
        <v>0.2</v>
      </c>
      <c r="W225" s="4">
        <v>0</v>
      </c>
    </row>
    <row r="226" spans="1:25" x14ac:dyDescent="0.25">
      <c r="A226" s="4" t="s">
        <v>65</v>
      </c>
      <c r="B226" s="4" t="s">
        <v>66</v>
      </c>
      <c r="C226" s="4">
        <v>5</v>
      </c>
      <c r="D226" s="4">
        <v>3</v>
      </c>
      <c r="E226" s="4">
        <f t="shared" si="45"/>
        <v>15</v>
      </c>
      <c r="F226" s="4">
        <v>7000</v>
      </c>
      <c r="G226" s="4">
        <v>18550</v>
      </c>
      <c r="H226" s="4">
        <v>2912.7</v>
      </c>
      <c r="I226" s="4">
        <v>2.9127000000000001</v>
      </c>
      <c r="J226" s="4">
        <v>2.9126999999999998E-3</v>
      </c>
      <c r="K226" s="4">
        <v>6.4213966740000004</v>
      </c>
      <c r="L226" s="4">
        <v>1.2699999999999999E-2</v>
      </c>
      <c r="M226" s="4">
        <v>3.1</v>
      </c>
      <c r="N226" s="4">
        <v>53.603232339999998</v>
      </c>
      <c r="O226" s="4">
        <f t="shared" si="46"/>
        <v>7.187296345346331</v>
      </c>
      <c r="P226" s="4">
        <f t="shared" si="47"/>
        <v>21.884825393889749</v>
      </c>
      <c r="Q226" s="4">
        <f t="shared" si="51"/>
        <v>55.587456500479959</v>
      </c>
      <c r="R226" s="4">
        <f t="shared" si="48"/>
        <v>3260.1066602617825</v>
      </c>
      <c r="S226" s="4">
        <f t="shared" si="49"/>
        <v>7834.9114642196164</v>
      </c>
      <c r="T226" s="4">
        <f t="shared" si="50"/>
        <v>20762.515380181983</v>
      </c>
      <c r="U226" s="4">
        <v>58.5</v>
      </c>
      <c r="V226" s="4">
        <v>0.2</v>
      </c>
      <c r="W226" s="4">
        <v>0</v>
      </c>
    </row>
    <row r="227" spans="1:25" x14ac:dyDescent="0.25">
      <c r="A227" s="4" t="s">
        <v>65</v>
      </c>
      <c r="B227" s="4" t="s">
        <v>66</v>
      </c>
      <c r="C227" s="4">
        <v>6</v>
      </c>
      <c r="D227" s="4">
        <v>3</v>
      </c>
      <c r="E227" s="4">
        <f t="shared" si="45"/>
        <v>18</v>
      </c>
      <c r="F227" s="4">
        <v>9000</v>
      </c>
      <c r="G227" s="4">
        <v>23850</v>
      </c>
      <c r="H227" s="4">
        <v>3744.9</v>
      </c>
      <c r="I227" s="4">
        <v>3.7448999999999999</v>
      </c>
      <c r="J227" s="4">
        <v>3.7448999999999998E-3</v>
      </c>
      <c r="K227" s="4">
        <v>8.2560814380000007</v>
      </c>
      <c r="L227" s="4">
        <v>1.2699999999999999E-2</v>
      </c>
      <c r="M227" s="4">
        <v>3.1</v>
      </c>
      <c r="N227" s="4">
        <v>58.129805840000003</v>
      </c>
      <c r="O227" s="4">
        <f t="shared" si="46"/>
        <v>7.7272053432386754</v>
      </c>
      <c r="P227" s="4">
        <f t="shared" si="47"/>
        <v>22.402189857021018</v>
      </c>
      <c r="Q227" s="4">
        <f t="shared" si="51"/>
        <v>56.901562236833385</v>
      </c>
      <c r="R227" s="4">
        <f t="shared" si="48"/>
        <v>3505.0055534462517</v>
      </c>
      <c r="S227" s="4">
        <f t="shared" si="49"/>
        <v>8423.4692464461714</v>
      </c>
      <c r="T227" s="4">
        <f t="shared" si="50"/>
        <v>22322.193503082355</v>
      </c>
      <c r="U227" s="4">
        <v>58.5</v>
      </c>
      <c r="V227" s="4">
        <v>0.2</v>
      </c>
      <c r="W227" s="4">
        <v>0</v>
      </c>
    </row>
    <row r="228" spans="1:25" x14ac:dyDescent="0.25">
      <c r="A228" s="4" t="s">
        <v>65</v>
      </c>
      <c r="B228" s="4" t="s">
        <v>66</v>
      </c>
      <c r="C228" s="4">
        <v>7</v>
      </c>
      <c r="D228" s="4">
        <v>3</v>
      </c>
      <c r="E228" s="4">
        <f t="shared" si="45"/>
        <v>21</v>
      </c>
      <c r="F228" s="4">
        <v>13000</v>
      </c>
      <c r="G228" s="4">
        <v>34450</v>
      </c>
      <c r="H228" s="4">
        <v>5409.3</v>
      </c>
      <c r="I228" s="4">
        <v>5.4093</v>
      </c>
      <c r="J228" s="4">
        <v>5.4092999999999997E-3</v>
      </c>
      <c r="K228" s="4">
        <v>11.92545097</v>
      </c>
      <c r="L228" s="4">
        <v>1.2699999999999999E-2</v>
      </c>
      <c r="M228" s="4">
        <v>3.1</v>
      </c>
      <c r="N228" s="4">
        <v>65.450847319999994</v>
      </c>
      <c r="O228" s="4">
        <f t="shared" si="46"/>
        <v>8.0348728577253983</v>
      </c>
      <c r="P228" s="4">
        <f t="shared" si="47"/>
        <v>22.686125494488998</v>
      </c>
      <c r="Q228" s="4">
        <f t="shared" si="51"/>
        <v>57.622758756002057</v>
      </c>
      <c r="R228" s="4">
        <f t="shared" si="48"/>
        <v>3644.561356481116</v>
      </c>
      <c r="S228" s="4">
        <f t="shared" si="49"/>
        <v>8758.8593042084012</v>
      </c>
      <c r="T228" s="4">
        <f t="shared" si="50"/>
        <v>23210.977156152261</v>
      </c>
      <c r="U228" s="4">
        <v>58.5</v>
      </c>
      <c r="V228" s="4">
        <v>0.2</v>
      </c>
      <c r="W228" s="4">
        <v>0</v>
      </c>
    </row>
    <row r="229" spans="1:25" x14ac:dyDescent="0.25">
      <c r="A229" s="4" t="s">
        <v>65</v>
      </c>
      <c r="B229" s="4" t="s">
        <v>66</v>
      </c>
      <c r="C229" s="4">
        <v>8</v>
      </c>
      <c r="D229" s="4">
        <v>3</v>
      </c>
      <c r="E229" s="4">
        <f t="shared" si="45"/>
        <v>24</v>
      </c>
      <c r="F229" s="4">
        <v>18000</v>
      </c>
      <c r="G229" s="4">
        <v>40770</v>
      </c>
      <c r="H229" s="4">
        <v>7489.8</v>
      </c>
      <c r="I229" s="4">
        <v>7.4897999999999998</v>
      </c>
      <c r="J229" s="4">
        <v>7.4897999999999996E-3</v>
      </c>
      <c r="K229" s="4">
        <v>16.512162880000002</v>
      </c>
      <c r="L229" s="4">
        <v>1.2699999999999999E-2</v>
      </c>
      <c r="M229" s="4">
        <v>3.1</v>
      </c>
      <c r="N229" s="4">
        <v>72.695130840000004</v>
      </c>
      <c r="O229" s="4">
        <f t="shared" si="46"/>
        <v>8.2071995022360511</v>
      </c>
      <c r="P229" s="4">
        <f t="shared" si="47"/>
        <v>22.841952676233198</v>
      </c>
      <c r="Q229" s="4">
        <f t="shared" si="51"/>
        <v>58.018559797632328</v>
      </c>
      <c r="R229" s="4">
        <f t="shared" si="48"/>
        <v>3722.7275005379847</v>
      </c>
      <c r="S229" s="4">
        <f t="shared" si="49"/>
        <v>8946.7135316942658</v>
      </c>
      <c r="T229" s="4">
        <f t="shared" si="50"/>
        <v>23708.790858989803</v>
      </c>
      <c r="U229" s="4">
        <v>58.5</v>
      </c>
      <c r="V229" s="4">
        <v>0.2</v>
      </c>
      <c r="W229" s="4">
        <v>0</v>
      </c>
    </row>
    <row r="230" spans="1:25" x14ac:dyDescent="0.25">
      <c r="A230" s="4" t="s">
        <v>65</v>
      </c>
      <c r="B230" s="4" t="s">
        <v>66</v>
      </c>
      <c r="C230" s="4">
        <v>9</v>
      </c>
      <c r="D230" s="4">
        <v>3</v>
      </c>
      <c r="E230" s="4">
        <f t="shared" si="45"/>
        <v>27</v>
      </c>
      <c r="F230" s="4">
        <v>30000</v>
      </c>
      <c r="G230" s="4">
        <v>79500</v>
      </c>
      <c r="H230" s="4">
        <v>12483</v>
      </c>
      <c r="I230" s="4">
        <v>12.483000000000001</v>
      </c>
      <c r="J230" s="4">
        <v>1.2482999999999999E-2</v>
      </c>
      <c r="K230" s="4">
        <v>27.52027146</v>
      </c>
      <c r="L230" s="4">
        <v>1.2699999999999999E-2</v>
      </c>
      <c r="M230" s="4">
        <v>3.1</v>
      </c>
      <c r="N230" s="4">
        <v>85.717488009999997</v>
      </c>
      <c r="O230" s="4">
        <f t="shared" si="46"/>
        <v>8.3028299656065201</v>
      </c>
      <c r="P230" s="4">
        <f t="shared" si="47"/>
        <v>22.927472446794159</v>
      </c>
      <c r="Q230" s="4">
        <f t="shared" si="51"/>
        <v>58.235780014857163</v>
      </c>
      <c r="R230" s="4">
        <f t="shared" si="48"/>
        <v>3766.1048006488736</v>
      </c>
      <c r="S230" s="4">
        <f t="shared" si="49"/>
        <v>9050.9608282837635</v>
      </c>
      <c r="T230" s="4">
        <f t="shared" si="50"/>
        <v>23985.046194951974</v>
      </c>
      <c r="U230" s="4">
        <v>58.5</v>
      </c>
      <c r="V230" s="4">
        <v>0.2</v>
      </c>
      <c r="W230" s="4">
        <v>0</v>
      </c>
    </row>
    <row r="231" spans="1:25" x14ac:dyDescent="0.25">
      <c r="A231" s="4" t="s">
        <v>65</v>
      </c>
      <c r="B231" s="4" t="s">
        <v>66</v>
      </c>
      <c r="C231" s="4">
        <v>10</v>
      </c>
      <c r="D231" s="4">
        <v>3</v>
      </c>
      <c r="E231" s="4">
        <f t="shared" si="45"/>
        <v>30</v>
      </c>
      <c r="F231" s="4">
        <v>32000</v>
      </c>
      <c r="G231" s="4">
        <v>85500</v>
      </c>
      <c r="H231" s="4">
        <v>13315.2</v>
      </c>
      <c r="I231" s="4">
        <v>13.315200000000001</v>
      </c>
      <c r="J231" s="4">
        <v>1.3315199999999999E-2</v>
      </c>
      <c r="K231" s="4">
        <v>29.354956219999998</v>
      </c>
      <c r="L231" s="4">
        <v>1.2699999999999999E-2</v>
      </c>
      <c r="M231" s="4">
        <v>3.1</v>
      </c>
      <c r="N231" s="4">
        <v>87.520735579999993</v>
      </c>
      <c r="O231" s="4">
        <f t="shared" si="46"/>
        <v>8.3556324890236819</v>
      </c>
      <c r="P231" s="4">
        <f t="shared" si="47"/>
        <v>22.974406691994101</v>
      </c>
      <c r="Q231" s="4">
        <f t="shared" si="51"/>
        <v>58.354992997665015</v>
      </c>
      <c r="R231" s="4">
        <f t="shared" si="48"/>
        <v>3790.0556508712079</v>
      </c>
      <c r="S231" s="4">
        <f t="shared" si="49"/>
        <v>9108.5211508560624</v>
      </c>
      <c r="T231" s="4">
        <f t="shared" si="50"/>
        <v>24137.581049768563</v>
      </c>
      <c r="U231" s="4">
        <v>58.5</v>
      </c>
      <c r="V231" s="4">
        <v>0.2</v>
      </c>
      <c r="W231" s="4">
        <v>0</v>
      </c>
    </row>
    <row r="232" spans="1:25" x14ac:dyDescent="0.25">
      <c r="A232" s="4" t="s">
        <v>67</v>
      </c>
      <c r="B232" s="4" t="s">
        <v>68</v>
      </c>
      <c r="C232" s="4">
        <v>1</v>
      </c>
      <c r="D232" s="4">
        <v>1</v>
      </c>
      <c r="E232" s="4">
        <f t="shared" si="45"/>
        <v>1</v>
      </c>
      <c r="F232" s="4">
        <v>24.46</v>
      </c>
      <c r="G232" s="4">
        <v>64.84</v>
      </c>
      <c r="H232" s="4">
        <v>10.177806</v>
      </c>
      <c r="I232" s="4">
        <v>1.0177805999999999E-2</v>
      </c>
      <c r="J232" s="4">
        <v>1.0200000000000001E-5</v>
      </c>
      <c r="K232" s="4">
        <v>2.2438195000000001E-2</v>
      </c>
      <c r="L232" s="4">
        <v>1.29E-2</v>
      </c>
      <c r="M232" s="4">
        <v>3.05</v>
      </c>
      <c r="N232" s="4">
        <v>8.9095793360000002</v>
      </c>
      <c r="O232" s="4">
        <f t="shared" si="46"/>
        <v>1.3890644189659731E-2</v>
      </c>
      <c r="P232" s="4">
        <f t="shared" si="47"/>
        <v>2.9973655002853401</v>
      </c>
      <c r="Q232" s="4">
        <f t="shared" si="51"/>
        <v>7.6133083707247637</v>
      </c>
      <c r="R232" s="4">
        <f t="shared" si="48"/>
        <v>6.3006977119230214</v>
      </c>
      <c r="S232" s="4">
        <f t="shared" si="49"/>
        <v>15.142267993085847</v>
      </c>
      <c r="T232" s="4">
        <f t="shared" si="50"/>
        <v>40.127010181677491</v>
      </c>
      <c r="U232" s="4">
        <v>42</v>
      </c>
      <c r="V232" s="4">
        <v>0.2</v>
      </c>
      <c r="W232" s="4">
        <v>0</v>
      </c>
      <c r="Y232" s="4" t="s">
        <v>1037</v>
      </c>
    </row>
    <row r="233" spans="1:25" x14ac:dyDescent="0.25">
      <c r="A233" s="4" t="s">
        <v>67</v>
      </c>
      <c r="B233" s="4" t="s">
        <v>68</v>
      </c>
      <c r="C233" s="4">
        <v>2</v>
      </c>
      <c r="D233" s="4">
        <v>1</v>
      </c>
      <c r="E233" s="4">
        <f t="shared" si="45"/>
        <v>2</v>
      </c>
      <c r="F233" s="4">
        <v>31.24</v>
      </c>
      <c r="G233" s="4">
        <v>82.79</v>
      </c>
      <c r="H233" s="4">
        <v>12.998964000000001</v>
      </c>
      <c r="I233" s="4">
        <v>1.2998964E-2</v>
      </c>
      <c r="J233" s="4">
        <v>1.2999999999999999E-5</v>
      </c>
      <c r="K233" s="4">
        <v>2.8657775999999999E-2</v>
      </c>
      <c r="L233" s="4">
        <v>1.29E-2</v>
      </c>
      <c r="M233" s="4">
        <v>3.05</v>
      </c>
      <c r="N233" s="4">
        <v>9.6537214660000004</v>
      </c>
      <c r="O233" s="4">
        <f t="shared" si="46"/>
        <v>8.610255495348762E-2</v>
      </c>
      <c r="P233" s="4">
        <f t="shared" si="47"/>
        <v>5.4514008135839163</v>
      </c>
      <c r="Q233" s="4">
        <f t="shared" si="51"/>
        <v>13.846558066503148</v>
      </c>
      <c r="R233" s="4">
        <f t="shared" si="48"/>
        <v>39.055508411194502</v>
      </c>
      <c r="S233" s="4">
        <f t="shared" si="49"/>
        <v>93.860870971387897</v>
      </c>
      <c r="T233" s="4">
        <f t="shared" si="50"/>
        <v>248.73130807417792</v>
      </c>
      <c r="U233" s="4">
        <v>42</v>
      </c>
      <c r="V233" s="4">
        <v>0.2</v>
      </c>
      <c r="W233" s="4">
        <v>0</v>
      </c>
    </row>
    <row r="234" spans="1:25" x14ac:dyDescent="0.25">
      <c r="A234" s="4" t="s">
        <v>67</v>
      </c>
      <c r="B234" s="4" t="s">
        <v>68</v>
      </c>
      <c r="C234" s="4">
        <v>3</v>
      </c>
      <c r="D234" s="4">
        <v>1</v>
      </c>
      <c r="E234" s="4">
        <f t="shared" si="45"/>
        <v>3</v>
      </c>
      <c r="F234" s="4">
        <v>60.65</v>
      </c>
      <c r="G234" s="4">
        <v>160.72999999999999</v>
      </c>
      <c r="H234" s="4">
        <v>25.236464999999999</v>
      </c>
      <c r="I234" s="4">
        <v>2.5236465E-2</v>
      </c>
      <c r="J234" s="4">
        <v>2.5199999999999999E-5</v>
      </c>
      <c r="K234" s="4">
        <v>5.5636814999999999E-2</v>
      </c>
      <c r="L234" s="4">
        <v>1.29E-2</v>
      </c>
      <c r="M234" s="4">
        <v>3.05</v>
      </c>
      <c r="N234" s="4">
        <v>11.99942031</v>
      </c>
      <c r="O234" s="4">
        <f t="shared" si="46"/>
        <v>0.22419470726138793</v>
      </c>
      <c r="P234" s="4">
        <f t="shared" si="47"/>
        <v>7.4605949937208234</v>
      </c>
      <c r="Q234" s="4">
        <f t="shared" si="51"/>
        <v>18.949911284050891</v>
      </c>
      <c r="R234" s="4">
        <f t="shared" si="48"/>
        <v>101.6931295467645</v>
      </c>
      <c r="S234" s="4">
        <f t="shared" si="49"/>
        <v>244.3958893217123</v>
      </c>
      <c r="T234" s="4">
        <f t="shared" si="50"/>
        <v>647.64910670253755</v>
      </c>
      <c r="U234" s="4">
        <v>42</v>
      </c>
      <c r="V234" s="4">
        <v>0.2</v>
      </c>
      <c r="W234" s="4">
        <v>0</v>
      </c>
    </row>
    <row r="235" spans="1:25" x14ac:dyDescent="0.25">
      <c r="A235" s="4" t="s">
        <v>67</v>
      </c>
      <c r="B235" s="4" t="s">
        <v>68</v>
      </c>
      <c r="C235" s="4">
        <v>4</v>
      </c>
      <c r="D235" s="4">
        <v>1</v>
      </c>
      <c r="E235" s="4">
        <f t="shared" si="45"/>
        <v>4</v>
      </c>
      <c r="F235" s="4">
        <v>230.06</v>
      </c>
      <c r="G235" s="4">
        <v>609.66999999999996</v>
      </c>
      <c r="H235" s="4">
        <v>95.727965999999995</v>
      </c>
      <c r="I235" s="4">
        <v>9.5727965999999998E-2</v>
      </c>
      <c r="J235" s="4">
        <v>9.5699999999999995E-5</v>
      </c>
      <c r="K235" s="4">
        <v>0.21104378800000001</v>
      </c>
      <c r="L235" s="4">
        <v>1.29E-2</v>
      </c>
      <c r="M235" s="4">
        <v>3.05</v>
      </c>
      <c r="N235" s="4">
        <v>18.578032220000001</v>
      </c>
      <c r="O235" s="4">
        <f t="shared" si="46"/>
        <v>0.41167557715465103</v>
      </c>
      <c r="P235" s="4">
        <f t="shared" si="47"/>
        <v>9.1055840579042098</v>
      </c>
      <c r="Q235" s="4">
        <f t="shared" si="51"/>
        <v>23.128183507076695</v>
      </c>
      <c r="R235" s="4">
        <f t="shared" si="48"/>
        <v>186.73312278517432</v>
      </c>
      <c r="S235" s="4">
        <f t="shared" si="49"/>
        <v>448.76982164185131</v>
      </c>
      <c r="T235" s="4">
        <f t="shared" si="50"/>
        <v>1189.2400273509058</v>
      </c>
      <c r="U235" s="4">
        <v>42</v>
      </c>
      <c r="V235" s="4">
        <v>0.2</v>
      </c>
      <c r="W235" s="4">
        <v>0</v>
      </c>
    </row>
    <row r="236" spans="1:25" x14ac:dyDescent="0.25">
      <c r="A236" s="4" t="s">
        <v>67</v>
      </c>
      <c r="B236" s="4" t="s">
        <v>68</v>
      </c>
      <c r="C236" s="4">
        <v>5</v>
      </c>
      <c r="D236" s="4">
        <v>1</v>
      </c>
      <c r="E236" s="4">
        <f t="shared" si="45"/>
        <v>5</v>
      </c>
      <c r="F236" s="4">
        <v>437.81</v>
      </c>
      <c r="G236" s="4">
        <v>1160.21</v>
      </c>
      <c r="H236" s="4">
        <v>182.172741</v>
      </c>
      <c r="I236" s="4">
        <v>0.182172741</v>
      </c>
      <c r="J236" s="4">
        <v>1.8217299999999999E-4</v>
      </c>
      <c r="K236" s="4">
        <v>0.40162166799999999</v>
      </c>
      <c r="L236" s="4">
        <v>1.29E-2</v>
      </c>
      <c r="M236" s="4">
        <v>3.05</v>
      </c>
      <c r="N236" s="4">
        <v>22.941450830000001</v>
      </c>
      <c r="O236" s="4">
        <f t="shared" si="46"/>
        <v>0.62700864797761546</v>
      </c>
      <c r="P236" s="4">
        <f t="shared" si="47"/>
        <v>10.452387193228118</v>
      </c>
      <c r="Q236" s="4">
        <f t="shared" si="51"/>
        <v>26.549063470799421</v>
      </c>
      <c r="R236" s="4">
        <f t="shared" si="48"/>
        <v>284.40667687747344</v>
      </c>
      <c r="S236" s="4">
        <f t="shared" si="49"/>
        <v>683.50559211120753</v>
      </c>
      <c r="T236" s="4">
        <f t="shared" si="50"/>
        <v>1811.2898190946999</v>
      </c>
      <c r="U236" s="4">
        <v>42</v>
      </c>
      <c r="V236" s="4">
        <v>0.2</v>
      </c>
      <c r="W236" s="4">
        <v>0</v>
      </c>
    </row>
    <row r="237" spans="1:25" x14ac:dyDescent="0.25">
      <c r="A237" s="4" t="s">
        <v>67</v>
      </c>
      <c r="B237" s="4" t="s">
        <v>68</v>
      </c>
      <c r="C237" s="4">
        <v>6</v>
      </c>
      <c r="D237" s="4">
        <v>1</v>
      </c>
      <c r="E237" s="4">
        <f t="shared" si="45"/>
        <v>6</v>
      </c>
      <c r="F237" s="4">
        <v>498.6</v>
      </c>
      <c r="G237" s="4">
        <v>1321.3</v>
      </c>
      <c r="H237" s="4">
        <v>207.46745999999999</v>
      </c>
      <c r="I237" s="4">
        <v>0.20746745999999999</v>
      </c>
      <c r="J237" s="4">
        <v>2.07467E-4</v>
      </c>
      <c r="K237" s="4">
        <v>0.45738691199999998</v>
      </c>
      <c r="L237" s="4">
        <v>1.29E-2</v>
      </c>
      <c r="M237" s="4">
        <v>3.05</v>
      </c>
      <c r="N237" s="4">
        <v>23.940571739999999</v>
      </c>
      <c r="O237" s="4">
        <f t="shared" si="46"/>
        <v>0.85137539381242777</v>
      </c>
      <c r="P237" s="4">
        <f t="shared" si="47"/>
        <v>11.555056338459654</v>
      </c>
      <c r="Q237" s="4">
        <f t="shared" si="51"/>
        <v>29.349843099687519</v>
      </c>
      <c r="R237" s="4">
        <f t="shared" si="48"/>
        <v>386.17784190129265</v>
      </c>
      <c r="S237" s="4">
        <f t="shared" si="49"/>
        <v>928.08902163252264</v>
      </c>
      <c r="T237" s="4">
        <f t="shared" si="50"/>
        <v>2459.4359073261849</v>
      </c>
      <c r="U237" s="4">
        <v>42</v>
      </c>
      <c r="V237" s="4">
        <v>0.2</v>
      </c>
      <c r="W237" s="4">
        <v>0</v>
      </c>
    </row>
    <row r="238" spans="1:25" x14ac:dyDescent="0.25">
      <c r="A238" s="4" t="s">
        <v>67</v>
      </c>
      <c r="B238" s="4" t="s">
        <v>68</v>
      </c>
      <c r="C238" s="4">
        <v>7</v>
      </c>
      <c r="D238" s="4">
        <v>1</v>
      </c>
      <c r="E238" s="4">
        <f t="shared" si="45"/>
        <v>7</v>
      </c>
      <c r="F238" s="4">
        <v>581.54999999999995</v>
      </c>
      <c r="G238" s="4">
        <v>1541.12</v>
      </c>
      <c r="H238" s="4">
        <v>241.982955</v>
      </c>
      <c r="I238" s="4">
        <v>0.241982955</v>
      </c>
      <c r="J238" s="4">
        <v>2.41983E-4</v>
      </c>
      <c r="K238" s="4">
        <v>0.53348046199999999</v>
      </c>
      <c r="L238" s="4">
        <v>1.29E-2</v>
      </c>
      <c r="M238" s="4">
        <v>3.05</v>
      </c>
      <c r="N238" s="4">
        <v>25.1795267</v>
      </c>
      <c r="O238" s="4">
        <f t="shared" si="46"/>
        <v>1.070945216199229</v>
      </c>
      <c r="P238" s="4">
        <f t="shared" si="47"/>
        <v>12.457845478130915</v>
      </c>
      <c r="Q238" s="4">
        <f t="shared" si="51"/>
        <v>31.642927514452527</v>
      </c>
      <c r="R238" s="4">
        <f t="shared" si="48"/>
        <v>485.77315646198849</v>
      </c>
      <c r="S238" s="4">
        <f t="shared" si="49"/>
        <v>1167.443298394589</v>
      </c>
      <c r="T238" s="4">
        <f t="shared" si="50"/>
        <v>3093.7247407456607</v>
      </c>
      <c r="U238" s="4">
        <v>42</v>
      </c>
      <c r="V238" s="4">
        <v>0.2</v>
      </c>
      <c r="W238" s="4">
        <v>0</v>
      </c>
    </row>
    <row r="239" spans="1:25" x14ac:dyDescent="0.25">
      <c r="A239" s="4" t="s">
        <v>67</v>
      </c>
      <c r="B239" s="4" t="s">
        <v>68</v>
      </c>
      <c r="C239" s="4">
        <v>8</v>
      </c>
      <c r="D239" s="4">
        <v>1</v>
      </c>
      <c r="E239" s="4">
        <f t="shared" si="45"/>
        <v>8</v>
      </c>
      <c r="F239" s="4">
        <v>607.61</v>
      </c>
      <c r="G239" s="4">
        <v>1610.16</v>
      </c>
      <c r="H239" s="4">
        <v>252.82652100000001</v>
      </c>
      <c r="I239" s="4">
        <v>0.25282652100000003</v>
      </c>
      <c r="J239" s="4">
        <v>2.5282700000000001E-4</v>
      </c>
      <c r="K239" s="4">
        <v>0.55738640500000003</v>
      </c>
      <c r="L239" s="4">
        <v>1.29E-2</v>
      </c>
      <c r="M239" s="4">
        <v>3.05</v>
      </c>
      <c r="N239" s="4">
        <v>25.54403387</v>
      </c>
      <c r="O239" s="4">
        <f t="shared" si="46"/>
        <v>1.2767749871137366</v>
      </c>
      <c r="P239" s="4">
        <f t="shared" si="47"/>
        <v>13.196986710324596</v>
      </c>
      <c r="Q239" s="4">
        <f t="shared" si="51"/>
        <v>33.520346244224477</v>
      </c>
      <c r="R239" s="4">
        <f t="shared" si="48"/>
        <v>579.13608109957113</v>
      </c>
      <c r="S239" s="4">
        <f t="shared" si="49"/>
        <v>1391.8194691169697</v>
      </c>
      <c r="T239" s="4">
        <f t="shared" si="50"/>
        <v>3688.3215931599693</v>
      </c>
      <c r="U239" s="4">
        <v>42</v>
      </c>
      <c r="V239" s="4">
        <v>0.2</v>
      </c>
      <c r="W239" s="4">
        <v>0</v>
      </c>
    </row>
    <row r="240" spans="1:25" x14ac:dyDescent="0.25">
      <c r="A240" s="4" t="s">
        <v>67</v>
      </c>
      <c r="B240" s="4" t="s">
        <v>68</v>
      </c>
      <c r="C240" s="4">
        <v>9</v>
      </c>
      <c r="D240" s="4">
        <v>1</v>
      </c>
      <c r="E240" s="4">
        <f t="shared" si="45"/>
        <v>9</v>
      </c>
      <c r="F240" s="4">
        <v>704.28</v>
      </c>
      <c r="G240" s="4">
        <v>1866.37</v>
      </c>
      <c r="H240" s="4">
        <v>293.05090799999999</v>
      </c>
      <c r="I240" s="4">
        <v>0.293050908</v>
      </c>
      <c r="J240" s="4">
        <v>2.9305100000000001E-4</v>
      </c>
      <c r="K240" s="4">
        <v>0.64606589299999995</v>
      </c>
      <c r="L240" s="4">
        <v>1.29E-2</v>
      </c>
      <c r="M240" s="4">
        <v>3.05</v>
      </c>
      <c r="N240" s="4">
        <v>26.810973130000001</v>
      </c>
      <c r="O240" s="4">
        <f t="shared" si="46"/>
        <v>1.4638727094694686</v>
      </c>
      <c r="P240" s="4">
        <f t="shared" si="47"/>
        <v>13.802144367989513</v>
      </c>
      <c r="Q240" s="4">
        <f t="shared" si="51"/>
        <v>35.057446694693361</v>
      </c>
      <c r="R240" s="4">
        <f t="shared" si="48"/>
        <v>664.00228133168912</v>
      </c>
      <c r="S240" s="4">
        <f t="shared" si="49"/>
        <v>1595.7757301891108</v>
      </c>
      <c r="T240" s="4">
        <f t="shared" si="50"/>
        <v>4228.8056850011435</v>
      </c>
      <c r="U240" s="4">
        <v>42</v>
      </c>
      <c r="V240" s="4">
        <v>0.2</v>
      </c>
      <c r="W240" s="4">
        <v>0</v>
      </c>
    </row>
    <row r="241" spans="1:28" x14ac:dyDescent="0.25">
      <c r="A241" s="4" t="s">
        <v>67</v>
      </c>
      <c r="B241" s="4" t="s">
        <v>68</v>
      </c>
      <c r="C241" s="4">
        <v>10</v>
      </c>
      <c r="D241" s="4">
        <v>1</v>
      </c>
      <c r="E241" s="4">
        <f t="shared" si="45"/>
        <v>10</v>
      </c>
      <c r="F241" s="4">
        <v>759.34</v>
      </c>
      <c r="G241" s="4">
        <v>2012.27</v>
      </c>
      <c r="H241" s="4">
        <v>315.96137399999998</v>
      </c>
      <c r="I241" s="4">
        <v>0.31596137400000002</v>
      </c>
      <c r="J241" s="4">
        <v>3.1596100000000002E-4</v>
      </c>
      <c r="K241" s="4">
        <v>0.69657476399999996</v>
      </c>
      <c r="L241" s="4">
        <v>1.29E-2</v>
      </c>
      <c r="M241" s="4">
        <v>3.05</v>
      </c>
      <c r="N241" s="4">
        <v>27.480897519999999</v>
      </c>
      <c r="O241" s="4">
        <f t="shared" si="46"/>
        <v>1.6301192980268571</v>
      </c>
      <c r="P241" s="4">
        <f t="shared" si="47"/>
        <v>14.297605552780421</v>
      </c>
      <c r="Q241" s="4">
        <f t="shared" si="51"/>
        <v>36.31591810406227</v>
      </c>
      <c r="R241" s="4">
        <f t="shared" si="48"/>
        <v>739.41055511918478</v>
      </c>
      <c r="S241" s="4">
        <f t="shared" si="49"/>
        <v>1777.0020550809536</v>
      </c>
      <c r="T241" s="4">
        <f t="shared" si="50"/>
        <v>4709.0554459645273</v>
      </c>
      <c r="U241" s="4">
        <v>42</v>
      </c>
      <c r="V241" s="4">
        <v>0.2</v>
      </c>
      <c r="W241" s="4">
        <v>0</v>
      </c>
    </row>
    <row r="242" spans="1:28" x14ac:dyDescent="0.25">
      <c r="A242" s="4" t="s">
        <v>69</v>
      </c>
      <c r="B242" s="4" t="s">
        <v>70</v>
      </c>
      <c r="C242" s="4">
        <v>1</v>
      </c>
      <c r="D242" s="4">
        <v>1</v>
      </c>
      <c r="E242" s="4">
        <f t="shared" si="45"/>
        <v>1</v>
      </c>
      <c r="F242" s="4">
        <v>48.065368900000003</v>
      </c>
      <c r="G242" s="4">
        <v>127.37322760000001</v>
      </c>
      <c r="H242" s="4">
        <v>20</v>
      </c>
      <c r="I242" s="4">
        <v>0.02</v>
      </c>
      <c r="J242" s="4">
        <v>2.0000000000000002E-5</v>
      </c>
      <c r="K242" s="4">
        <v>4.4092399999999997E-2</v>
      </c>
      <c r="L242" s="4">
        <v>0.01</v>
      </c>
      <c r="M242" s="4">
        <v>2.9</v>
      </c>
      <c r="N242" s="4">
        <v>13.749477840000001</v>
      </c>
      <c r="O242" s="4">
        <f t="shared" si="46"/>
        <v>9.5162548772999445E-3</v>
      </c>
      <c r="P242" s="4">
        <f t="shared" si="47"/>
        <v>3.1903079158645773</v>
      </c>
      <c r="Q242" s="4">
        <f t="shared" si="51"/>
        <v>8.1033821062960261</v>
      </c>
      <c r="R242" s="4">
        <f t="shared" si="48"/>
        <v>4.3165057367255786</v>
      </c>
      <c r="S242" s="4">
        <f t="shared" si="49"/>
        <v>10.373722030102327</v>
      </c>
      <c r="T242" s="4">
        <f t="shared" si="50"/>
        <v>27.490363379771164</v>
      </c>
      <c r="U242" s="4">
        <v>37.700000000000003</v>
      </c>
      <c r="V242" s="4">
        <v>0.24199999999999999</v>
      </c>
      <c r="W242" s="4">
        <v>0</v>
      </c>
    </row>
    <row r="243" spans="1:28" x14ac:dyDescent="0.25">
      <c r="A243" s="4" t="s">
        <v>69</v>
      </c>
      <c r="B243" s="4" t="s">
        <v>70</v>
      </c>
      <c r="C243" s="4">
        <v>2</v>
      </c>
      <c r="D243" s="4">
        <v>1</v>
      </c>
      <c r="E243" s="4">
        <f t="shared" si="45"/>
        <v>2</v>
      </c>
      <c r="F243" s="4">
        <v>120.16342229999999</v>
      </c>
      <c r="G243" s="4">
        <v>318.43306899999999</v>
      </c>
      <c r="H243" s="4">
        <v>50.000000020000002</v>
      </c>
      <c r="I243" s="4">
        <v>0.05</v>
      </c>
      <c r="J243" s="4">
        <v>5.0000000000000002E-5</v>
      </c>
      <c r="K243" s="4">
        <v>0.110231</v>
      </c>
      <c r="L243" s="4">
        <v>0.01</v>
      </c>
      <c r="M243" s="4">
        <v>2.9</v>
      </c>
      <c r="N243" s="4">
        <v>18.85848923</v>
      </c>
      <c r="O243" s="4">
        <f t="shared" si="46"/>
        <v>5.1080664891453721E-2</v>
      </c>
      <c r="P243" s="4">
        <f t="shared" si="47"/>
        <v>5.6948788535065669</v>
      </c>
      <c r="Q243" s="4">
        <f t="shared" si="51"/>
        <v>14.46499228790668</v>
      </c>
      <c r="R243" s="4">
        <f t="shared" si="48"/>
        <v>23.169827404021429</v>
      </c>
      <c r="S243" s="4">
        <f t="shared" si="49"/>
        <v>55.683315078157726</v>
      </c>
      <c r="T243" s="4">
        <f t="shared" si="50"/>
        <v>147.56078495711796</v>
      </c>
      <c r="U243" s="4">
        <v>37.700000000000003</v>
      </c>
      <c r="V243" s="4">
        <v>0.24199999999999999</v>
      </c>
      <c r="W243" s="4">
        <v>0</v>
      </c>
    </row>
    <row r="244" spans="1:28" x14ac:dyDescent="0.25">
      <c r="A244" s="4" t="s">
        <v>69</v>
      </c>
      <c r="B244" s="4" t="s">
        <v>70</v>
      </c>
      <c r="C244" s="4">
        <v>3</v>
      </c>
      <c r="D244" s="4">
        <v>1</v>
      </c>
      <c r="E244" s="4">
        <f t="shared" si="45"/>
        <v>3</v>
      </c>
      <c r="F244" s="4">
        <v>192.26147560000001</v>
      </c>
      <c r="G244" s="4">
        <v>509.49291040000003</v>
      </c>
      <c r="H244" s="4">
        <v>80</v>
      </c>
      <c r="I244" s="4">
        <v>0.08</v>
      </c>
      <c r="J244" s="4">
        <v>8.0000000000000007E-5</v>
      </c>
      <c r="K244" s="4">
        <v>0.17636959999999999</v>
      </c>
      <c r="L244" s="4">
        <v>0.01</v>
      </c>
      <c r="M244" s="4">
        <v>2.9</v>
      </c>
      <c r="N244" s="4">
        <v>22.176504810000001</v>
      </c>
      <c r="O244" s="4">
        <f t="shared" si="46"/>
        <v>0.12072496109088769</v>
      </c>
      <c r="P244" s="4">
        <f t="shared" si="47"/>
        <v>7.6611077402191885</v>
      </c>
      <c r="Q244" s="4">
        <f t="shared" si="51"/>
        <v>19.459213660156738</v>
      </c>
      <c r="R244" s="4">
        <f t="shared" si="48"/>
        <v>54.759986342720147</v>
      </c>
      <c r="S244" s="4">
        <f t="shared" si="49"/>
        <v>131.6029472307622</v>
      </c>
      <c r="T244" s="4">
        <f t="shared" si="50"/>
        <v>348.74781016151979</v>
      </c>
      <c r="U244" s="4">
        <v>37.700000000000003</v>
      </c>
      <c r="V244" s="4">
        <v>0.24199999999999999</v>
      </c>
      <c r="W244" s="4">
        <v>0</v>
      </c>
    </row>
    <row r="245" spans="1:28" x14ac:dyDescent="0.25">
      <c r="A245" s="4" t="s">
        <v>69</v>
      </c>
      <c r="B245" s="4" t="s">
        <v>70</v>
      </c>
      <c r="C245" s="4">
        <v>4</v>
      </c>
      <c r="D245" s="4">
        <v>1</v>
      </c>
      <c r="E245" s="4">
        <f t="shared" ref="E245:E308" si="52">C245*D245</f>
        <v>4</v>
      </c>
      <c r="F245" s="4">
        <v>242.73011299999999</v>
      </c>
      <c r="G245" s="4">
        <v>643.23479940000004</v>
      </c>
      <c r="H245" s="4">
        <v>101</v>
      </c>
      <c r="I245" s="4">
        <v>0.10100000000000001</v>
      </c>
      <c r="J245" s="4">
        <v>1.01E-4</v>
      </c>
      <c r="K245" s="4">
        <v>0.22266662000000001</v>
      </c>
      <c r="L245" s="4">
        <v>0.01</v>
      </c>
      <c r="M245" s="4">
        <v>2.9</v>
      </c>
      <c r="N245" s="4">
        <v>24.032584270000001</v>
      </c>
      <c r="O245" s="4">
        <f t="shared" si="46"/>
        <v>0.20557985257407074</v>
      </c>
      <c r="P245" s="4">
        <f t="shared" si="47"/>
        <v>9.2047078742137884</v>
      </c>
      <c r="Q245" s="4">
        <f t="shared" si="51"/>
        <v>23.379958000503024</v>
      </c>
      <c r="R245" s="4">
        <f t="shared" si="48"/>
        <v>93.249563450422627</v>
      </c>
      <c r="S245" s="4">
        <f t="shared" si="49"/>
        <v>224.10373335838173</v>
      </c>
      <c r="T245" s="4">
        <f t="shared" si="50"/>
        <v>593.8748933997116</v>
      </c>
      <c r="U245" s="4">
        <v>37.700000000000003</v>
      </c>
      <c r="V245" s="4">
        <v>0.24199999999999999</v>
      </c>
      <c r="W245" s="4">
        <v>0</v>
      </c>
    </row>
    <row r="246" spans="1:28" x14ac:dyDescent="0.25">
      <c r="A246" s="4" t="s">
        <v>69</v>
      </c>
      <c r="B246" s="4" t="s">
        <v>70</v>
      </c>
      <c r="C246" s="4">
        <v>5</v>
      </c>
      <c r="D246" s="4">
        <v>1</v>
      </c>
      <c r="E246" s="4">
        <f t="shared" si="52"/>
        <v>5</v>
      </c>
      <c r="F246" s="4">
        <v>254.74645520000001</v>
      </c>
      <c r="G246" s="4">
        <v>675.07810619999998</v>
      </c>
      <c r="H246" s="4">
        <v>106</v>
      </c>
      <c r="I246" s="4">
        <v>0.106</v>
      </c>
      <c r="J246" s="4">
        <v>1.06E-4</v>
      </c>
      <c r="K246" s="4">
        <v>0.23368971999999999</v>
      </c>
      <c r="L246" s="4">
        <v>0.01</v>
      </c>
      <c r="M246" s="4">
        <v>2.9</v>
      </c>
      <c r="N246" s="4">
        <v>24.43635948</v>
      </c>
      <c r="O246" s="4">
        <f t="shared" si="46"/>
        <v>0.29427088552397013</v>
      </c>
      <c r="P246" s="4">
        <f t="shared" si="47"/>
        <v>10.416520695076082</v>
      </c>
      <c r="Q246" s="4">
        <f t="shared" si="51"/>
        <v>26.457962565493247</v>
      </c>
      <c r="R246" s="4">
        <f t="shared" si="48"/>
        <v>133.47918712701969</v>
      </c>
      <c r="S246" s="4">
        <f t="shared" si="49"/>
        <v>320.7863184980045</v>
      </c>
      <c r="T246" s="4">
        <f t="shared" si="50"/>
        <v>850.08374401971196</v>
      </c>
      <c r="U246" s="4">
        <v>37.700000000000003</v>
      </c>
      <c r="V246" s="4">
        <v>0.24199999999999999</v>
      </c>
      <c r="W246" s="4">
        <v>0</v>
      </c>
    </row>
    <row r="247" spans="1:28" x14ac:dyDescent="0.25">
      <c r="A247" s="4" t="s">
        <v>69</v>
      </c>
      <c r="B247" s="4" t="s">
        <v>70</v>
      </c>
      <c r="C247" s="4">
        <v>6</v>
      </c>
      <c r="D247" s="4">
        <v>1</v>
      </c>
      <c r="E247" s="4">
        <f t="shared" si="52"/>
        <v>6</v>
      </c>
      <c r="F247" s="4">
        <v>283.32131700000002</v>
      </c>
      <c r="G247" s="4">
        <v>750.80149010000002</v>
      </c>
      <c r="H247" s="4">
        <v>117.89</v>
      </c>
      <c r="I247" s="4">
        <v>0.11788999999999999</v>
      </c>
      <c r="J247" s="4">
        <v>1.1789E-4</v>
      </c>
      <c r="K247" s="4">
        <v>0.25990265200000001</v>
      </c>
      <c r="L247" s="4">
        <v>0.01</v>
      </c>
      <c r="M247" s="4">
        <v>2.9</v>
      </c>
      <c r="N247" s="4">
        <v>25.348809930000002</v>
      </c>
      <c r="O247" s="4">
        <f t="shared" si="46"/>
        <v>0.37915780659131448</v>
      </c>
      <c r="P247" s="4">
        <f t="shared" si="47"/>
        <v>11.367861836130533</v>
      </c>
      <c r="Q247" s="4">
        <f t="shared" si="51"/>
        <v>28.874369063771553</v>
      </c>
      <c r="R247" s="4">
        <f t="shared" si="48"/>
        <v>171.98329262698991</v>
      </c>
      <c r="S247" s="4">
        <f t="shared" si="49"/>
        <v>413.32202025231896</v>
      </c>
      <c r="T247" s="4">
        <f t="shared" si="50"/>
        <v>1095.3033536686453</v>
      </c>
      <c r="U247" s="4">
        <v>37.700000000000003</v>
      </c>
      <c r="V247" s="4">
        <v>0.24199999999999999</v>
      </c>
      <c r="W247" s="4">
        <v>0</v>
      </c>
    </row>
    <row r="248" spans="1:28" x14ac:dyDescent="0.25">
      <c r="A248" s="4" t="s">
        <v>69</v>
      </c>
      <c r="B248" s="4" t="s">
        <v>70</v>
      </c>
      <c r="C248" s="4">
        <v>7</v>
      </c>
      <c r="D248" s="4">
        <v>1</v>
      </c>
      <c r="E248" s="4">
        <f t="shared" si="52"/>
        <v>7</v>
      </c>
      <c r="F248" s="4">
        <v>314.44364339999998</v>
      </c>
      <c r="G248" s="4">
        <v>833.27565500000003</v>
      </c>
      <c r="H248" s="4">
        <v>130.84</v>
      </c>
      <c r="I248" s="4">
        <v>0.13084000000000001</v>
      </c>
      <c r="J248" s="4">
        <v>1.3083999999999999E-4</v>
      </c>
      <c r="K248" s="4">
        <v>0.28845248099999998</v>
      </c>
      <c r="L248" s="4">
        <v>0.01</v>
      </c>
      <c r="M248" s="4">
        <v>2.9</v>
      </c>
      <c r="N248" s="4">
        <v>26.276390169999999</v>
      </c>
      <c r="O248" s="4">
        <f t="shared" si="46"/>
        <v>0.45599504768110882</v>
      </c>
      <c r="P248" s="4">
        <f t="shared" si="47"/>
        <v>12.114718075874537</v>
      </c>
      <c r="Q248" s="4">
        <f t="shared" si="51"/>
        <v>30.771383912721323</v>
      </c>
      <c r="R248" s="4">
        <f t="shared" si="48"/>
        <v>206.8361203659174</v>
      </c>
      <c r="S248" s="4">
        <f t="shared" si="49"/>
        <v>497.08272137927759</v>
      </c>
      <c r="T248" s="4">
        <f t="shared" si="50"/>
        <v>1317.2692116550857</v>
      </c>
      <c r="U248" s="4">
        <v>37.700000000000003</v>
      </c>
      <c r="V248" s="4">
        <v>0.24199999999999999</v>
      </c>
      <c r="W248" s="4">
        <v>0</v>
      </c>
    </row>
    <row r="249" spans="1:28" x14ac:dyDescent="0.25">
      <c r="A249" s="4" t="s">
        <v>69</v>
      </c>
      <c r="B249" s="4" t="s">
        <v>70</v>
      </c>
      <c r="C249" s="4">
        <v>8</v>
      </c>
      <c r="D249" s="4">
        <v>1</v>
      </c>
      <c r="E249" s="4">
        <f t="shared" si="52"/>
        <v>8</v>
      </c>
      <c r="F249" s="4">
        <v>345.5659698</v>
      </c>
      <c r="G249" s="4">
        <v>915.74981979999995</v>
      </c>
      <c r="H249" s="4">
        <v>143.79</v>
      </c>
      <c r="I249" s="4">
        <v>0.14379</v>
      </c>
      <c r="J249" s="4">
        <v>1.4379E-4</v>
      </c>
      <c r="K249" s="4">
        <v>0.31700231000000001</v>
      </c>
      <c r="L249" s="4">
        <v>0.01</v>
      </c>
      <c r="M249" s="4">
        <v>2.9</v>
      </c>
      <c r="N249" s="4">
        <v>27.145606300000001</v>
      </c>
      <c r="O249" s="4">
        <f t="shared" si="46"/>
        <v>0.52298069795271684</v>
      </c>
      <c r="P249" s="4">
        <f t="shared" si="47"/>
        <v>12.701042180628697</v>
      </c>
      <c r="Q249" s="4">
        <f t="shared" si="51"/>
        <v>32.260647138796891</v>
      </c>
      <c r="R249" s="4">
        <f t="shared" si="48"/>
        <v>237.22033636305432</v>
      </c>
      <c r="S249" s="4">
        <f t="shared" si="49"/>
        <v>570.10414891385335</v>
      </c>
      <c r="T249" s="4">
        <f t="shared" si="50"/>
        <v>1510.7759946217113</v>
      </c>
      <c r="U249" s="4">
        <v>37.700000000000003</v>
      </c>
      <c r="V249" s="4">
        <v>0.24199999999999999</v>
      </c>
      <c r="W249" s="4">
        <v>0</v>
      </c>
    </row>
    <row r="250" spans="1:28" x14ac:dyDescent="0.25">
      <c r="A250" s="4" t="s">
        <v>69</v>
      </c>
      <c r="B250" s="4" t="s">
        <v>70</v>
      </c>
      <c r="C250" s="4">
        <v>9</v>
      </c>
      <c r="D250" s="4">
        <v>1</v>
      </c>
      <c r="E250" s="4">
        <f t="shared" si="52"/>
        <v>9</v>
      </c>
      <c r="F250" s="4">
        <v>372.74693589999998</v>
      </c>
      <c r="G250" s="4">
        <v>987.77937999999995</v>
      </c>
      <c r="H250" s="4">
        <v>155.1</v>
      </c>
      <c r="I250" s="4">
        <v>0.15509999999999999</v>
      </c>
      <c r="J250" s="4">
        <v>1.551E-4</v>
      </c>
      <c r="K250" s="4">
        <v>0.341936562</v>
      </c>
      <c r="L250" s="4">
        <v>0.01</v>
      </c>
      <c r="M250" s="4">
        <v>2.9</v>
      </c>
      <c r="N250" s="4">
        <v>27.86368495</v>
      </c>
      <c r="O250" s="4">
        <f t="shared" si="46"/>
        <v>0.57985818507813769</v>
      </c>
      <c r="P250" s="4">
        <f t="shared" si="47"/>
        <v>13.161339541113493</v>
      </c>
      <c r="Q250" s="4">
        <f t="shared" si="51"/>
        <v>33.429802434428275</v>
      </c>
      <c r="R250" s="4">
        <f t="shared" si="48"/>
        <v>263.01956122966209</v>
      </c>
      <c r="S250" s="4">
        <f t="shared" si="49"/>
        <v>632.10661194343209</v>
      </c>
      <c r="T250" s="4">
        <f t="shared" si="50"/>
        <v>1675.082521650095</v>
      </c>
      <c r="U250" s="4">
        <v>37.700000000000003</v>
      </c>
      <c r="V250" s="4">
        <v>0.24199999999999999</v>
      </c>
      <c r="W250" s="4">
        <v>0</v>
      </c>
    </row>
    <row r="251" spans="1:28" x14ac:dyDescent="0.25">
      <c r="A251" s="4" t="s">
        <v>69</v>
      </c>
      <c r="B251" s="4" t="s">
        <v>70</v>
      </c>
      <c r="C251" s="4">
        <v>10</v>
      </c>
      <c r="D251" s="4">
        <v>1</v>
      </c>
      <c r="E251" s="4">
        <f t="shared" si="52"/>
        <v>10</v>
      </c>
      <c r="F251" s="4">
        <v>408.79596249999997</v>
      </c>
      <c r="G251" s="4">
        <v>1083.309301</v>
      </c>
      <c r="H251" s="4">
        <v>170.1</v>
      </c>
      <c r="I251" s="4">
        <v>0.1701</v>
      </c>
      <c r="J251" s="4">
        <v>1.7009999999999999E-4</v>
      </c>
      <c r="K251" s="4">
        <v>0.37500586200000002</v>
      </c>
      <c r="L251" s="4">
        <v>0.01</v>
      </c>
      <c r="M251" s="4">
        <v>2.9</v>
      </c>
      <c r="N251" s="4">
        <v>28.764945560000001</v>
      </c>
      <c r="O251" s="4">
        <f t="shared" si="46"/>
        <v>0.62724225960754854</v>
      </c>
      <c r="P251" s="4">
        <f t="shared" si="47"/>
        <v>13.522698827472889</v>
      </c>
      <c r="Q251" s="4">
        <f t="shared" si="51"/>
        <v>34.347655021781136</v>
      </c>
      <c r="R251" s="4">
        <f t="shared" si="48"/>
        <v>284.51264145637276</v>
      </c>
      <c r="S251" s="4">
        <f t="shared" si="49"/>
        <v>683.76025343997298</v>
      </c>
      <c r="T251" s="4">
        <f t="shared" si="50"/>
        <v>1811.9646716159284</v>
      </c>
      <c r="U251" s="4">
        <v>37.700000000000003</v>
      </c>
      <c r="V251" s="4">
        <v>0.24199999999999999</v>
      </c>
      <c r="W251" s="4">
        <v>0</v>
      </c>
    </row>
    <row r="252" spans="1:28" x14ac:dyDescent="0.25">
      <c r="A252" s="2" t="s">
        <v>71</v>
      </c>
      <c r="B252" s="4" t="s">
        <v>72</v>
      </c>
      <c r="C252" s="4">
        <v>1</v>
      </c>
      <c r="D252" s="4">
        <v>1</v>
      </c>
      <c r="E252" s="4">
        <f t="shared" si="52"/>
        <v>1</v>
      </c>
      <c r="F252" s="4">
        <v>2.6676279740000002</v>
      </c>
      <c r="G252" s="4">
        <v>7.0692141299999998</v>
      </c>
      <c r="H252" s="4">
        <f t="shared" ref="H252:H261" si="53">F252*3.65*5.7*20/1000</f>
        <v>1.1099999999814001</v>
      </c>
      <c r="I252" s="4">
        <f t="shared" ref="I252:J261" si="54">H252/1000</f>
        <v>1.1099999999814002E-3</v>
      </c>
      <c r="J252" s="4">
        <f t="shared" si="54"/>
        <v>1.1099999999814002E-6</v>
      </c>
      <c r="K252" s="4">
        <f t="shared" ref="K252:K261" si="55">I252*2.20462</f>
        <v>2.447128199958994E-3</v>
      </c>
      <c r="L252" s="3">
        <v>1.0999999999999999E-2</v>
      </c>
      <c r="M252" s="3">
        <v>3.01</v>
      </c>
      <c r="N252" s="4">
        <f t="shared" ref="N252:N261" si="56">(H252/L252)^(1/M252)</f>
        <v>4.6318829138707471</v>
      </c>
      <c r="O252" s="4">
        <f t="shared" si="46"/>
        <v>3.663653069333461E-4</v>
      </c>
      <c r="P252" s="4">
        <f t="shared" si="47"/>
        <v>0.97033805761290604</v>
      </c>
      <c r="Q252" s="4">
        <f t="shared" si="51"/>
        <v>2.4646586663367813</v>
      </c>
      <c r="R252" s="2">
        <f t="shared" si="48"/>
        <v>0.16618070548817759</v>
      </c>
      <c r="S252" s="2">
        <f t="shared" si="49"/>
        <v>0.39937684568175341</v>
      </c>
      <c r="T252" s="2">
        <f t="shared" si="50"/>
        <v>1.0583486410566465</v>
      </c>
      <c r="U252" s="4">
        <f t="shared" ref="U252:U261" si="57">$AA$254</f>
        <v>9</v>
      </c>
      <c r="V252" s="4">
        <f t="shared" ref="V252:V261" si="58">$AA$255</f>
        <v>0.32</v>
      </c>
      <c r="W252" s="4">
        <v>0</v>
      </c>
      <c r="Y252" s="4" t="s">
        <v>614</v>
      </c>
      <c r="Z252" s="4" t="s">
        <v>615</v>
      </c>
      <c r="AA252" s="4" t="s">
        <v>616</v>
      </c>
      <c r="AB252" s="4" t="s">
        <v>617</v>
      </c>
    </row>
    <row r="253" spans="1:28" x14ac:dyDescent="0.25">
      <c r="A253" s="2" t="s">
        <v>71</v>
      </c>
      <c r="B253" s="4" t="s">
        <v>72</v>
      </c>
      <c r="C253" s="4">
        <v>2</v>
      </c>
      <c r="D253" s="4">
        <v>1</v>
      </c>
      <c r="E253" s="4">
        <f t="shared" si="52"/>
        <v>2</v>
      </c>
      <c r="F253" s="4">
        <v>3.8692621960000002</v>
      </c>
      <c r="G253" s="4">
        <v>10.25354482</v>
      </c>
      <c r="H253" s="4">
        <f t="shared" si="53"/>
        <v>1.6099999997556003</v>
      </c>
      <c r="I253" s="4">
        <f t="shared" si="54"/>
        <v>1.6099999997556003E-3</v>
      </c>
      <c r="J253" s="4">
        <f t="shared" si="54"/>
        <v>1.6099999997556003E-6</v>
      </c>
      <c r="K253" s="4">
        <f t="shared" si="55"/>
        <v>3.5494381994611913E-3</v>
      </c>
      <c r="L253" s="3">
        <v>1.0999999999999999E-2</v>
      </c>
      <c r="M253" s="3">
        <v>3.01</v>
      </c>
      <c r="N253" s="4">
        <f t="shared" si="56"/>
        <v>5.240986248696256</v>
      </c>
      <c r="O253" s="4">
        <f t="shared" si="46"/>
        <v>1.8946107414087817E-3</v>
      </c>
      <c r="P253" s="4">
        <f t="shared" si="47"/>
        <v>1.6749481037844736</v>
      </c>
      <c r="Q253" s="4">
        <f t="shared" si="51"/>
        <v>4.2543681836125629</v>
      </c>
      <c r="R253" s="2">
        <f t="shared" si="48"/>
        <v>0.85938199844362373</v>
      </c>
      <c r="S253" s="2">
        <f t="shared" si="49"/>
        <v>2.0653256391339192</v>
      </c>
      <c r="T253" s="2">
        <f t="shared" si="50"/>
        <v>5.4731129437048853</v>
      </c>
      <c r="U253" s="4">
        <f t="shared" si="57"/>
        <v>9</v>
      </c>
      <c r="V253" s="4">
        <f t="shared" si="58"/>
        <v>0.32</v>
      </c>
      <c r="W253" s="4">
        <v>0</v>
      </c>
      <c r="X253" s="4" t="s">
        <v>422</v>
      </c>
      <c r="Y253" s="4">
        <v>9</v>
      </c>
      <c r="Z253" s="4">
        <v>5.2</v>
      </c>
      <c r="AA253" s="4">
        <v>11</v>
      </c>
      <c r="AB253" s="4">
        <v>8</v>
      </c>
    </row>
    <row r="254" spans="1:28" x14ac:dyDescent="0.25">
      <c r="A254" s="2" t="s">
        <v>71</v>
      </c>
      <c r="B254" s="4" t="s">
        <v>72</v>
      </c>
      <c r="C254" s="4">
        <v>3</v>
      </c>
      <c r="D254" s="4">
        <v>1</v>
      </c>
      <c r="E254" s="4">
        <f t="shared" si="52"/>
        <v>3</v>
      </c>
      <c r="F254" s="4">
        <v>5.0708964190000003</v>
      </c>
      <c r="G254" s="4">
        <v>13.43787551</v>
      </c>
      <c r="H254" s="4">
        <f t="shared" si="53"/>
        <v>2.1099999999459</v>
      </c>
      <c r="I254" s="4">
        <f t="shared" si="54"/>
        <v>2.1099999999458999E-3</v>
      </c>
      <c r="J254" s="4">
        <f t="shared" si="54"/>
        <v>2.1099999999459001E-6</v>
      </c>
      <c r="K254" s="4">
        <f t="shared" si="55"/>
        <v>4.6517481998807298E-3</v>
      </c>
      <c r="L254" s="3">
        <v>1.0999999999999999E-2</v>
      </c>
      <c r="M254" s="3">
        <v>3.01</v>
      </c>
      <c r="N254" s="4">
        <f t="shared" si="56"/>
        <v>5.7337022923298262</v>
      </c>
      <c r="O254" s="4">
        <f t="shared" si="46"/>
        <v>4.2265075202375779E-3</v>
      </c>
      <c r="P254" s="4">
        <f t="shared" si="47"/>
        <v>2.1866000103244061</v>
      </c>
      <c r="Q254" s="4">
        <f t="shared" si="51"/>
        <v>5.5539640262239915</v>
      </c>
      <c r="R254" s="2">
        <f t="shared" si="48"/>
        <v>1.9171138428561738</v>
      </c>
      <c r="S254" s="2">
        <f t="shared" si="49"/>
        <v>4.6073392041724919</v>
      </c>
      <c r="T254" s="2">
        <f t="shared" si="50"/>
        <v>12.209448891057104</v>
      </c>
      <c r="U254" s="4">
        <f t="shared" si="57"/>
        <v>9</v>
      </c>
      <c r="V254" s="4">
        <f t="shared" si="58"/>
        <v>0.32</v>
      </c>
      <c r="W254" s="4">
        <v>0</v>
      </c>
      <c r="X254" s="4" t="s">
        <v>18</v>
      </c>
      <c r="AA254" s="4">
        <v>9</v>
      </c>
    </row>
    <row r="255" spans="1:28" x14ac:dyDescent="0.25">
      <c r="A255" s="2" t="s">
        <v>71</v>
      </c>
      <c r="B255" s="4" t="s">
        <v>72</v>
      </c>
      <c r="C255" s="4">
        <v>4</v>
      </c>
      <c r="D255" s="4">
        <v>1</v>
      </c>
      <c r="E255" s="4">
        <f t="shared" si="52"/>
        <v>4</v>
      </c>
      <c r="F255" s="4">
        <v>5.0829127610000002</v>
      </c>
      <c r="G255" s="4">
        <v>13.469718820000001</v>
      </c>
      <c r="H255" s="4">
        <f t="shared" si="53"/>
        <v>2.1149999998521003</v>
      </c>
      <c r="I255" s="4">
        <f t="shared" si="54"/>
        <v>2.1149999998521002E-3</v>
      </c>
      <c r="J255" s="4">
        <f t="shared" si="54"/>
        <v>2.1149999998521001E-6</v>
      </c>
      <c r="K255" s="4">
        <f t="shared" si="55"/>
        <v>4.6627712996739372E-3</v>
      </c>
      <c r="L255" s="3">
        <v>1.0999999999999999E-2</v>
      </c>
      <c r="M255" s="3">
        <v>3.01</v>
      </c>
      <c r="N255" s="4">
        <f t="shared" si="56"/>
        <v>5.738212669774577</v>
      </c>
      <c r="O255" s="4">
        <f t="shared" si="46"/>
        <v>6.778378402677733E-3</v>
      </c>
      <c r="P255" s="4">
        <f t="shared" si="47"/>
        <v>2.558135549575296</v>
      </c>
      <c r="Q255" s="4">
        <f t="shared" si="51"/>
        <v>6.4976642959212523</v>
      </c>
      <c r="R255" s="2">
        <f t="shared" si="48"/>
        <v>3.0746243809262972</v>
      </c>
      <c r="S255" s="2">
        <f t="shared" si="49"/>
        <v>7.3891477551701454</v>
      </c>
      <c r="T255" s="2">
        <f t="shared" si="50"/>
        <v>19.581241551200886</v>
      </c>
      <c r="U255" s="4">
        <f t="shared" si="57"/>
        <v>9</v>
      </c>
      <c r="V255" s="4">
        <f t="shared" si="58"/>
        <v>0.32</v>
      </c>
      <c r="W255" s="4">
        <v>0</v>
      </c>
      <c r="X255" s="4" t="s">
        <v>19</v>
      </c>
      <c r="AA255" s="4">
        <v>0.32</v>
      </c>
    </row>
    <row r="256" spans="1:28" x14ac:dyDescent="0.25">
      <c r="A256" s="2" t="s">
        <v>71</v>
      </c>
      <c r="B256" s="4" t="s">
        <v>72</v>
      </c>
      <c r="C256" s="4">
        <v>5</v>
      </c>
      <c r="D256" s="4">
        <v>1</v>
      </c>
      <c r="E256" s="4">
        <f t="shared" si="52"/>
        <v>5</v>
      </c>
      <c r="F256" s="4">
        <v>5.0949291030000001</v>
      </c>
      <c r="G256" s="4">
        <v>13.501562119999999</v>
      </c>
      <c r="H256" s="4">
        <f t="shared" si="53"/>
        <v>2.1199999997583001</v>
      </c>
      <c r="I256" s="4">
        <f t="shared" si="54"/>
        <v>2.1199999997583E-3</v>
      </c>
      <c r="J256" s="4">
        <f t="shared" si="54"/>
        <v>2.1199999997583E-6</v>
      </c>
      <c r="K256" s="4">
        <f t="shared" si="55"/>
        <v>4.6737943994671427E-3</v>
      </c>
      <c r="L256" s="3">
        <v>1.0999999999999999E-2</v>
      </c>
      <c r="M256" s="3">
        <v>3.01</v>
      </c>
      <c r="N256" s="4">
        <f t="shared" si="56"/>
        <v>5.7427159324658712</v>
      </c>
      <c r="O256" s="4">
        <f t="shared" si="46"/>
        <v>9.1663110452539654E-3</v>
      </c>
      <c r="P256" s="4">
        <f t="shared" si="47"/>
        <v>2.8279257236409849</v>
      </c>
      <c r="Q256" s="4">
        <f t="shared" si="51"/>
        <v>7.1829313380481015</v>
      </c>
      <c r="R256" s="2">
        <f t="shared" si="48"/>
        <v>4.1577736958087854</v>
      </c>
      <c r="S256" s="2">
        <f t="shared" si="49"/>
        <v>9.9922463249430074</v>
      </c>
      <c r="T256" s="2">
        <f t="shared" si="50"/>
        <v>26.479452761098969</v>
      </c>
      <c r="U256" s="4">
        <f t="shared" si="57"/>
        <v>9</v>
      </c>
      <c r="V256" s="4">
        <f t="shared" si="58"/>
        <v>0.32</v>
      </c>
      <c r="W256" s="4">
        <v>0</v>
      </c>
      <c r="X256" s="4" t="s">
        <v>477</v>
      </c>
      <c r="AA256" s="4">
        <v>-0.91</v>
      </c>
    </row>
    <row r="257" spans="1:28" x14ac:dyDescent="0.25">
      <c r="A257" s="2" t="s">
        <v>71</v>
      </c>
      <c r="B257" s="4" t="s">
        <v>72</v>
      </c>
      <c r="C257" s="4">
        <v>6</v>
      </c>
      <c r="D257" s="4">
        <v>1</v>
      </c>
      <c r="E257" s="4">
        <f t="shared" si="52"/>
        <v>6</v>
      </c>
      <c r="F257" s="4">
        <v>5.1069454460000001</v>
      </c>
      <c r="G257" s="4">
        <v>13.53340543</v>
      </c>
      <c r="H257" s="4">
        <f t="shared" si="53"/>
        <v>2.1250000000806004</v>
      </c>
      <c r="I257" s="4">
        <f t="shared" si="54"/>
        <v>2.1250000000806006E-3</v>
      </c>
      <c r="J257" s="4">
        <f t="shared" si="54"/>
        <v>2.1250000000806007E-6</v>
      </c>
      <c r="K257" s="4">
        <f t="shared" si="55"/>
        <v>4.6848175001776935E-3</v>
      </c>
      <c r="L257" s="3">
        <v>1.0999999999999999E-2</v>
      </c>
      <c r="M257" s="3">
        <v>3.01</v>
      </c>
      <c r="N257" s="4">
        <f t="shared" si="56"/>
        <v>5.747212108740996</v>
      </c>
      <c r="O257" s="4">
        <f t="shared" si="46"/>
        <v>1.1213860751776305E-2</v>
      </c>
      <c r="P257" s="4">
        <f t="shared" si="47"/>
        <v>3.0238335987507279</v>
      </c>
      <c r="Q257" s="4">
        <f t="shared" si="51"/>
        <v>7.6805373408268487</v>
      </c>
      <c r="R257" s="2">
        <f t="shared" si="48"/>
        <v>5.0865277244043439</v>
      </c>
      <c r="S257" s="2">
        <f t="shared" si="49"/>
        <v>12.224291575112579</v>
      </c>
      <c r="T257" s="2">
        <f t="shared" si="50"/>
        <v>32.394372674048334</v>
      </c>
      <c r="U257" s="4">
        <f t="shared" si="57"/>
        <v>9</v>
      </c>
      <c r="V257" s="4">
        <f t="shared" si="58"/>
        <v>0.32</v>
      </c>
      <c r="W257" s="4">
        <v>0</v>
      </c>
      <c r="X257" s="4" t="s">
        <v>423</v>
      </c>
      <c r="AA257" s="4" t="s">
        <v>618</v>
      </c>
    </row>
    <row r="258" spans="1:28" x14ac:dyDescent="0.25">
      <c r="A258" s="2" t="s">
        <v>71</v>
      </c>
      <c r="B258" s="4" t="s">
        <v>72</v>
      </c>
      <c r="C258" s="4">
        <v>7</v>
      </c>
      <c r="D258" s="4">
        <v>1</v>
      </c>
      <c r="E258" s="4">
        <f t="shared" si="52"/>
        <v>7</v>
      </c>
      <c r="F258" s="4">
        <v>5.118961788</v>
      </c>
      <c r="G258" s="4">
        <v>13.565248739999999</v>
      </c>
      <c r="H258" s="4">
        <f t="shared" si="53"/>
        <v>2.1299999999868002</v>
      </c>
      <c r="I258" s="4">
        <f t="shared" si="54"/>
        <v>2.1299999999868004E-3</v>
      </c>
      <c r="J258" s="4">
        <f t="shared" si="54"/>
        <v>2.1299999999868006E-6</v>
      </c>
      <c r="K258" s="4">
        <f t="shared" si="55"/>
        <v>4.6958405999709E-3</v>
      </c>
      <c r="L258" s="3">
        <v>1.0999999999999999E-2</v>
      </c>
      <c r="M258" s="3">
        <v>3.01</v>
      </c>
      <c r="N258" s="4">
        <f t="shared" si="56"/>
        <v>5.7517012256396187</v>
      </c>
      <c r="O258" s="4">
        <f t="shared" ref="O258:O321" si="59">R258*0.00220462</f>
        <v>1.2878097415732448E-2</v>
      </c>
      <c r="P258" s="4">
        <f t="shared" ref="P258:P321" si="60">Q258/2.54</f>
        <v>3.1660919136168206</v>
      </c>
      <c r="Q258" s="4">
        <f t="shared" si="51"/>
        <v>8.041873460586725</v>
      </c>
      <c r="R258" s="2">
        <f t="shared" ref="R258:R321" si="61">L258*(Q258^M258)</f>
        <v>5.8414136747976739</v>
      </c>
      <c r="S258" s="2">
        <f t="shared" ref="S258:S321" si="62">R258/20/5.7/3.65*1000</f>
        <v>14.038485159331108</v>
      </c>
      <c r="T258" s="2">
        <f t="shared" ref="T258:T321" si="63">S258*2.65</f>
        <v>37.201985672227437</v>
      </c>
      <c r="U258" s="4">
        <f t="shared" si="57"/>
        <v>9</v>
      </c>
      <c r="V258" s="4">
        <f t="shared" si="58"/>
        <v>0.32</v>
      </c>
      <c r="W258" s="4">
        <v>0</v>
      </c>
      <c r="X258" s="4" t="s">
        <v>434</v>
      </c>
      <c r="Z258" s="7" t="s">
        <v>619</v>
      </c>
      <c r="AA258" s="7" t="s">
        <v>620</v>
      </c>
      <c r="AB258" s="7" t="s">
        <v>621</v>
      </c>
    </row>
    <row r="259" spans="1:28" x14ac:dyDescent="0.25">
      <c r="A259" s="2" t="s">
        <v>71</v>
      </c>
      <c r="B259" s="4" t="s">
        <v>72</v>
      </c>
      <c r="C259" s="4">
        <v>8</v>
      </c>
      <c r="D259" s="4">
        <v>1</v>
      </c>
      <c r="E259" s="4">
        <f t="shared" si="52"/>
        <v>8</v>
      </c>
      <c r="F259" s="4">
        <v>5.1309781299999999</v>
      </c>
      <c r="G259" s="4">
        <v>13.597092050000001</v>
      </c>
      <c r="H259" s="4">
        <f t="shared" si="53"/>
        <v>2.134999999893</v>
      </c>
      <c r="I259" s="4">
        <f t="shared" si="54"/>
        <v>2.1349999998929998E-3</v>
      </c>
      <c r="J259" s="4">
        <f t="shared" si="54"/>
        <v>2.1349999998929997E-6</v>
      </c>
      <c r="K259" s="4">
        <f t="shared" si="55"/>
        <v>4.7068636997641047E-3</v>
      </c>
      <c r="L259" s="3">
        <v>1.0999999999999999E-2</v>
      </c>
      <c r="M259" s="3">
        <v>3.01</v>
      </c>
      <c r="N259" s="4">
        <f t="shared" si="56"/>
        <v>5.7561833111503411</v>
      </c>
      <c r="O259" s="4">
        <f t="shared" si="59"/>
        <v>1.4184754788822251E-2</v>
      </c>
      <c r="P259" s="4">
        <f t="shared" si="60"/>
        <v>3.2693926519725598</v>
      </c>
      <c r="Q259" s="4">
        <f t="shared" ref="Q259:Q322" si="64">U259*(1-EXP(-V259*(E259-W259)))</f>
        <v>8.304257336010302</v>
      </c>
      <c r="R259" s="2">
        <f t="shared" si="61"/>
        <v>6.434104194293008</v>
      </c>
      <c r="S259" s="2">
        <f t="shared" si="62"/>
        <v>15.462879582535466</v>
      </c>
      <c r="T259" s="2">
        <f t="shared" si="63"/>
        <v>40.976630893718983</v>
      </c>
      <c r="U259" s="4">
        <f t="shared" si="57"/>
        <v>9</v>
      </c>
      <c r="V259" s="4">
        <f t="shared" si="58"/>
        <v>0.32</v>
      </c>
      <c r="W259" s="4">
        <v>0</v>
      </c>
    </row>
    <row r="260" spans="1:28" x14ac:dyDescent="0.25">
      <c r="A260" s="2" t="s">
        <v>71</v>
      </c>
      <c r="B260" s="4" t="s">
        <v>72</v>
      </c>
      <c r="C260" s="4">
        <v>9</v>
      </c>
      <c r="D260" s="4">
        <v>1</v>
      </c>
      <c r="E260" s="4">
        <f t="shared" si="52"/>
        <v>9</v>
      </c>
      <c r="F260" s="4">
        <v>5.1429944729999999</v>
      </c>
      <c r="G260" s="4">
        <v>13.628935350000001</v>
      </c>
      <c r="H260" s="4">
        <f t="shared" si="53"/>
        <v>2.1400000002152995</v>
      </c>
      <c r="I260" s="4">
        <f t="shared" si="54"/>
        <v>2.1400000002152995E-3</v>
      </c>
      <c r="J260" s="4">
        <f t="shared" si="54"/>
        <v>2.1400000002152995E-6</v>
      </c>
      <c r="K260" s="4">
        <f t="shared" si="55"/>
        <v>4.7178868004746528E-3</v>
      </c>
      <c r="L260" s="3">
        <v>1.0999999999999999E-2</v>
      </c>
      <c r="M260" s="3">
        <v>3.01</v>
      </c>
      <c r="N260" s="4">
        <f t="shared" si="56"/>
        <v>5.7606583930870281</v>
      </c>
      <c r="O260" s="4">
        <f t="shared" si="59"/>
        <v>1.5187121066583507E-2</v>
      </c>
      <c r="P260" s="4">
        <f t="shared" si="60"/>
        <v>3.3444043836585813</v>
      </c>
      <c r="Q260" s="4">
        <f t="shared" si="64"/>
        <v>8.4947871344927961</v>
      </c>
      <c r="R260" s="2">
        <f t="shared" si="61"/>
        <v>6.8887704305429089</v>
      </c>
      <c r="S260" s="2">
        <f t="shared" si="62"/>
        <v>16.555564601160558</v>
      </c>
      <c r="T260" s="2">
        <f t="shared" si="63"/>
        <v>43.872246193075476</v>
      </c>
      <c r="U260" s="4">
        <f t="shared" si="57"/>
        <v>9</v>
      </c>
      <c r="V260" s="4">
        <f t="shared" si="58"/>
        <v>0.32</v>
      </c>
      <c r="W260" s="4">
        <v>0</v>
      </c>
    </row>
    <row r="261" spans="1:28" x14ac:dyDescent="0.25">
      <c r="A261" s="2" t="s">
        <v>71</v>
      </c>
      <c r="B261" s="4" t="s">
        <v>72</v>
      </c>
      <c r="C261" s="4">
        <v>10</v>
      </c>
      <c r="D261" s="4">
        <v>1</v>
      </c>
      <c r="E261" s="4">
        <f t="shared" si="52"/>
        <v>10</v>
      </c>
      <c r="F261" s="4">
        <v>5.1550108149999998</v>
      </c>
      <c r="G261" s="4">
        <v>13.66077866</v>
      </c>
      <c r="H261" s="4">
        <f t="shared" si="53"/>
        <v>2.1450000001214997</v>
      </c>
      <c r="I261" s="4">
        <f t="shared" si="54"/>
        <v>2.1450000001214998E-3</v>
      </c>
      <c r="J261" s="4">
        <f t="shared" si="54"/>
        <v>2.1450000001214999E-6</v>
      </c>
      <c r="K261" s="4">
        <f t="shared" si="55"/>
        <v>4.7289099002678602E-3</v>
      </c>
      <c r="L261" s="3">
        <v>1.0999999999999999E-2</v>
      </c>
      <c r="M261" s="3">
        <v>3.01</v>
      </c>
      <c r="N261" s="4">
        <f t="shared" si="56"/>
        <v>5.7651264979756727</v>
      </c>
      <c r="O261" s="4">
        <f t="shared" si="59"/>
        <v>1.5943897438191308E-2</v>
      </c>
      <c r="P261" s="4">
        <f t="shared" si="60"/>
        <v>3.3988740803916162</v>
      </c>
      <c r="Q261" s="4">
        <f t="shared" si="64"/>
        <v>8.633140164194705</v>
      </c>
      <c r="R261" s="2">
        <f t="shared" si="61"/>
        <v>7.2320388267326381</v>
      </c>
      <c r="S261" s="2">
        <f t="shared" si="62"/>
        <v>17.380530705918382</v>
      </c>
      <c r="T261" s="2">
        <f t="shared" si="63"/>
        <v>46.058406370683713</v>
      </c>
      <c r="U261" s="4">
        <f t="shared" si="57"/>
        <v>9</v>
      </c>
      <c r="V261" s="4">
        <f t="shared" si="58"/>
        <v>0.32</v>
      </c>
      <c r="W261" s="4">
        <v>0</v>
      </c>
    </row>
    <row r="262" spans="1:28" x14ac:dyDescent="0.25">
      <c r="A262" s="4" t="s">
        <v>73</v>
      </c>
      <c r="B262" s="4" t="s">
        <v>74</v>
      </c>
      <c r="C262" s="4">
        <v>1</v>
      </c>
      <c r="D262" s="4">
        <v>2</v>
      </c>
      <c r="E262" s="4">
        <f t="shared" si="52"/>
        <v>2</v>
      </c>
      <c r="F262" s="4">
        <v>127.5414564</v>
      </c>
      <c r="G262" s="4">
        <v>337.98485950000003</v>
      </c>
      <c r="H262" s="4">
        <v>53.070000010000001</v>
      </c>
      <c r="I262" s="4">
        <v>5.3069999999999999E-2</v>
      </c>
      <c r="J262" s="4">
        <v>5.3100000000000003E-5</v>
      </c>
      <c r="K262" s="4">
        <v>0.11699918300000001</v>
      </c>
      <c r="L262" s="4">
        <v>1.4E-2</v>
      </c>
      <c r="M262" s="4">
        <v>2.8</v>
      </c>
      <c r="N262" s="4">
        <v>18.972067509999999</v>
      </c>
      <c r="O262" s="4">
        <f t="shared" si="59"/>
        <v>0.29935257803298476</v>
      </c>
      <c r="P262" s="4">
        <f t="shared" si="60"/>
        <v>10.447088938216606</v>
      </c>
      <c r="Q262" s="4">
        <f t="shared" si="64"/>
        <v>26.535605903070181</v>
      </c>
      <c r="R262" s="4">
        <f t="shared" si="61"/>
        <v>135.78420681704091</v>
      </c>
      <c r="S262" s="4">
        <f t="shared" si="62"/>
        <v>326.32589958433289</v>
      </c>
      <c r="T262" s="4">
        <f t="shared" si="63"/>
        <v>864.76363389848211</v>
      </c>
      <c r="U262" s="4">
        <v>43</v>
      </c>
      <c r="V262" s="4">
        <v>0.48</v>
      </c>
      <c r="W262" s="4">
        <v>0</v>
      </c>
      <c r="Y262" s="4" t="s">
        <v>622</v>
      </c>
    </row>
    <row r="263" spans="1:28" x14ac:dyDescent="0.25">
      <c r="A263" s="4" t="s">
        <v>73</v>
      </c>
      <c r="B263" s="4" t="s">
        <v>74</v>
      </c>
      <c r="C263" s="4">
        <v>2</v>
      </c>
      <c r="D263" s="4">
        <v>2</v>
      </c>
      <c r="E263" s="4">
        <f t="shared" si="52"/>
        <v>4</v>
      </c>
      <c r="F263" s="4">
        <v>347.4885845</v>
      </c>
      <c r="G263" s="4">
        <v>920.84474890000001</v>
      </c>
      <c r="H263" s="4">
        <v>144.59</v>
      </c>
      <c r="I263" s="4">
        <v>0.14459</v>
      </c>
      <c r="J263" s="4">
        <v>1.4459E-4</v>
      </c>
      <c r="K263" s="4">
        <v>0.31876600599999999</v>
      </c>
      <c r="L263" s="4">
        <v>1.4E-2</v>
      </c>
      <c r="M263" s="4">
        <v>2.8</v>
      </c>
      <c r="N263" s="4">
        <v>27.137827609999999</v>
      </c>
      <c r="O263" s="4">
        <f t="shared" si="59"/>
        <v>0.74197781751165304</v>
      </c>
      <c r="P263" s="4">
        <f t="shared" si="60"/>
        <v>14.447204971809033</v>
      </c>
      <c r="Q263" s="4">
        <f t="shared" si="64"/>
        <v>36.695900628394945</v>
      </c>
      <c r="R263" s="4">
        <f t="shared" si="61"/>
        <v>336.55587698181682</v>
      </c>
      <c r="S263" s="4">
        <f t="shared" si="62"/>
        <v>808.83411915841577</v>
      </c>
      <c r="T263" s="4">
        <f t="shared" si="63"/>
        <v>2143.4104157698016</v>
      </c>
      <c r="U263" s="4">
        <v>43</v>
      </c>
      <c r="V263" s="4">
        <v>0.48</v>
      </c>
      <c r="W263" s="4">
        <v>0</v>
      </c>
    </row>
    <row r="264" spans="1:28" x14ac:dyDescent="0.25">
      <c r="A264" s="4" t="s">
        <v>73</v>
      </c>
      <c r="B264" s="4" t="s">
        <v>74</v>
      </c>
      <c r="C264" s="4">
        <v>3</v>
      </c>
      <c r="D264" s="4">
        <v>2</v>
      </c>
      <c r="E264" s="4">
        <f t="shared" si="52"/>
        <v>6</v>
      </c>
      <c r="F264" s="4">
        <v>732.42009129999997</v>
      </c>
      <c r="G264" s="4">
        <v>1940.9132420000001</v>
      </c>
      <c r="H264" s="4">
        <v>304.76</v>
      </c>
      <c r="I264" s="4">
        <v>0.30475999999999998</v>
      </c>
      <c r="J264" s="4">
        <v>3.0476E-4</v>
      </c>
      <c r="K264" s="4">
        <v>0.67187999099999995</v>
      </c>
      <c r="L264" s="4">
        <v>1.4E-2</v>
      </c>
      <c r="M264" s="4">
        <v>2.8</v>
      </c>
      <c r="N264" s="4">
        <v>35.418076749999997</v>
      </c>
      <c r="O264" s="4">
        <f t="shared" si="59"/>
        <v>0.98383309943816588</v>
      </c>
      <c r="P264" s="4">
        <f t="shared" si="60"/>
        <v>15.978820944146554</v>
      </c>
      <c r="Q264" s="4">
        <f t="shared" si="64"/>
        <v>40.586205198132248</v>
      </c>
      <c r="R264" s="4">
        <f t="shared" si="61"/>
        <v>446.2597179732407</v>
      </c>
      <c r="S264" s="4">
        <f t="shared" si="62"/>
        <v>1072.4818985177617</v>
      </c>
      <c r="T264" s="4">
        <f t="shared" si="63"/>
        <v>2842.0770310720682</v>
      </c>
      <c r="U264" s="4">
        <v>43</v>
      </c>
      <c r="V264" s="4">
        <v>0.48</v>
      </c>
      <c r="W264" s="4">
        <v>0</v>
      </c>
    </row>
    <row r="265" spans="1:28" x14ac:dyDescent="0.25">
      <c r="A265" s="4" t="s">
        <v>73</v>
      </c>
      <c r="B265" s="4" t="s">
        <v>74</v>
      </c>
      <c r="C265" s="4">
        <v>4</v>
      </c>
      <c r="D265" s="4">
        <v>2</v>
      </c>
      <c r="E265" s="4">
        <f t="shared" si="52"/>
        <v>8</v>
      </c>
      <c r="F265" s="4">
        <v>1115.2006730000001</v>
      </c>
      <c r="G265" s="4">
        <v>2955.281782</v>
      </c>
      <c r="H265" s="4">
        <v>464.03500000000003</v>
      </c>
      <c r="I265" s="4">
        <v>0.46403499999999998</v>
      </c>
      <c r="J265" s="4">
        <v>4.6403500000000001E-4</v>
      </c>
      <c r="K265" s="4">
        <v>1.023020842</v>
      </c>
      <c r="L265" s="4">
        <v>1.4E-2</v>
      </c>
      <c r="M265" s="4">
        <v>2.8</v>
      </c>
      <c r="N265" s="4">
        <v>41.156333680000003</v>
      </c>
      <c r="O265" s="4">
        <f t="shared" si="59"/>
        <v>1.0883077706500881</v>
      </c>
      <c r="P265" s="4">
        <f t="shared" si="60"/>
        <v>16.565265804000447</v>
      </c>
      <c r="Q265" s="4">
        <f t="shared" si="64"/>
        <v>42.075775142161135</v>
      </c>
      <c r="R265" s="4">
        <f t="shared" si="61"/>
        <v>493.64868805058831</v>
      </c>
      <c r="S265" s="4">
        <f t="shared" si="62"/>
        <v>1186.3703149497437</v>
      </c>
      <c r="T265" s="4">
        <f t="shared" si="63"/>
        <v>3143.8813346168208</v>
      </c>
      <c r="U265" s="4">
        <v>43</v>
      </c>
      <c r="V265" s="4">
        <v>0.48</v>
      </c>
      <c r="W265" s="4">
        <v>0</v>
      </c>
    </row>
    <row r="266" spans="1:28" x14ac:dyDescent="0.25">
      <c r="A266" s="4" t="s">
        <v>73</v>
      </c>
      <c r="B266" s="4" t="s">
        <v>74</v>
      </c>
      <c r="C266" s="4">
        <v>5</v>
      </c>
      <c r="D266" s="4">
        <v>2</v>
      </c>
      <c r="E266" s="4">
        <f t="shared" si="52"/>
        <v>10</v>
      </c>
      <c r="F266" s="4">
        <v>1550.4325879999999</v>
      </c>
      <c r="G266" s="4">
        <v>4108.6463590000003</v>
      </c>
      <c r="H266" s="4">
        <v>645.13499990000003</v>
      </c>
      <c r="I266" s="4">
        <v>0.64513500000000001</v>
      </c>
      <c r="J266" s="4">
        <v>6.4513500000000002E-4</v>
      </c>
      <c r="K266" s="4">
        <v>1.422277523</v>
      </c>
      <c r="L266" s="4">
        <v>1.4E-2</v>
      </c>
      <c r="M266" s="4">
        <v>2.8</v>
      </c>
      <c r="N266" s="4">
        <v>46.296032510000003</v>
      </c>
      <c r="O266" s="4">
        <f t="shared" si="59"/>
        <v>1.13011977039518</v>
      </c>
      <c r="P266" s="4">
        <f t="shared" si="60"/>
        <v>16.789811368855172</v>
      </c>
      <c r="Q266" s="4">
        <f t="shared" si="64"/>
        <v>42.646120876892141</v>
      </c>
      <c r="R266" s="4">
        <f t="shared" si="61"/>
        <v>512.61431466428678</v>
      </c>
      <c r="S266" s="4">
        <f t="shared" si="62"/>
        <v>1231.9498069317153</v>
      </c>
      <c r="T266" s="4">
        <f t="shared" si="63"/>
        <v>3264.6669883690456</v>
      </c>
      <c r="U266" s="4">
        <v>43</v>
      </c>
      <c r="V266" s="4">
        <v>0.48</v>
      </c>
      <c r="W266" s="4">
        <v>0</v>
      </c>
    </row>
    <row r="267" spans="1:28" x14ac:dyDescent="0.25">
      <c r="A267" s="4" t="s">
        <v>73</v>
      </c>
      <c r="B267" s="4" t="s">
        <v>74</v>
      </c>
      <c r="C267" s="4">
        <v>6</v>
      </c>
      <c r="D267" s="4">
        <v>2</v>
      </c>
      <c r="E267" s="4">
        <f t="shared" si="52"/>
        <v>12</v>
      </c>
      <c r="F267" s="4">
        <v>1976.4359529999999</v>
      </c>
      <c r="G267" s="4">
        <v>5237.5552749999997</v>
      </c>
      <c r="H267" s="4">
        <v>822.39499999999998</v>
      </c>
      <c r="I267" s="4">
        <v>0.82239499999999999</v>
      </c>
      <c r="J267" s="4">
        <v>8.2239499999999996E-4</v>
      </c>
      <c r="K267" s="4">
        <v>1.813068465</v>
      </c>
      <c r="L267" s="4">
        <v>1.4E-2</v>
      </c>
      <c r="M267" s="4">
        <v>2.8</v>
      </c>
      <c r="N267" s="4">
        <v>50.489061130000003</v>
      </c>
      <c r="O267" s="4">
        <f t="shared" si="59"/>
        <v>1.1463984104643572</v>
      </c>
      <c r="P267" s="4">
        <f t="shared" si="60"/>
        <v>16.875788268215313</v>
      </c>
      <c r="Q267" s="4">
        <f t="shared" si="64"/>
        <v>42.864502201266895</v>
      </c>
      <c r="R267" s="4">
        <f t="shared" si="61"/>
        <v>519.99819037492045</v>
      </c>
      <c r="S267" s="4">
        <f t="shared" si="62"/>
        <v>1249.6952424295134</v>
      </c>
      <c r="T267" s="4">
        <f t="shared" si="63"/>
        <v>3311.6923924382104</v>
      </c>
      <c r="U267" s="4">
        <v>43</v>
      </c>
      <c r="V267" s="4">
        <v>0.48</v>
      </c>
      <c r="W267" s="4">
        <v>0</v>
      </c>
    </row>
    <row r="268" spans="1:28" x14ac:dyDescent="0.25">
      <c r="A268" s="4" t="s">
        <v>73</v>
      </c>
      <c r="B268" s="4" t="s">
        <v>74</v>
      </c>
      <c r="C268" s="4">
        <v>7</v>
      </c>
      <c r="D268" s="4">
        <v>2</v>
      </c>
      <c r="E268" s="4">
        <f t="shared" si="52"/>
        <v>14</v>
      </c>
      <c r="F268" s="4">
        <v>2275.6669069999998</v>
      </c>
      <c r="G268" s="4">
        <v>6030.517304</v>
      </c>
      <c r="H268" s="4">
        <v>946.90499999999997</v>
      </c>
      <c r="I268" s="4">
        <v>0.946905</v>
      </c>
      <c r="J268" s="4">
        <v>9.4690499999999995E-4</v>
      </c>
      <c r="K268" s="4">
        <v>2.0875657009999999</v>
      </c>
      <c r="L268" s="4">
        <v>1.4E-2</v>
      </c>
      <c r="M268" s="4">
        <v>2.8</v>
      </c>
      <c r="N268" s="4">
        <v>53.09623234</v>
      </c>
      <c r="O268" s="4">
        <f t="shared" si="59"/>
        <v>1.1526710569267764</v>
      </c>
      <c r="P268" s="4">
        <f t="shared" si="60"/>
        <v>16.908708211338507</v>
      </c>
      <c r="Q268" s="4">
        <f t="shared" si="64"/>
        <v>42.948118856799809</v>
      </c>
      <c r="R268" s="4">
        <f t="shared" si="61"/>
        <v>522.84341833367034</v>
      </c>
      <c r="S268" s="4">
        <f t="shared" si="62"/>
        <v>1256.5330890018513</v>
      </c>
      <c r="T268" s="4">
        <f t="shared" si="63"/>
        <v>3329.8126858549058</v>
      </c>
      <c r="U268" s="4">
        <v>43</v>
      </c>
      <c r="V268" s="4">
        <v>0.48</v>
      </c>
      <c r="W268" s="4">
        <v>0</v>
      </c>
    </row>
    <row r="269" spans="1:28" x14ac:dyDescent="0.25">
      <c r="A269" s="4" t="s">
        <v>73</v>
      </c>
      <c r="B269" s="4" t="s">
        <v>74</v>
      </c>
      <c r="C269" s="4">
        <v>8</v>
      </c>
      <c r="D269" s="4">
        <v>2</v>
      </c>
      <c r="E269" s="4">
        <f t="shared" si="52"/>
        <v>16</v>
      </c>
      <c r="F269" s="4">
        <v>2451.3338140000001</v>
      </c>
      <c r="G269" s="4">
        <v>6496.0346079999999</v>
      </c>
      <c r="H269" s="4">
        <v>1020</v>
      </c>
      <c r="I269" s="4">
        <v>1.02</v>
      </c>
      <c r="J269" s="4">
        <v>1.0200000000000001E-3</v>
      </c>
      <c r="K269" s="4">
        <v>2.2487124000000001</v>
      </c>
      <c r="L269" s="4">
        <v>1.4E-2</v>
      </c>
      <c r="M269" s="4">
        <v>2.8</v>
      </c>
      <c r="N269" s="4">
        <v>54.525190479999999</v>
      </c>
      <c r="O269" s="4">
        <f t="shared" si="59"/>
        <v>1.1550786367721839</v>
      </c>
      <c r="P269" s="4">
        <f t="shared" si="60"/>
        <v>16.92131302336708</v>
      </c>
      <c r="Q269" s="4">
        <f t="shared" si="64"/>
        <v>42.980135079352387</v>
      </c>
      <c r="R269" s="4">
        <f t="shared" si="61"/>
        <v>523.93547948044738</v>
      </c>
      <c r="S269" s="4">
        <f t="shared" si="62"/>
        <v>1259.1576050960045</v>
      </c>
      <c r="T269" s="4">
        <f t="shared" si="63"/>
        <v>3336.767653504412</v>
      </c>
      <c r="U269" s="4">
        <v>43</v>
      </c>
      <c r="V269" s="4">
        <v>0.48</v>
      </c>
      <c r="W269" s="4">
        <v>0</v>
      </c>
    </row>
    <row r="270" spans="1:28" x14ac:dyDescent="0.25">
      <c r="A270" s="4" t="s">
        <v>73</v>
      </c>
      <c r="B270" s="4" t="s">
        <v>74</v>
      </c>
      <c r="C270" s="4">
        <v>9</v>
      </c>
      <c r="D270" s="4">
        <v>2</v>
      </c>
      <c r="E270" s="4">
        <f t="shared" si="52"/>
        <v>18</v>
      </c>
      <c r="F270" s="4">
        <v>2643.5952900000002</v>
      </c>
      <c r="G270" s="4">
        <v>7005.5275179999999</v>
      </c>
      <c r="H270" s="4">
        <v>1100</v>
      </c>
      <c r="I270" s="4">
        <v>1.1000000000000001</v>
      </c>
      <c r="J270" s="4">
        <v>1.1000000000000001E-3</v>
      </c>
      <c r="K270" s="4">
        <v>2.4250820000000002</v>
      </c>
      <c r="L270" s="4">
        <v>1.4E-2</v>
      </c>
      <c r="M270" s="4">
        <v>2.8</v>
      </c>
      <c r="N270" s="4">
        <v>56.015575650000002</v>
      </c>
      <c r="O270" s="4">
        <f t="shared" si="59"/>
        <v>1.1560013370918456</v>
      </c>
      <c r="P270" s="4">
        <f t="shared" si="60"/>
        <v>16.926139316221878</v>
      </c>
      <c r="Q270" s="4">
        <f t="shared" si="64"/>
        <v>42.992393863203567</v>
      </c>
      <c r="R270" s="4">
        <f t="shared" si="61"/>
        <v>524.35400980297993</v>
      </c>
      <c r="S270" s="4">
        <f t="shared" si="62"/>
        <v>1260.1634458134583</v>
      </c>
      <c r="T270" s="4">
        <f t="shared" si="63"/>
        <v>3339.4331314056644</v>
      </c>
      <c r="U270" s="4">
        <v>43</v>
      </c>
      <c r="V270" s="4">
        <v>0.48</v>
      </c>
      <c r="W270" s="4">
        <v>0</v>
      </c>
    </row>
    <row r="271" spans="1:28" x14ac:dyDescent="0.25">
      <c r="A271" s="4" t="s">
        <v>73</v>
      </c>
      <c r="B271" s="4" t="s">
        <v>74</v>
      </c>
      <c r="C271" s="4">
        <v>10</v>
      </c>
      <c r="D271" s="4">
        <v>2</v>
      </c>
      <c r="E271" s="4">
        <f t="shared" si="52"/>
        <v>20</v>
      </c>
      <c r="F271" s="4">
        <v>3076.18361</v>
      </c>
      <c r="G271" s="4">
        <v>8151.8865660000001</v>
      </c>
      <c r="H271" s="4">
        <v>1280</v>
      </c>
      <c r="I271" s="4">
        <v>1.28</v>
      </c>
      <c r="J271" s="4">
        <v>1.2800000000000001E-3</v>
      </c>
      <c r="K271" s="4">
        <v>2.8219135999999998</v>
      </c>
      <c r="L271" s="4">
        <v>1.4E-2</v>
      </c>
      <c r="M271" s="4">
        <v>2.8</v>
      </c>
      <c r="N271" s="4">
        <v>59.130966340000001</v>
      </c>
      <c r="O271" s="4">
        <f t="shared" si="59"/>
        <v>1.156354757885421</v>
      </c>
      <c r="P271" s="4">
        <f t="shared" si="60"/>
        <v>16.92798726942161</v>
      </c>
      <c r="Q271" s="4">
        <f t="shared" si="64"/>
        <v>42.997087664330891</v>
      </c>
      <c r="R271" s="4">
        <f t="shared" si="61"/>
        <v>524.51431896899282</v>
      </c>
      <c r="S271" s="4">
        <f t="shared" si="62"/>
        <v>1260.5487117735947</v>
      </c>
      <c r="T271" s="4">
        <f t="shared" si="63"/>
        <v>3340.4540862000258</v>
      </c>
      <c r="U271" s="4">
        <v>43</v>
      </c>
      <c r="V271" s="4">
        <v>0.48</v>
      </c>
      <c r="W271" s="4">
        <v>0</v>
      </c>
    </row>
    <row r="272" spans="1:28" x14ac:dyDescent="0.25">
      <c r="A272" s="4" t="s">
        <v>75</v>
      </c>
      <c r="B272" s="4" t="s">
        <v>76</v>
      </c>
      <c r="C272" s="4">
        <v>1</v>
      </c>
      <c r="D272" s="4">
        <v>2</v>
      </c>
      <c r="E272" s="4">
        <f t="shared" si="52"/>
        <v>2</v>
      </c>
      <c r="F272" s="4">
        <v>127.5414564</v>
      </c>
      <c r="G272" s="4">
        <v>337.98485950000003</v>
      </c>
      <c r="H272" s="4">
        <v>53.070000010000001</v>
      </c>
      <c r="I272" s="4">
        <v>5.3069999999999999E-2</v>
      </c>
      <c r="J272" s="4">
        <v>5.3100000000000003E-5</v>
      </c>
      <c r="K272" s="4">
        <v>0.11699918300000001</v>
      </c>
      <c r="L272" s="4">
        <v>2.5000000000000001E-3</v>
      </c>
      <c r="M272" s="4">
        <v>3.1</v>
      </c>
      <c r="N272" s="4">
        <v>24.875803770000001</v>
      </c>
      <c r="O272" s="4">
        <f t="shared" si="59"/>
        <v>9.8126080995731169E-2</v>
      </c>
      <c r="P272" s="4">
        <f t="shared" si="60"/>
        <v>9.2533452863121504</v>
      </c>
      <c r="Q272" s="4">
        <f t="shared" si="64"/>
        <v>23.503497027232861</v>
      </c>
      <c r="R272" s="4">
        <f t="shared" si="61"/>
        <v>44.509294570370933</v>
      </c>
      <c r="S272" s="4">
        <f t="shared" si="62"/>
        <v>106.96778315397964</v>
      </c>
      <c r="T272" s="4">
        <f t="shared" si="63"/>
        <v>283.46462535804602</v>
      </c>
      <c r="U272" s="4">
        <v>122</v>
      </c>
      <c r="V272" s="4">
        <v>0.107</v>
      </c>
      <c r="W272" s="4">
        <v>0</v>
      </c>
      <c r="Y272" s="4" t="s">
        <v>623</v>
      </c>
    </row>
    <row r="273" spans="1:29" x14ac:dyDescent="0.25">
      <c r="A273" s="4" t="s">
        <v>75</v>
      </c>
      <c r="B273" s="4" t="s">
        <v>76</v>
      </c>
      <c r="C273" s="4">
        <v>2</v>
      </c>
      <c r="D273" s="4">
        <v>2</v>
      </c>
      <c r="E273" s="4">
        <f t="shared" si="52"/>
        <v>4</v>
      </c>
      <c r="F273" s="4">
        <v>347.4885845</v>
      </c>
      <c r="G273" s="4">
        <v>920.84474890000001</v>
      </c>
      <c r="H273" s="4">
        <v>144.59</v>
      </c>
      <c r="I273" s="4">
        <v>0.14459</v>
      </c>
      <c r="J273" s="4">
        <v>1.4459E-4</v>
      </c>
      <c r="K273" s="4">
        <v>0.31876600599999999</v>
      </c>
      <c r="L273" s="4">
        <v>2.5000000000000001E-3</v>
      </c>
      <c r="M273" s="4">
        <v>3.1</v>
      </c>
      <c r="N273" s="4">
        <v>34.371064560000001</v>
      </c>
      <c r="O273" s="4">
        <f t="shared" si="59"/>
        <v>0.61463072670785202</v>
      </c>
      <c r="P273" s="4">
        <f t="shared" si="60"/>
        <v>16.724018659273504</v>
      </c>
      <c r="Q273" s="4">
        <f t="shared" si="64"/>
        <v>42.479007394554699</v>
      </c>
      <c r="R273" s="4">
        <f t="shared" si="61"/>
        <v>278.79213955595611</v>
      </c>
      <c r="S273" s="4">
        <f t="shared" si="62"/>
        <v>670.01235173265104</v>
      </c>
      <c r="T273" s="4">
        <f t="shared" si="63"/>
        <v>1775.5327320915253</v>
      </c>
      <c r="U273" s="4">
        <v>122</v>
      </c>
      <c r="V273" s="4">
        <v>0.107</v>
      </c>
      <c r="W273" s="4">
        <v>0</v>
      </c>
    </row>
    <row r="274" spans="1:29" x14ac:dyDescent="0.25">
      <c r="A274" s="4" t="s">
        <v>75</v>
      </c>
      <c r="B274" s="4" t="s">
        <v>76</v>
      </c>
      <c r="C274" s="4">
        <v>3</v>
      </c>
      <c r="D274" s="4">
        <v>2</v>
      </c>
      <c r="E274" s="4">
        <f t="shared" si="52"/>
        <v>6</v>
      </c>
      <c r="F274" s="4">
        <v>732.42009129999997</v>
      </c>
      <c r="G274" s="4">
        <v>1940.9132420000001</v>
      </c>
      <c r="H274" s="4">
        <v>304.76</v>
      </c>
      <c r="I274" s="4">
        <v>0.30475999999999998</v>
      </c>
      <c r="J274" s="4">
        <v>3.0476E-4</v>
      </c>
      <c r="K274" s="4">
        <v>0.67187999099999995</v>
      </c>
      <c r="L274" s="4">
        <v>2.5000000000000001E-3</v>
      </c>
      <c r="M274" s="4">
        <v>3.1</v>
      </c>
      <c r="N274" s="4">
        <v>43.717060600000003</v>
      </c>
      <c r="O274" s="4">
        <f t="shared" si="59"/>
        <v>1.5967002065243137</v>
      </c>
      <c r="P274" s="4">
        <f t="shared" si="60"/>
        <v>22.755454741965806</v>
      </c>
      <c r="Q274" s="4">
        <f t="shared" si="64"/>
        <v>57.798855044593147</v>
      </c>
      <c r="R274" s="4">
        <f t="shared" si="61"/>
        <v>724.25189217385025</v>
      </c>
      <c r="S274" s="4">
        <f t="shared" si="62"/>
        <v>1740.5717187547471</v>
      </c>
      <c r="T274" s="4">
        <f t="shared" si="63"/>
        <v>4612.5150547000794</v>
      </c>
      <c r="U274" s="4">
        <v>122</v>
      </c>
      <c r="V274" s="4">
        <v>0.107</v>
      </c>
      <c r="W274" s="4">
        <v>0</v>
      </c>
    </row>
    <row r="275" spans="1:29" x14ac:dyDescent="0.25">
      <c r="A275" s="4" t="s">
        <v>75</v>
      </c>
      <c r="B275" s="4" t="s">
        <v>76</v>
      </c>
      <c r="C275" s="4">
        <v>4</v>
      </c>
      <c r="D275" s="4">
        <v>2</v>
      </c>
      <c r="E275" s="4">
        <f t="shared" si="52"/>
        <v>8</v>
      </c>
      <c r="F275" s="4">
        <v>1115.2006730000001</v>
      </c>
      <c r="G275" s="4">
        <v>2955.281782</v>
      </c>
      <c r="H275" s="4">
        <v>464.03500000000003</v>
      </c>
      <c r="I275" s="4">
        <v>0.46403499999999998</v>
      </c>
      <c r="J275" s="4">
        <v>4.6403500000000001E-4</v>
      </c>
      <c r="K275" s="4">
        <v>1.023020842</v>
      </c>
      <c r="L275" s="4">
        <v>2.5000000000000001E-3</v>
      </c>
      <c r="M275" s="4">
        <v>3.1</v>
      </c>
      <c r="N275" s="4">
        <v>50.067032159999997</v>
      </c>
      <c r="O275" s="4">
        <f t="shared" si="59"/>
        <v>2.9126728188399946</v>
      </c>
      <c r="P275" s="4">
        <f t="shared" si="60"/>
        <v>27.624924922694959</v>
      </c>
      <c r="Q275" s="4">
        <f t="shared" si="64"/>
        <v>70.167309303645197</v>
      </c>
      <c r="R275" s="4">
        <f t="shared" si="61"/>
        <v>1321.167738131739</v>
      </c>
      <c r="S275" s="4">
        <f t="shared" si="62"/>
        <v>3175.1207357167482</v>
      </c>
      <c r="T275" s="4">
        <f t="shared" si="63"/>
        <v>8414.0699496493817</v>
      </c>
      <c r="U275" s="4">
        <v>122</v>
      </c>
      <c r="V275" s="4">
        <v>0.107</v>
      </c>
      <c r="W275" s="4">
        <v>0</v>
      </c>
    </row>
    <row r="276" spans="1:29" x14ac:dyDescent="0.25">
      <c r="A276" s="4" t="s">
        <v>75</v>
      </c>
      <c r="B276" s="4" t="s">
        <v>76</v>
      </c>
      <c r="C276" s="4">
        <v>5</v>
      </c>
      <c r="D276" s="4">
        <v>2</v>
      </c>
      <c r="E276" s="4">
        <f t="shared" si="52"/>
        <v>10</v>
      </c>
      <c r="F276" s="4">
        <v>1550.4325879999999</v>
      </c>
      <c r="G276" s="4">
        <v>4108.6463590000003</v>
      </c>
      <c r="H276" s="4">
        <v>645.13499990000003</v>
      </c>
      <c r="I276" s="4">
        <v>0.64513500000000001</v>
      </c>
      <c r="J276" s="4">
        <v>6.4513500000000002E-4</v>
      </c>
      <c r="K276" s="4">
        <v>1.422277523</v>
      </c>
      <c r="L276" s="4">
        <v>2.5000000000000001E-3</v>
      </c>
      <c r="M276" s="4">
        <v>3.1</v>
      </c>
      <c r="N276" s="4">
        <v>55.681778100000002</v>
      </c>
      <c r="O276" s="4">
        <f t="shared" si="59"/>
        <v>4.3997137170161444</v>
      </c>
      <c r="P276" s="4">
        <f t="shared" si="60"/>
        <v>31.556283809022755</v>
      </c>
      <c r="Q276" s="4">
        <f t="shared" si="64"/>
        <v>80.152960874917795</v>
      </c>
      <c r="R276" s="4">
        <f t="shared" si="61"/>
        <v>1995.6789455852456</v>
      </c>
      <c r="S276" s="4">
        <f t="shared" si="62"/>
        <v>4796.1522364461562</v>
      </c>
      <c r="T276" s="4">
        <f t="shared" si="63"/>
        <v>12709.803426582313</v>
      </c>
      <c r="U276" s="4">
        <v>122</v>
      </c>
      <c r="V276" s="4">
        <v>0.107</v>
      </c>
      <c r="W276" s="4">
        <v>0</v>
      </c>
    </row>
    <row r="277" spans="1:29" x14ac:dyDescent="0.25">
      <c r="A277" s="4" t="s">
        <v>75</v>
      </c>
      <c r="B277" s="4" t="s">
        <v>76</v>
      </c>
      <c r="C277" s="4">
        <v>6</v>
      </c>
      <c r="D277" s="4">
        <v>2</v>
      </c>
      <c r="E277" s="4">
        <f t="shared" si="52"/>
        <v>12</v>
      </c>
      <c r="F277" s="4">
        <v>1976.4359529999999</v>
      </c>
      <c r="G277" s="4">
        <v>5237.5552749999997</v>
      </c>
      <c r="H277" s="4">
        <v>822.39499999999998</v>
      </c>
      <c r="I277" s="4">
        <v>0.82239499999999999</v>
      </c>
      <c r="J277" s="4">
        <v>8.2239499999999996E-4</v>
      </c>
      <c r="K277" s="4">
        <v>1.813068465</v>
      </c>
      <c r="L277" s="4">
        <v>2.5000000000000001E-3</v>
      </c>
      <c r="M277" s="4">
        <v>3.1</v>
      </c>
      <c r="N277" s="4">
        <v>60.217500739999998</v>
      </c>
      <c r="O277" s="4">
        <f t="shared" si="59"/>
        <v>5.9217924576912848</v>
      </c>
      <c r="P277" s="4">
        <f t="shared" si="60"/>
        <v>34.73026005684406</v>
      </c>
      <c r="Q277" s="4">
        <f t="shared" si="64"/>
        <v>88.21486054438391</v>
      </c>
      <c r="R277" s="4">
        <f t="shared" si="61"/>
        <v>2686.083069958217</v>
      </c>
      <c r="S277" s="4">
        <f t="shared" si="62"/>
        <v>6455.3786829084756</v>
      </c>
      <c r="T277" s="4">
        <f t="shared" si="63"/>
        <v>17106.753509707461</v>
      </c>
      <c r="U277" s="4">
        <v>122</v>
      </c>
      <c r="V277" s="4">
        <v>0.107</v>
      </c>
      <c r="W277" s="4">
        <v>0</v>
      </c>
    </row>
    <row r="278" spans="1:29" x14ac:dyDescent="0.25">
      <c r="A278" s="4" t="s">
        <v>75</v>
      </c>
      <c r="B278" s="4" t="s">
        <v>76</v>
      </c>
      <c r="C278" s="4">
        <v>7</v>
      </c>
      <c r="D278" s="4">
        <v>2</v>
      </c>
      <c r="E278" s="4">
        <f t="shared" si="52"/>
        <v>14</v>
      </c>
      <c r="F278" s="4">
        <v>2275.6669069999998</v>
      </c>
      <c r="G278" s="4">
        <v>6030.517304</v>
      </c>
      <c r="H278" s="4">
        <v>946.90499999999997</v>
      </c>
      <c r="I278" s="4">
        <v>0.946905</v>
      </c>
      <c r="J278" s="4">
        <v>9.4690499999999995E-4</v>
      </c>
      <c r="K278" s="4">
        <v>2.0875657009999999</v>
      </c>
      <c r="L278" s="4">
        <v>2.5000000000000001E-3</v>
      </c>
      <c r="M278" s="4">
        <v>3.1</v>
      </c>
      <c r="N278" s="4">
        <v>63.01922132</v>
      </c>
      <c r="O278" s="4">
        <f t="shared" si="59"/>
        <v>7.384047343867624</v>
      </c>
      <c r="P278" s="4">
        <f t="shared" si="60"/>
        <v>37.292764654622943</v>
      </c>
      <c r="Q278" s="4">
        <f t="shared" si="64"/>
        <v>94.723622222742279</v>
      </c>
      <c r="R278" s="4">
        <f t="shared" si="61"/>
        <v>3349.351518115423</v>
      </c>
      <c r="S278" s="4">
        <f t="shared" si="62"/>
        <v>8049.3908149853951</v>
      </c>
      <c r="T278" s="4">
        <f t="shared" si="63"/>
        <v>21330.885659711297</v>
      </c>
      <c r="U278" s="4">
        <v>122</v>
      </c>
      <c r="V278" s="4">
        <v>0.107</v>
      </c>
      <c r="W278" s="4">
        <v>0</v>
      </c>
    </row>
    <row r="279" spans="1:29" x14ac:dyDescent="0.25">
      <c r="A279" s="4" t="s">
        <v>75</v>
      </c>
      <c r="B279" s="4" t="s">
        <v>76</v>
      </c>
      <c r="C279" s="4">
        <v>8</v>
      </c>
      <c r="D279" s="4">
        <v>2</v>
      </c>
      <c r="E279" s="4">
        <f t="shared" si="52"/>
        <v>16</v>
      </c>
      <c r="F279" s="4">
        <v>2451.3338140000001</v>
      </c>
      <c r="G279" s="4">
        <v>6496.0346079999999</v>
      </c>
      <c r="H279" s="4">
        <v>1020</v>
      </c>
      <c r="I279" s="4">
        <v>1.02</v>
      </c>
      <c r="J279" s="4">
        <v>1.0200000000000001E-3</v>
      </c>
      <c r="K279" s="4">
        <v>2.2487124000000001</v>
      </c>
      <c r="L279" s="4">
        <v>2.5000000000000001E-3</v>
      </c>
      <c r="M279" s="4">
        <v>3.1</v>
      </c>
      <c r="N279" s="4">
        <v>64.549127330000005</v>
      </c>
      <c r="O279" s="4">
        <f t="shared" si="59"/>
        <v>8.7293866619177649</v>
      </c>
      <c r="P279" s="4">
        <f t="shared" si="60"/>
        <v>39.361598603252915</v>
      </c>
      <c r="Q279" s="4">
        <f t="shared" si="64"/>
        <v>99.978460452262411</v>
      </c>
      <c r="R279" s="4">
        <f t="shared" si="61"/>
        <v>3959.5878935679457</v>
      </c>
      <c r="S279" s="4">
        <f t="shared" si="62"/>
        <v>9515.9526401536805</v>
      </c>
      <c r="T279" s="4">
        <f t="shared" si="63"/>
        <v>25217.274496407252</v>
      </c>
      <c r="U279" s="4">
        <v>122</v>
      </c>
      <c r="V279" s="4">
        <v>0.107</v>
      </c>
      <c r="W279" s="4">
        <v>0</v>
      </c>
    </row>
    <row r="280" spans="1:29" x14ac:dyDescent="0.25">
      <c r="A280" s="4" t="s">
        <v>75</v>
      </c>
      <c r="B280" s="4" t="s">
        <v>76</v>
      </c>
      <c r="C280" s="4">
        <v>9</v>
      </c>
      <c r="D280" s="4">
        <v>2</v>
      </c>
      <c r="E280" s="4">
        <f t="shared" si="52"/>
        <v>18</v>
      </c>
      <c r="F280" s="4">
        <v>2643.5952900000002</v>
      </c>
      <c r="G280" s="4">
        <v>7005.5275179999999</v>
      </c>
      <c r="H280" s="4">
        <v>1100</v>
      </c>
      <c r="I280" s="4">
        <v>1.1000000000000001</v>
      </c>
      <c r="J280" s="4">
        <v>1.1000000000000001E-3</v>
      </c>
      <c r="K280" s="4">
        <v>2.4250820000000002</v>
      </c>
      <c r="L280" s="4">
        <v>2.5000000000000001E-3</v>
      </c>
      <c r="M280" s="4">
        <v>3.1</v>
      </c>
      <c r="N280" s="4">
        <v>66.140672339999995</v>
      </c>
      <c r="O280" s="4">
        <f t="shared" si="59"/>
        <v>9.9296577637612291</v>
      </c>
      <c r="P280" s="4">
        <f t="shared" si="60"/>
        <v>41.031868350559428</v>
      </c>
      <c r="Q280" s="4">
        <f t="shared" si="64"/>
        <v>104.22094561042094</v>
      </c>
      <c r="R280" s="4">
        <f t="shared" si="61"/>
        <v>4504.0223547646438</v>
      </c>
      <c r="S280" s="4">
        <f t="shared" si="62"/>
        <v>10824.374801164729</v>
      </c>
      <c r="T280" s="4">
        <f t="shared" si="63"/>
        <v>28684.593223086533</v>
      </c>
      <c r="U280" s="4">
        <v>122</v>
      </c>
      <c r="V280" s="4">
        <v>0.107</v>
      </c>
      <c r="W280" s="4">
        <v>0</v>
      </c>
      <c r="AA280" s="2" t="s">
        <v>624</v>
      </c>
      <c r="AB280" s="2" t="s">
        <v>624</v>
      </c>
    </row>
    <row r="281" spans="1:29" x14ac:dyDescent="0.25">
      <c r="A281" s="4" t="s">
        <v>75</v>
      </c>
      <c r="B281" s="4" t="s">
        <v>76</v>
      </c>
      <c r="C281" s="4">
        <v>10</v>
      </c>
      <c r="D281" s="4">
        <v>2</v>
      </c>
      <c r="E281" s="4">
        <f t="shared" si="52"/>
        <v>20</v>
      </c>
      <c r="F281" s="4">
        <v>3076.18361</v>
      </c>
      <c r="G281" s="4">
        <v>8151.8865660000001</v>
      </c>
      <c r="H281" s="4">
        <v>1280</v>
      </c>
      <c r="I281" s="4">
        <v>1.28</v>
      </c>
      <c r="J281" s="4">
        <v>1.2800000000000001E-3</v>
      </c>
      <c r="K281" s="4">
        <v>2.8219135999999998</v>
      </c>
      <c r="L281" s="4">
        <v>2.5000000000000001E-3</v>
      </c>
      <c r="M281" s="4">
        <v>3.1</v>
      </c>
      <c r="N281" s="4">
        <v>69.454435750000002</v>
      </c>
      <c r="O281" s="4">
        <f t="shared" si="59"/>
        <v>10.976619154794601</v>
      </c>
      <c r="P281" s="4">
        <f t="shared" si="60"/>
        <v>42.380357933599583</v>
      </c>
      <c r="Q281" s="4">
        <f t="shared" si="64"/>
        <v>107.64610915134294</v>
      </c>
      <c r="R281" s="4">
        <f t="shared" si="61"/>
        <v>4978.9166181902556</v>
      </c>
      <c r="S281" s="4">
        <f t="shared" si="62"/>
        <v>11965.673199207537</v>
      </c>
      <c r="T281" s="4">
        <f t="shared" si="63"/>
        <v>31709.03397789997</v>
      </c>
      <c r="U281" s="4">
        <v>122</v>
      </c>
      <c r="V281" s="4">
        <v>0.107</v>
      </c>
      <c r="W281" s="4">
        <v>0</v>
      </c>
      <c r="Y281" s="4" t="s">
        <v>625</v>
      </c>
      <c r="Z281" s="4" t="s">
        <v>626</v>
      </c>
      <c r="AA281" s="4" t="s">
        <v>627</v>
      </c>
      <c r="AB281" s="4" t="s">
        <v>628</v>
      </c>
    </row>
    <row r="282" spans="1:29" x14ac:dyDescent="0.25">
      <c r="A282" s="4" t="s">
        <v>77</v>
      </c>
      <c r="B282" s="4" t="s">
        <v>78</v>
      </c>
      <c r="C282" s="4">
        <v>1</v>
      </c>
      <c r="D282" s="4">
        <v>3</v>
      </c>
      <c r="E282" s="4">
        <f t="shared" si="52"/>
        <v>3</v>
      </c>
      <c r="F282" s="4">
        <v>9202.4770129999997</v>
      </c>
      <c r="G282" s="4">
        <v>24386.56408</v>
      </c>
      <c r="H282" s="4">
        <v>3829.1506850000001</v>
      </c>
      <c r="I282" s="4">
        <v>3.8291506850000001</v>
      </c>
      <c r="J282" s="4">
        <v>3.8291509999999998E-3</v>
      </c>
      <c r="K282" s="4">
        <v>8.4418221829999993</v>
      </c>
      <c r="L282" s="4">
        <v>3.5000000000000003E-2</v>
      </c>
      <c r="M282" s="4">
        <v>2.9</v>
      </c>
      <c r="N282" s="4">
        <v>54.650995010000003</v>
      </c>
      <c r="O282" s="4">
        <f t="shared" si="59"/>
        <v>196.90530677965444</v>
      </c>
      <c r="P282" s="4">
        <f t="shared" si="60"/>
        <v>63.742170359821344</v>
      </c>
      <c r="Q282" s="4">
        <f t="shared" si="64"/>
        <v>161.90511271394621</v>
      </c>
      <c r="R282" s="2">
        <f t="shared" si="61"/>
        <v>89314.850985500641</v>
      </c>
      <c r="S282" s="2">
        <f t="shared" si="62"/>
        <v>214647.56305095079</v>
      </c>
      <c r="T282" s="2">
        <f t="shared" si="63"/>
        <v>568816.04208501952</v>
      </c>
      <c r="U282" s="4">
        <f t="shared" ref="U282:U291" si="65">$AC$283*100</f>
        <v>208.40700000000004</v>
      </c>
      <c r="V282" s="4">
        <v>0.5</v>
      </c>
      <c r="W282" s="4">
        <v>0</v>
      </c>
      <c r="X282" s="4" t="s">
        <v>459</v>
      </c>
      <c r="Y282" s="4">
        <f>AVERAGE(550,88)*0.453592</f>
        <v>144.69584800000001</v>
      </c>
      <c r="Z282" s="4">
        <f>AVERAGE(180,285)*0.45392</f>
        <v>105.5364</v>
      </c>
      <c r="AA282" s="4">
        <f>610*0.453592</f>
        <v>276.69112000000001</v>
      </c>
      <c r="AB282" s="4">
        <f>300*0.453592</f>
        <v>136.07759999999999</v>
      </c>
      <c r="AC282" s="4">
        <f>AVERAGE(Y282:AB282)</f>
        <v>165.75024199999999</v>
      </c>
    </row>
    <row r="283" spans="1:29" x14ac:dyDescent="0.25">
      <c r="A283" s="4" t="s">
        <v>77</v>
      </c>
      <c r="B283" s="4" t="s">
        <v>78</v>
      </c>
      <c r="C283" s="4">
        <v>2</v>
      </c>
      <c r="D283" s="4">
        <v>3</v>
      </c>
      <c r="E283" s="4">
        <f t="shared" si="52"/>
        <v>6</v>
      </c>
      <c r="F283" s="4">
        <v>68782.88609</v>
      </c>
      <c r="G283" s="4">
        <v>182274.6482</v>
      </c>
      <c r="H283" s="4">
        <v>28620.5589</v>
      </c>
      <c r="I283" s="4">
        <v>28.620558899999999</v>
      </c>
      <c r="J283" s="4">
        <v>2.8620559E-2</v>
      </c>
      <c r="K283" s="4">
        <v>63.097456569999999</v>
      </c>
      <c r="L283" s="4">
        <v>3.5000000000000003E-2</v>
      </c>
      <c r="M283" s="4">
        <v>2.9</v>
      </c>
      <c r="N283" s="4">
        <v>109.3530894</v>
      </c>
      <c r="O283" s="4">
        <f t="shared" si="59"/>
        <v>353.12476735426327</v>
      </c>
      <c r="P283" s="4">
        <f t="shared" si="60"/>
        <v>77.964971040416785</v>
      </c>
      <c r="Q283" s="4">
        <f t="shared" si="64"/>
        <v>198.03102644265863</v>
      </c>
      <c r="R283" s="2">
        <f t="shared" si="61"/>
        <v>160174.89061800367</v>
      </c>
      <c r="S283" s="2">
        <f t="shared" si="62"/>
        <v>384943.26031724026</v>
      </c>
      <c r="T283" s="2">
        <f t="shared" si="63"/>
        <v>1020099.6398406867</v>
      </c>
      <c r="U283" s="4">
        <f t="shared" si="65"/>
        <v>208.40700000000004</v>
      </c>
      <c r="V283" s="4">
        <v>0.5</v>
      </c>
      <c r="W283" s="4">
        <v>0</v>
      </c>
      <c r="X283" s="4" t="s">
        <v>460</v>
      </c>
      <c r="Y283" s="4">
        <f>AVERAGE(7.5, 10)*0.3048</f>
        <v>2.6670000000000003</v>
      </c>
      <c r="Z283" s="4">
        <f>5.5*0.3048</f>
        <v>1.6764000000000001</v>
      </c>
      <c r="AA283" s="4">
        <f>7.6*0.3048</f>
        <v>2.3164799999999999</v>
      </c>
      <c r="AB283" s="4">
        <f>5.5*0.3048</f>
        <v>1.6764000000000001</v>
      </c>
      <c r="AC283" s="4">
        <f>AVERAGE(Y283:AB283)</f>
        <v>2.0840700000000005</v>
      </c>
    </row>
    <row r="284" spans="1:29" x14ac:dyDescent="0.25">
      <c r="A284" s="4" t="s">
        <v>77</v>
      </c>
      <c r="B284" s="4" t="s">
        <v>78</v>
      </c>
      <c r="C284" s="4">
        <v>3</v>
      </c>
      <c r="D284" s="4">
        <v>3</v>
      </c>
      <c r="E284" s="4">
        <f t="shared" si="52"/>
        <v>9</v>
      </c>
      <c r="F284" s="4">
        <v>123834.1152</v>
      </c>
      <c r="G284" s="4">
        <v>328160.40529999998</v>
      </c>
      <c r="H284" s="4">
        <v>51527.375330000003</v>
      </c>
      <c r="I284" s="4">
        <v>51.527375329999998</v>
      </c>
      <c r="J284" s="4">
        <v>5.1527375E-2</v>
      </c>
      <c r="K284" s="4">
        <v>113.5982822</v>
      </c>
      <c r="L284" s="4">
        <v>3.5000000000000003E-2</v>
      </c>
      <c r="M284" s="4">
        <v>2.9</v>
      </c>
      <c r="N284" s="4">
        <v>133.93256890000001</v>
      </c>
      <c r="O284" s="4">
        <f t="shared" si="59"/>
        <v>396.44039314893666</v>
      </c>
      <c r="P284" s="4">
        <f t="shared" si="60"/>
        <v>81.138506834037244</v>
      </c>
      <c r="Q284" s="4">
        <f t="shared" si="64"/>
        <v>206.09180735845459</v>
      </c>
      <c r="R284" s="2">
        <f t="shared" si="61"/>
        <v>179822.55134623504</v>
      </c>
      <c r="S284" s="2">
        <f t="shared" si="62"/>
        <v>432161.86336514069</v>
      </c>
      <c r="T284" s="2">
        <f t="shared" si="63"/>
        <v>1145228.9379176227</v>
      </c>
      <c r="U284" s="4">
        <f t="shared" si="65"/>
        <v>208.40700000000004</v>
      </c>
      <c r="V284" s="4">
        <v>0.5</v>
      </c>
      <c r="W284" s="4">
        <v>0</v>
      </c>
      <c r="X284" s="4" t="s">
        <v>461</v>
      </c>
      <c r="Y284" s="4">
        <v>30</v>
      </c>
      <c r="Z284" s="4">
        <v>30</v>
      </c>
    </row>
    <row r="285" spans="1:29" x14ac:dyDescent="0.25">
      <c r="A285" s="4" t="s">
        <v>77</v>
      </c>
      <c r="B285" s="4" t="s">
        <v>78</v>
      </c>
      <c r="C285" s="4">
        <v>4</v>
      </c>
      <c r="D285" s="4">
        <v>3</v>
      </c>
      <c r="E285" s="4">
        <f t="shared" si="52"/>
        <v>12</v>
      </c>
      <c r="F285" s="4">
        <v>155824.3573</v>
      </c>
      <c r="G285" s="4">
        <v>412934.54680000001</v>
      </c>
      <c r="H285" s="4">
        <v>64838.515070000001</v>
      </c>
      <c r="I285" s="4">
        <v>64.83851507</v>
      </c>
      <c r="J285" s="4">
        <v>6.4838514999999999E-2</v>
      </c>
      <c r="K285" s="4">
        <v>142.9442871</v>
      </c>
      <c r="L285" s="4">
        <v>3.5000000000000003E-2</v>
      </c>
      <c r="M285" s="4">
        <v>2.9</v>
      </c>
      <c r="N285" s="4">
        <v>144.9767238</v>
      </c>
      <c r="O285" s="4">
        <f t="shared" si="59"/>
        <v>406.55725291291765</v>
      </c>
      <c r="P285" s="4">
        <f t="shared" si="60"/>
        <v>81.846618383904541</v>
      </c>
      <c r="Q285" s="4">
        <f t="shared" si="64"/>
        <v>207.89041069511754</v>
      </c>
      <c r="R285" s="2">
        <f t="shared" si="61"/>
        <v>184411.48720093153</v>
      </c>
      <c r="S285" s="2">
        <f t="shared" si="62"/>
        <v>443190.30810125335</v>
      </c>
      <c r="T285" s="2">
        <f t="shared" si="63"/>
        <v>1174454.3164683213</v>
      </c>
      <c r="U285" s="4">
        <f t="shared" si="65"/>
        <v>208.40700000000004</v>
      </c>
      <c r="V285" s="4">
        <v>0.5</v>
      </c>
      <c r="W285" s="4">
        <v>0</v>
      </c>
      <c r="X285" s="4" t="s">
        <v>462</v>
      </c>
      <c r="Y285" s="4">
        <f>35*0.453592</f>
        <v>15.875719999999999</v>
      </c>
      <c r="Z285" s="4">
        <f>24*0.453592</f>
        <v>10.886208</v>
      </c>
    </row>
    <row r="286" spans="1:29" x14ac:dyDescent="0.25">
      <c r="A286" s="4" t="s">
        <v>77</v>
      </c>
      <c r="B286" s="4" t="s">
        <v>78</v>
      </c>
      <c r="C286" s="4">
        <v>5</v>
      </c>
      <c r="D286" s="4">
        <v>3</v>
      </c>
      <c r="E286" s="4">
        <f t="shared" si="52"/>
        <v>15</v>
      </c>
      <c r="F286" s="4">
        <v>171800.33780000001</v>
      </c>
      <c r="G286" s="4">
        <v>455270.89510000002</v>
      </c>
      <c r="H286" s="4">
        <v>71486.120559999996</v>
      </c>
      <c r="I286" s="4">
        <v>71.486120560000003</v>
      </c>
      <c r="J286" s="4">
        <v>7.1486121E-2</v>
      </c>
      <c r="K286" s="4">
        <v>157.59973110000001</v>
      </c>
      <c r="L286" s="4">
        <v>3.5000000000000003E-2</v>
      </c>
      <c r="M286" s="4">
        <v>2.9</v>
      </c>
      <c r="N286" s="4">
        <v>149.93915659999999</v>
      </c>
      <c r="O286" s="4">
        <f t="shared" si="59"/>
        <v>408.83746436511427</v>
      </c>
      <c r="P286" s="4">
        <f t="shared" si="60"/>
        <v>82.00461942742939</v>
      </c>
      <c r="Q286" s="4">
        <f t="shared" si="64"/>
        <v>208.29173334567065</v>
      </c>
      <c r="R286" s="2">
        <f t="shared" si="61"/>
        <v>185445.77494766185</v>
      </c>
      <c r="S286" s="2">
        <f t="shared" si="62"/>
        <v>445675.97920610878</v>
      </c>
      <c r="T286" s="2">
        <f t="shared" si="63"/>
        <v>1181041.3448961882</v>
      </c>
      <c r="U286" s="4">
        <f t="shared" si="65"/>
        <v>208.40700000000004</v>
      </c>
      <c r="V286" s="4">
        <v>0.5</v>
      </c>
      <c r="W286" s="4">
        <v>0</v>
      </c>
      <c r="X286" s="4" t="s">
        <v>463</v>
      </c>
    </row>
    <row r="287" spans="1:29" x14ac:dyDescent="0.25">
      <c r="A287" s="4" t="s">
        <v>77</v>
      </c>
      <c r="B287" s="4" t="s">
        <v>78</v>
      </c>
      <c r="C287" s="4">
        <v>6</v>
      </c>
      <c r="D287" s="4">
        <v>3</v>
      </c>
      <c r="E287" s="4">
        <f t="shared" si="52"/>
        <v>18</v>
      </c>
      <c r="F287" s="4">
        <v>179314.69320000001</v>
      </c>
      <c r="G287" s="4">
        <v>475183.93689999997</v>
      </c>
      <c r="H287" s="4">
        <v>74612.843840000001</v>
      </c>
      <c r="I287" s="4">
        <v>74.612843839999996</v>
      </c>
      <c r="J287" s="4">
        <v>7.4612843999999998E-2</v>
      </c>
      <c r="K287" s="4">
        <v>164.4929678</v>
      </c>
      <c r="L287" s="4">
        <v>3.5000000000000003E-2</v>
      </c>
      <c r="M287" s="4">
        <v>2.9</v>
      </c>
      <c r="N287" s="4">
        <v>152.16895260000001</v>
      </c>
      <c r="O287" s="4">
        <f t="shared" si="59"/>
        <v>409.34738895909385</v>
      </c>
      <c r="P287" s="4">
        <f t="shared" si="60"/>
        <v>82.039874225574707</v>
      </c>
      <c r="Q287" s="4">
        <f t="shared" si="64"/>
        <v>208.38128053295975</v>
      </c>
      <c r="R287" s="2">
        <f t="shared" si="61"/>
        <v>185677.07312783782</v>
      </c>
      <c r="S287" s="2">
        <f t="shared" si="62"/>
        <v>446231.85082393134</v>
      </c>
      <c r="T287" s="2">
        <f t="shared" si="63"/>
        <v>1182514.4046834181</v>
      </c>
      <c r="U287" s="4">
        <f t="shared" si="65"/>
        <v>208.40700000000004</v>
      </c>
      <c r="V287" s="4">
        <v>0.5</v>
      </c>
      <c r="W287" s="4">
        <v>0</v>
      </c>
      <c r="X287" s="4" t="s">
        <v>464</v>
      </c>
    </row>
    <row r="288" spans="1:29" x14ac:dyDescent="0.25">
      <c r="A288" s="4" t="s">
        <v>77</v>
      </c>
      <c r="B288" s="4" t="s">
        <v>78</v>
      </c>
      <c r="C288" s="4">
        <v>7</v>
      </c>
      <c r="D288" s="4">
        <v>3</v>
      </c>
      <c r="E288" s="4">
        <f t="shared" si="52"/>
        <v>21</v>
      </c>
      <c r="F288" s="4">
        <v>182759.99249999999</v>
      </c>
      <c r="G288" s="4">
        <v>484313.98009999999</v>
      </c>
      <c r="H288" s="4">
        <v>76046.432879999993</v>
      </c>
      <c r="I288" s="4">
        <v>76.046432879999998</v>
      </c>
      <c r="J288" s="4">
        <v>7.6046432999999997E-2</v>
      </c>
      <c r="K288" s="4">
        <v>167.65348689999999</v>
      </c>
      <c r="L288" s="4">
        <v>3.5000000000000003E-2</v>
      </c>
      <c r="M288" s="4">
        <v>2.9</v>
      </c>
      <c r="N288" s="4">
        <v>153.1708558</v>
      </c>
      <c r="O288" s="4">
        <f t="shared" si="59"/>
        <v>409.46122534671082</v>
      </c>
      <c r="P288" s="4">
        <f t="shared" si="60"/>
        <v>82.047740634330879</v>
      </c>
      <c r="Q288" s="4">
        <f t="shared" si="64"/>
        <v>208.40126121120042</v>
      </c>
      <c r="R288" s="2">
        <f t="shared" si="61"/>
        <v>185728.70850609665</v>
      </c>
      <c r="S288" s="2">
        <f t="shared" si="62"/>
        <v>446355.94449915079</v>
      </c>
      <c r="T288" s="2">
        <f t="shared" si="63"/>
        <v>1182843.2529227496</v>
      </c>
      <c r="U288" s="4">
        <f t="shared" si="65"/>
        <v>208.40700000000004</v>
      </c>
      <c r="V288" s="4">
        <v>0.5</v>
      </c>
      <c r="W288" s="4">
        <v>0</v>
      </c>
      <c r="X288" s="4" t="s">
        <v>434</v>
      </c>
      <c r="Y288" s="7" t="s">
        <v>629</v>
      </c>
      <c r="Z288" s="7" t="s">
        <v>630</v>
      </c>
      <c r="AA288" s="7" t="s">
        <v>631</v>
      </c>
    </row>
    <row r="289" spans="1:26" x14ac:dyDescent="0.25">
      <c r="A289" s="4" t="s">
        <v>77</v>
      </c>
      <c r="B289" s="4" t="s">
        <v>78</v>
      </c>
      <c r="C289" s="4">
        <v>8</v>
      </c>
      <c r="D289" s="4">
        <v>3</v>
      </c>
      <c r="E289" s="4">
        <f t="shared" si="52"/>
        <v>24</v>
      </c>
      <c r="F289" s="4">
        <v>184322.0116</v>
      </c>
      <c r="G289" s="4">
        <v>488453.3308</v>
      </c>
      <c r="H289" s="4">
        <v>76696.389030000006</v>
      </c>
      <c r="I289" s="4">
        <v>76.696389030000006</v>
      </c>
      <c r="J289" s="4">
        <v>7.6696389000000004E-2</v>
      </c>
      <c r="K289" s="4">
        <v>169.0863932</v>
      </c>
      <c r="L289" s="4">
        <v>3.5000000000000003E-2</v>
      </c>
      <c r="M289" s="4">
        <v>2.9</v>
      </c>
      <c r="N289" s="4">
        <v>153.62102049999999</v>
      </c>
      <c r="O289" s="4">
        <f t="shared" si="59"/>
        <v>409.48662850803771</v>
      </c>
      <c r="P289" s="4">
        <f t="shared" si="60"/>
        <v>82.049495867376422</v>
      </c>
      <c r="Q289" s="4">
        <f t="shared" si="64"/>
        <v>208.40571950313611</v>
      </c>
      <c r="R289" s="2">
        <f t="shared" si="61"/>
        <v>185740.23119995178</v>
      </c>
      <c r="S289" s="2">
        <f t="shared" si="62"/>
        <v>446383.63662569522</v>
      </c>
      <c r="T289" s="2">
        <f t="shared" si="63"/>
        <v>1182916.6370580923</v>
      </c>
      <c r="U289" s="4">
        <f t="shared" si="65"/>
        <v>208.40700000000004</v>
      </c>
      <c r="V289" s="4">
        <v>0.5</v>
      </c>
      <c r="W289" s="4">
        <v>0</v>
      </c>
      <c r="X289" s="4" t="s">
        <v>469</v>
      </c>
      <c r="Y289" s="4">
        <v>11</v>
      </c>
      <c r="Z289" s="4">
        <v>10</v>
      </c>
    </row>
    <row r="290" spans="1:26" x14ac:dyDescent="0.25">
      <c r="A290" s="4" t="s">
        <v>77</v>
      </c>
      <c r="B290" s="4" t="s">
        <v>78</v>
      </c>
      <c r="C290" s="4">
        <v>9</v>
      </c>
      <c r="D290" s="4">
        <v>3</v>
      </c>
      <c r="E290" s="4">
        <f t="shared" si="52"/>
        <v>27</v>
      </c>
      <c r="F290" s="4">
        <v>185026.83429999999</v>
      </c>
      <c r="G290" s="4">
        <v>490321.11090000003</v>
      </c>
      <c r="H290" s="4">
        <v>76989.66575</v>
      </c>
      <c r="I290" s="4">
        <v>76.98966575</v>
      </c>
      <c r="J290" s="4">
        <v>7.6989665999999998E-2</v>
      </c>
      <c r="K290" s="4">
        <v>169.7329569</v>
      </c>
      <c r="L290" s="4">
        <v>3.5000000000000003E-2</v>
      </c>
      <c r="M290" s="4">
        <v>2.9</v>
      </c>
      <c r="N290" s="4">
        <v>153.8233281</v>
      </c>
      <c r="O290" s="4">
        <f t="shared" si="59"/>
        <v>409.4922968603928</v>
      </c>
      <c r="P290" s="4">
        <f t="shared" si="60"/>
        <v>82.049887512806976</v>
      </c>
      <c r="Q290" s="4">
        <f t="shared" si="64"/>
        <v>208.40671428252972</v>
      </c>
      <c r="R290" s="2">
        <f t="shared" si="61"/>
        <v>185742.80232438823</v>
      </c>
      <c r="S290" s="2">
        <f t="shared" si="62"/>
        <v>446389.81572792178</v>
      </c>
      <c r="T290" s="2">
        <f t="shared" si="63"/>
        <v>1182933.0116789928</v>
      </c>
      <c r="U290" s="4">
        <f t="shared" si="65"/>
        <v>208.40700000000004</v>
      </c>
      <c r="V290" s="4">
        <v>0.5</v>
      </c>
      <c r="W290" s="4">
        <v>0</v>
      </c>
      <c r="X290" s="4" t="s">
        <v>470</v>
      </c>
      <c r="Z290" s="4">
        <v>5</v>
      </c>
    </row>
    <row r="291" spans="1:26" x14ac:dyDescent="0.25">
      <c r="A291" s="4" t="s">
        <v>77</v>
      </c>
      <c r="B291" s="4" t="s">
        <v>78</v>
      </c>
      <c r="C291" s="4">
        <v>10</v>
      </c>
      <c r="D291" s="4">
        <v>3</v>
      </c>
      <c r="E291" s="4">
        <f t="shared" si="52"/>
        <v>30</v>
      </c>
      <c r="F291" s="4">
        <v>185344.34229999999</v>
      </c>
      <c r="G291" s="4">
        <v>491162.50699999998</v>
      </c>
      <c r="H291" s="4">
        <v>77121.780830000003</v>
      </c>
      <c r="I291" s="4">
        <v>77.121780830000006</v>
      </c>
      <c r="J291" s="4">
        <v>7.7121781E-2</v>
      </c>
      <c r="K291" s="4">
        <v>170.02422050000001</v>
      </c>
      <c r="L291" s="4">
        <v>3.5000000000000003E-2</v>
      </c>
      <c r="M291" s="4">
        <v>2.9</v>
      </c>
      <c r="N291" s="4">
        <v>153.9142985</v>
      </c>
      <c r="O291" s="4">
        <f t="shared" si="59"/>
        <v>409.49356164777606</v>
      </c>
      <c r="P291" s="4">
        <f t="shared" si="60"/>
        <v>82.049974900714616</v>
      </c>
      <c r="Q291" s="4">
        <f t="shared" si="64"/>
        <v>208.40693624781514</v>
      </c>
      <c r="R291" s="2">
        <f t="shared" si="61"/>
        <v>185743.37602297723</v>
      </c>
      <c r="S291" s="2">
        <f t="shared" si="62"/>
        <v>446391.19447963766</v>
      </c>
      <c r="T291" s="2">
        <f t="shared" si="63"/>
        <v>1182936.6653710399</v>
      </c>
      <c r="U291" s="4">
        <f t="shared" si="65"/>
        <v>208.40700000000004</v>
      </c>
      <c r="V291" s="4">
        <v>0.5</v>
      </c>
      <c r="W291" s="4">
        <v>0</v>
      </c>
      <c r="X291" s="4" t="s">
        <v>471</v>
      </c>
      <c r="Y291" s="4">
        <f>3/52</f>
        <v>5.7692307692307696E-2</v>
      </c>
      <c r="Z291" s="4">
        <f>6/52</f>
        <v>0.11538461538461539</v>
      </c>
    </row>
    <row r="292" spans="1:26" x14ac:dyDescent="0.25">
      <c r="A292" s="4" t="s">
        <v>79</v>
      </c>
      <c r="B292" s="4" t="s">
        <v>80</v>
      </c>
      <c r="C292" s="4">
        <v>1</v>
      </c>
      <c r="D292" s="4">
        <v>2</v>
      </c>
      <c r="E292" s="4">
        <f t="shared" si="52"/>
        <v>2</v>
      </c>
      <c r="F292" s="4">
        <v>476.02739730000002</v>
      </c>
      <c r="G292" s="4">
        <v>1261.4726029999999</v>
      </c>
      <c r="H292" s="4">
        <v>198.07499999999999</v>
      </c>
      <c r="I292" s="4">
        <v>0.198075</v>
      </c>
      <c r="J292" s="4">
        <v>1.98075E-4</v>
      </c>
      <c r="K292" s="4">
        <v>0.43668010699999998</v>
      </c>
      <c r="L292" s="4">
        <v>3.3999999999999998E-3</v>
      </c>
      <c r="M292" s="4">
        <v>3.2850000000000001</v>
      </c>
      <c r="N292" s="4">
        <v>20.58566939</v>
      </c>
      <c r="O292" s="4">
        <f t="shared" si="59"/>
        <v>8.6876313928669013E-2</v>
      </c>
      <c r="P292" s="4">
        <f t="shared" si="60"/>
        <v>6.7972274277636542</v>
      </c>
      <c r="Q292" s="4">
        <f t="shared" si="64"/>
        <v>17.264957666519681</v>
      </c>
      <c r="R292" s="4">
        <f t="shared" si="61"/>
        <v>39.40647999594897</v>
      </c>
      <c r="S292" s="4">
        <f t="shared" si="62"/>
        <v>94.704349906149901</v>
      </c>
      <c r="T292" s="4">
        <f t="shared" si="63"/>
        <v>250.96652725129724</v>
      </c>
      <c r="U292" s="4">
        <v>59.9</v>
      </c>
      <c r="V292" s="4">
        <v>0.17</v>
      </c>
      <c r="W292" s="4">
        <v>0</v>
      </c>
      <c r="Y292" s="4" t="s">
        <v>632</v>
      </c>
    </row>
    <row r="293" spans="1:26" x14ac:dyDescent="0.25">
      <c r="A293" s="4" t="s">
        <v>79</v>
      </c>
      <c r="B293" s="4" t="s">
        <v>80</v>
      </c>
      <c r="C293" s="4">
        <v>2</v>
      </c>
      <c r="D293" s="4">
        <v>2</v>
      </c>
      <c r="E293" s="4">
        <f t="shared" si="52"/>
        <v>4</v>
      </c>
      <c r="F293" s="4">
        <v>1129.488104</v>
      </c>
      <c r="G293" s="4">
        <v>2993.143474</v>
      </c>
      <c r="H293" s="4">
        <v>469.98000009999998</v>
      </c>
      <c r="I293" s="4">
        <v>0.46998000000000001</v>
      </c>
      <c r="J293" s="4">
        <v>4.6998E-4</v>
      </c>
      <c r="K293" s="4">
        <v>1.036127308</v>
      </c>
      <c r="L293" s="4">
        <v>3.3999999999999998E-3</v>
      </c>
      <c r="M293" s="4">
        <v>3.2850000000000001</v>
      </c>
      <c r="N293" s="4">
        <v>26.966869200000001</v>
      </c>
      <c r="O293" s="4">
        <f t="shared" si="59"/>
        <v>0.50789019582223249</v>
      </c>
      <c r="P293" s="4">
        <f t="shared" si="60"/>
        <v>11.635292187913853</v>
      </c>
      <c r="Q293" s="4">
        <f t="shared" si="64"/>
        <v>29.553642157301187</v>
      </c>
      <c r="R293" s="4">
        <f t="shared" si="61"/>
        <v>230.3753915968432</v>
      </c>
      <c r="S293" s="4">
        <f t="shared" si="62"/>
        <v>553.65390914886609</v>
      </c>
      <c r="T293" s="4">
        <f t="shared" si="63"/>
        <v>1467.1828592444951</v>
      </c>
      <c r="U293" s="4">
        <v>59.9</v>
      </c>
      <c r="V293" s="4">
        <v>0.17</v>
      </c>
      <c r="W293" s="4">
        <v>0</v>
      </c>
    </row>
    <row r="294" spans="1:26" x14ac:dyDescent="0.25">
      <c r="A294" s="4" t="s">
        <v>79</v>
      </c>
      <c r="B294" s="4" t="s">
        <v>80</v>
      </c>
      <c r="C294" s="4">
        <v>3</v>
      </c>
      <c r="D294" s="4">
        <v>2</v>
      </c>
      <c r="E294" s="4">
        <f t="shared" si="52"/>
        <v>6</v>
      </c>
      <c r="F294" s="4">
        <v>1548.9065129999999</v>
      </c>
      <c r="G294" s="4">
        <v>4104.6022599999997</v>
      </c>
      <c r="H294" s="4">
        <v>644.50000009999997</v>
      </c>
      <c r="I294" s="4">
        <v>0.64449999999999996</v>
      </c>
      <c r="J294" s="4">
        <v>6.445E-4</v>
      </c>
      <c r="K294" s="4">
        <v>1.4208775899999999</v>
      </c>
      <c r="L294" s="4">
        <v>3.3999999999999998E-3</v>
      </c>
      <c r="M294" s="4">
        <v>3.2850000000000001</v>
      </c>
      <c r="N294" s="4">
        <v>29.76376634</v>
      </c>
      <c r="O294" s="4">
        <f t="shared" si="59"/>
        <v>1.1902389469204189</v>
      </c>
      <c r="P294" s="4">
        <f t="shared" si="60"/>
        <v>15.078883103792364</v>
      </c>
      <c r="Q294" s="4">
        <f t="shared" si="64"/>
        <v>38.300363083632604</v>
      </c>
      <c r="R294" s="4">
        <f t="shared" si="61"/>
        <v>539.88394685724472</v>
      </c>
      <c r="S294" s="4">
        <f t="shared" si="62"/>
        <v>1297.4860534901338</v>
      </c>
      <c r="T294" s="4">
        <f t="shared" si="63"/>
        <v>3438.3380417488547</v>
      </c>
      <c r="U294" s="4">
        <v>59.9</v>
      </c>
      <c r="V294" s="4">
        <v>0.17</v>
      </c>
      <c r="W294" s="4">
        <v>0</v>
      </c>
    </row>
    <row r="295" spans="1:26" x14ac:dyDescent="0.25">
      <c r="A295" s="4" t="s">
        <v>79</v>
      </c>
      <c r="B295" s="4" t="s">
        <v>80</v>
      </c>
      <c r="C295" s="4">
        <v>4</v>
      </c>
      <c r="D295" s="4">
        <v>2</v>
      </c>
      <c r="E295" s="4">
        <f t="shared" si="52"/>
        <v>8</v>
      </c>
      <c r="F295" s="4">
        <v>2095.4578219999999</v>
      </c>
      <c r="G295" s="4">
        <v>5552.9632300000003</v>
      </c>
      <c r="H295" s="4">
        <v>871.91999969999995</v>
      </c>
      <c r="I295" s="4">
        <v>0.87192000000000003</v>
      </c>
      <c r="J295" s="4">
        <v>8.7191999999999999E-4</v>
      </c>
      <c r="K295" s="4">
        <v>1.92225227</v>
      </c>
      <c r="L295" s="4">
        <v>3.3999999999999998E-3</v>
      </c>
      <c r="M295" s="4">
        <v>3.2850000000000001</v>
      </c>
      <c r="N295" s="4">
        <v>32.71181739</v>
      </c>
      <c r="O295" s="4">
        <f t="shared" si="59"/>
        <v>1.9521322166409434</v>
      </c>
      <c r="P295" s="4">
        <f t="shared" si="60"/>
        <v>17.529928921449606</v>
      </c>
      <c r="Q295" s="4">
        <f t="shared" si="64"/>
        <v>44.526019460482004</v>
      </c>
      <c r="R295" s="4">
        <f t="shared" si="61"/>
        <v>885.47333174921005</v>
      </c>
      <c r="S295" s="4">
        <f t="shared" si="62"/>
        <v>2128.0301171574383</v>
      </c>
      <c r="T295" s="4">
        <f t="shared" si="63"/>
        <v>5639.2798104672111</v>
      </c>
      <c r="U295" s="4">
        <v>59.9</v>
      </c>
      <c r="V295" s="4">
        <v>0.17</v>
      </c>
      <c r="W295" s="4">
        <v>0</v>
      </c>
    </row>
    <row r="296" spans="1:26" x14ac:dyDescent="0.25">
      <c r="A296" s="4" t="s">
        <v>79</v>
      </c>
      <c r="B296" s="4" t="s">
        <v>80</v>
      </c>
      <c r="C296" s="4">
        <v>5</v>
      </c>
      <c r="D296" s="4">
        <v>2</v>
      </c>
      <c r="E296" s="4">
        <f t="shared" si="52"/>
        <v>10</v>
      </c>
      <c r="F296" s="4">
        <v>2636.890171</v>
      </c>
      <c r="G296" s="4">
        <v>6987.7589529999996</v>
      </c>
      <c r="H296" s="4">
        <v>1097.21</v>
      </c>
      <c r="I296" s="4">
        <v>1.09721</v>
      </c>
      <c r="J296" s="4">
        <v>1.0972099999999999E-3</v>
      </c>
      <c r="K296" s="4">
        <v>2.418931111</v>
      </c>
      <c r="L296" s="4">
        <v>3.3999999999999998E-3</v>
      </c>
      <c r="M296" s="4">
        <v>3.2850000000000001</v>
      </c>
      <c r="N296" s="4">
        <v>35.147648340000003</v>
      </c>
      <c r="O296" s="4">
        <f t="shared" si="59"/>
        <v>2.666009883957372</v>
      </c>
      <c r="P296" s="4">
        <f t="shared" si="60"/>
        <v>19.274510594189447</v>
      </c>
      <c r="Q296" s="4">
        <f t="shared" si="64"/>
        <v>48.957256909241195</v>
      </c>
      <c r="R296" s="4">
        <f t="shared" si="61"/>
        <v>1209.2831798483965</v>
      </c>
      <c r="S296" s="4">
        <f t="shared" si="62"/>
        <v>2906.2321073020826</v>
      </c>
      <c r="T296" s="4">
        <f t="shared" si="63"/>
        <v>7701.5150843505189</v>
      </c>
      <c r="U296" s="4">
        <v>59.9</v>
      </c>
      <c r="V296" s="4">
        <v>0.17</v>
      </c>
      <c r="W296" s="4">
        <v>0</v>
      </c>
    </row>
    <row r="297" spans="1:26" x14ac:dyDescent="0.25">
      <c r="A297" s="4" t="s">
        <v>79</v>
      </c>
      <c r="B297" s="4" t="s">
        <v>80</v>
      </c>
      <c r="C297" s="4">
        <v>6</v>
      </c>
      <c r="D297" s="4">
        <v>2</v>
      </c>
      <c r="E297" s="4">
        <f t="shared" si="52"/>
        <v>12</v>
      </c>
      <c r="F297" s="4">
        <v>2919.850997</v>
      </c>
      <c r="G297" s="4">
        <v>7737.6051429999998</v>
      </c>
      <c r="H297" s="4">
        <v>1214.95</v>
      </c>
      <c r="I297" s="4">
        <v>1.21495</v>
      </c>
      <c r="J297" s="4">
        <v>1.21495E-3</v>
      </c>
      <c r="K297" s="4">
        <v>2.678503069</v>
      </c>
      <c r="L297" s="4">
        <v>3.3999999999999998E-3</v>
      </c>
      <c r="M297" s="4">
        <v>3.2850000000000001</v>
      </c>
      <c r="N297" s="4">
        <v>36.285258810000002</v>
      </c>
      <c r="O297" s="4">
        <f t="shared" si="59"/>
        <v>3.2729052631188242</v>
      </c>
      <c r="P297" s="4">
        <f t="shared" si="60"/>
        <v>20.516252054481214</v>
      </c>
      <c r="Q297" s="4">
        <f t="shared" si="64"/>
        <v>52.111280218382284</v>
      </c>
      <c r="R297" s="4">
        <f t="shared" si="61"/>
        <v>1484.5666206052854</v>
      </c>
      <c r="S297" s="4">
        <f t="shared" si="62"/>
        <v>3567.8121139276268</v>
      </c>
      <c r="T297" s="4">
        <f t="shared" si="63"/>
        <v>9454.7021019082113</v>
      </c>
      <c r="U297" s="4">
        <v>59.9</v>
      </c>
      <c r="V297" s="4">
        <v>0.17</v>
      </c>
      <c r="W297" s="4">
        <v>0</v>
      </c>
    </row>
    <row r="298" spans="1:26" x14ac:dyDescent="0.25">
      <c r="A298" s="4" t="s">
        <v>79</v>
      </c>
      <c r="B298" s="4" t="s">
        <v>80</v>
      </c>
      <c r="C298" s="4">
        <v>7</v>
      </c>
      <c r="D298" s="4">
        <v>2</v>
      </c>
      <c r="E298" s="4">
        <f t="shared" si="52"/>
        <v>14</v>
      </c>
      <c r="F298" s="4">
        <v>3445.5659700000001</v>
      </c>
      <c r="G298" s="4">
        <v>9130.7498190000006</v>
      </c>
      <c r="H298" s="4">
        <v>1433.7</v>
      </c>
      <c r="I298" s="4">
        <v>1.4337</v>
      </c>
      <c r="J298" s="4">
        <v>1.4337E-3</v>
      </c>
      <c r="K298" s="4">
        <v>3.1607636939999999</v>
      </c>
      <c r="L298" s="4">
        <v>3.3999999999999998E-3</v>
      </c>
      <c r="M298" s="4">
        <v>3.2850000000000001</v>
      </c>
      <c r="N298" s="4">
        <v>38.211926839999997</v>
      </c>
      <c r="O298" s="4">
        <f t="shared" si="59"/>
        <v>3.7592953668596425</v>
      </c>
      <c r="P298" s="4">
        <f t="shared" si="60"/>
        <v>21.400086774460803</v>
      </c>
      <c r="Q298" s="4">
        <f t="shared" si="64"/>
        <v>54.356220407130436</v>
      </c>
      <c r="R298" s="4">
        <f t="shared" si="61"/>
        <v>1705.1897228817857</v>
      </c>
      <c r="S298" s="4">
        <f t="shared" si="62"/>
        <v>4098.0286538855698</v>
      </c>
      <c r="T298" s="4">
        <f t="shared" si="63"/>
        <v>10859.77593279676</v>
      </c>
      <c r="U298" s="4">
        <v>59.9</v>
      </c>
      <c r="V298" s="4">
        <v>0.17</v>
      </c>
      <c r="W298" s="4">
        <v>0</v>
      </c>
    </row>
    <row r="299" spans="1:26" x14ac:dyDescent="0.25">
      <c r="A299" s="4" t="s">
        <v>79</v>
      </c>
      <c r="B299" s="4" t="s">
        <v>80</v>
      </c>
      <c r="C299" s="4">
        <v>8</v>
      </c>
      <c r="D299" s="4">
        <v>2</v>
      </c>
      <c r="E299" s="4">
        <f t="shared" si="52"/>
        <v>16</v>
      </c>
      <c r="F299" s="4">
        <v>3970.9204519999998</v>
      </c>
      <c r="G299" s="4">
        <v>10522.939200000001</v>
      </c>
      <c r="H299" s="4">
        <v>1652.3</v>
      </c>
      <c r="I299" s="4">
        <v>1.6523000000000001</v>
      </c>
      <c r="J299" s="4">
        <v>1.6523E-3</v>
      </c>
      <c r="K299" s="4">
        <v>3.6426936259999998</v>
      </c>
      <c r="L299" s="4">
        <v>3.3999999999999998E-3</v>
      </c>
      <c r="M299" s="4">
        <v>3.2850000000000001</v>
      </c>
      <c r="N299" s="4">
        <v>39.944639459999998</v>
      </c>
      <c r="O299" s="4">
        <f t="shared" si="59"/>
        <v>4.1346671731349414</v>
      </c>
      <c r="P299" s="4">
        <f t="shared" si="60"/>
        <v>22.029174098369474</v>
      </c>
      <c r="Q299" s="4">
        <f t="shared" si="64"/>
        <v>55.954102209858462</v>
      </c>
      <c r="R299" s="4">
        <f t="shared" si="61"/>
        <v>1875.45571261031</v>
      </c>
      <c r="S299" s="4">
        <f t="shared" si="62"/>
        <v>4507.223534271352</v>
      </c>
      <c r="T299" s="4">
        <f t="shared" si="63"/>
        <v>11944.142365819083</v>
      </c>
      <c r="U299" s="4">
        <v>59.9</v>
      </c>
      <c r="V299" s="4">
        <v>0.17</v>
      </c>
      <c r="W299" s="4">
        <v>0</v>
      </c>
    </row>
    <row r="300" spans="1:26" x14ac:dyDescent="0.25">
      <c r="A300" s="4" t="s">
        <v>79</v>
      </c>
      <c r="B300" s="4" t="s">
        <v>80</v>
      </c>
      <c r="C300" s="4">
        <v>9</v>
      </c>
      <c r="D300" s="4">
        <v>2</v>
      </c>
      <c r="E300" s="4">
        <f t="shared" si="52"/>
        <v>18</v>
      </c>
      <c r="F300" s="4">
        <v>4109.5890410000002</v>
      </c>
      <c r="G300" s="4">
        <v>10890.410959999999</v>
      </c>
      <c r="H300" s="4">
        <v>1710</v>
      </c>
      <c r="I300" s="4">
        <v>1.71</v>
      </c>
      <c r="J300" s="4">
        <v>1.7099999999999999E-3</v>
      </c>
      <c r="K300" s="4">
        <v>3.7699001999999999</v>
      </c>
      <c r="L300" s="4">
        <v>3.3999999999999998E-3</v>
      </c>
      <c r="M300" s="4">
        <v>3.2850000000000001</v>
      </c>
      <c r="N300" s="4">
        <v>40.375415799999999</v>
      </c>
      <c r="O300" s="4">
        <f t="shared" si="59"/>
        <v>4.417210160077591</v>
      </c>
      <c r="P300" s="4">
        <f t="shared" si="60"/>
        <v>22.476939785953814</v>
      </c>
      <c r="Q300" s="4">
        <f t="shared" si="64"/>
        <v>57.091427056322686</v>
      </c>
      <c r="R300" s="4">
        <f t="shared" si="61"/>
        <v>2003.6152080982622</v>
      </c>
      <c r="S300" s="4">
        <f t="shared" si="62"/>
        <v>4815.2252057156029</v>
      </c>
      <c r="T300" s="4">
        <f t="shared" si="63"/>
        <v>12760.346795146348</v>
      </c>
      <c r="U300" s="4">
        <v>59.9</v>
      </c>
      <c r="V300" s="4">
        <v>0.17</v>
      </c>
      <c r="W300" s="4">
        <v>0</v>
      </c>
    </row>
    <row r="301" spans="1:26" x14ac:dyDescent="0.25">
      <c r="A301" s="4" t="s">
        <v>79</v>
      </c>
      <c r="B301" s="4" t="s">
        <v>80</v>
      </c>
      <c r="C301" s="4">
        <v>10</v>
      </c>
      <c r="D301" s="4">
        <v>2</v>
      </c>
      <c r="E301" s="4">
        <f t="shared" si="52"/>
        <v>20</v>
      </c>
      <c r="F301" s="4">
        <v>4373.9485699999996</v>
      </c>
      <c r="G301" s="4">
        <v>11590.96371</v>
      </c>
      <c r="H301" s="4">
        <v>1820</v>
      </c>
      <c r="I301" s="4">
        <v>1.82</v>
      </c>
      <c r="J301" s="4">
        <v>1.82E-3</v>
      </c>
      <c r="K301" s="4">
        <v>4.0124084</v>
      </c>
      <c r="L301" s="4">
        <v>3.3999999999999998E-3</v>
      </c>
      <c r="M301" s="4">
        <v>3.2850000000000001</v>
      </c>
      <c r="N301" s="4">
        <v>41.169731259999999</v>
      </c>
      <c r="O301" s="4">
        <f t="shared" si="59"/>
        <v>4.6263121354707657</v>
      </c>
      <c r="P301" s="4">
        <f t="shared" si="60"/>
        <v>22.795646113927745</v>
      </c>
      <c r="Q301" s="4">
        <f t="shared" si="64"/>
        <v>57.90094112937647</v>
      </c>
      <c r="R301" s="4">
        <f t="shared" si="61"/>
        <v>2098.4623814855918</v>
      </c>
      <c r="S301" s="4">
        <f t="shared" si="62"/>
        <v>5043.168424622907</v>
      </c>
      <c r="T301" s="4">
        <f t="shared" si="63"/>
        <v>13364.396325250704</v>
      </c>
      <c r="U301" s="4">
        <v>59.9</v>
      </c>
      <c r="V301" s="4">
        <v>0.17</v>
      </c>
      <c r="W301" s="4">
        <v>0</v>
      </c>
    </row>
    <row r="302" spans="1:26" x14ac:dyDescent="0.25">
      <c r="A302" s="4" t="s">
        <v>81</v>
      </c>
      <c r="B302" s="4" t="s">
        <v>82</v>
      </c>
      <c r="C302" s="4">
        <v>1</v>
      </c>
      <c r="D302" s="4">
        <v>2</v>
      </c>
      <c r="E302" s="4">
        <f t="shared" si="52"/>
        <v>2</v>
      </c>
      <c r="F302" s="4">
        <v>127.5414564</v>
      </c>
      <c r="G302" s="4">
        <v>337.98485950000003</v>
      </c>
      <c r="H302" s="4">
        <v>53.070000010000001</v>
      </c>
      <c r="I302" s="4">
        <v>5.3069999999999999E-2</v>
      </c>
      <c r="J302" s="4">
        <v>5.3100000000000003E-5</v>
      </c>
      <c r="K302" s="4">
        <v>0.11699918300000001</v>
      </c>
      <c r="L302" s="4">
        <v>1.4999999999999999E-2</v>
      </c>
      <c r="M302" s="4">
        <v>3</v>
      </c>
      <c r="N302" s="4">
        <v>15.23769499</v>
      </c>
      <c r="O302" s="4">
        <f t="shared" si="59"/>
        <v>0.9431020395102423</v>
      </c>
      <c r="P302" s="4">
        <f t="shared" si="60"/>
        <v>12.028482593371407</v>
      </c>
      <c r="Q302" s="4">
        <f t="shared" si="64"/>
        <v>30.552345787163375</v>
      </c>
      <c r="R302" s="4">
        <f t="shared" si="61"/>
        <v>427.78439799613642</v>
      </c>
      <c r="S302" s="4">
        <f t="shared" si="62"/>
        <v>1028.0807450039329</v>
      </c>
      <c r="T302" s="4">
        <f t="shared" si="63"/>
        <v>2724.413974260422</v>
      </c>
      <c r="U302" s="4">
        <v>106</v>
      </c>
      <c r="V302" s="4">
        <v>0.17</v>
      </c>
      <c r="W302" s="4">
        <v>0</v>
      </c>
      <c r="Y302" s="4" t="s">
        <v>633</v>
      </c>
    </row>
    <row r="303" spans="1:26" x14ac:dyDescent="0.25">
      <c r="A303" s="4" t="s">
        <v>81</v>
      </c>
      <c r="B303" s="4" t="s">
        <v>82</v>
      </c>
      <c r="C303" s="4">
        <v>2</v>
      </c>
      <c r="D303" s="4">
        <v>2</v>
      </c>
      <c r="E303" s="4">
        <f t="shared" si="52"/>
        <v>4</v>
      </c>
      <c r="F303" s="4">
        <v>347.4885845</v>
      </c>
      <c r="G303" s="4">
        <v>920.84474890000001</v>
      </c>
      <c r="H303" s="4">
        <v>144.59</v>
      </c>
      <c r="I303" s="4">
        <v>0.14459</v>
      </c>
      <c r="J303" s="4">
        <v>1.4459E-4</v>
      </c>
      <c r="K303" s="4">
        <v>0.31876600599999999</v>
      </c>
      <c r="L303" s="4">
        <v>1.4999999999999999E-2</v>
      </c>
      <c r="M303" s="4">
        <v>3</v>
      </c>
      <c r="N303" s="4">
        <v>21.282158150000001</v>
      </c>
      <c r="O303" s="4">
        <f t="shared" si="59"/>
        <v>4.7303705484569845</v>
      </c>
      <c r="P303" s="4">
        <f t="shared" si="60"/>
        <v>20.589999531199805</v>
      </c>
      <c r="Q303" s="4">
        <f t="shared" si="64"/>
        <v>52.298598809247508</v>
      </c>
      <c r="R303" s="4">
        <f t="shared" si="61"/>
        <v>2145.6625397832663</v>
      </c>
      <c r="S303" s="4">
        <f t="shared" si="62"/>
        <v>5156.6030756627415</v>
      </c>
      <c r="T303" s="4">
        <f t="shared" si="63"/>
        <v>13664.998150506264</v>
      </c>
      <c r="U303" s="4">
        <v>106</v>
      </c>
      <c r="V303" s="4">
        <v>0.17</v>
      </c>
      <c r="W303" s="4">
        <v>0</v>
      </c>
    </row>
    <row r="304" spans="1:26" x14ac:dyDescent="0.25">
      <c r="A304" s="4" t="s">
        <v>81</v>
      </c>
      <c r="B304" s="4" t="s">
        <v>82</v>
      </c>
      <c r="C304" s="4">
        <v>3</v>
      </c>
      <c r="D304" s="4">
        <v>2</v>
      </c>
      <c r="E304" s="4">
        <f t="shared" si="52"/>
        <v>6</v>
      </c>
      <c r="F304" s="4">
        <v>732.42009129999997</v>
      </c>
      <c r="G304" s="4">
        <v>1940.9132420000001</v>
      </c>
      <c r="H304" s="4">
        <v>304.76</v>
      </c>
      <c r="I304" s="4">
        <v>0.30475999999999998</v>
      </c>
      <c r="J304" s="4">
        <v>3.0476E-4</v>
      </c>
      <c r="K304" s="4">
        <v>0.67187999099999995</v>
      </c>
      <c r="L304" s="4">
        <v>1.4999999999999999E-2</v>
      </c>
      <c r="M304" s="4">
        <v>3</v>
      </c>
      <c r="N304" s="4">
        <v>27.286986030000001</v>
      </c>
      <c r="O304" s="4">
        <f t="shared" si="59"/>
        <v>10.296053813818979</v>
      </c>
      <c r="P304" s="4">
        <f t="shared" si="60"/>
        <v>26.683833205375471</v>
      </c>
      <c r="Q304" s="4">
        <f t="shared" si="64"/>
        <v>67.776936341653695</v>
      </c>
      <c r="R304" s="4">
        <f t="shared" si="61"/>
        <v>4670.2170051160647</v>
      </c>
      <c r="S304" s="4">
        <f t="shared" si="62"/>
        <v>11223.785160096286</v>
      </c>
      <c r="T304" s="4">
        <f t="shared" si="63"/>
        <v>29743.030674255155</v>
      </c>
      <c r="U304" s="4">
        <v>106</v>
      </c>
      <c r="V304" s="4">
        <v>0.17</v>
      </c>
      <c r="W304" s="4">
        <v>0</v>
      </c>
    </row>
    <row r="305" spans="1:25" x14ac:dyDescent="0.25">
      <c r="A305" s="4" t="s">
        <v>81</v>
      </c>
      <c r="B305" s="4" t="s">
        <v>82</v>
      </c>
      <c r="C305" s="4">
        <v>4</v>
      </c>
      <c r="D305" s="4">
        <v>2</v>
      </c>
      <c r="E305" s="4">
        <f t="shared" si="52"/>
        <v>8</v>
      </c>
      <c r="F305" s="4">
        <v>1115.2006730000001</v>
      </c>
      <c r="G305" s="4">
        <v>2955.281782</v>
      </c>
      <c r="H305" s="4">
        <v>464.03500000000003</v>
      </c>
      <c r="I305" s="4">
        <v>0.46403499999999998</v>
      </c>
      <c r="J305" s="4">
        <v>4.6403500000000001E-4</v>
      </c>
      <c r="K305" s="4">
        <v>1.023020842</v>
      </c>
      <c r="L305" s="4">
        <v>1.4999999999999999E-2</v>
      </c>
      <c r="M305" s="4">
        <v>3</v>
      </c>
      <c r="N305" s="4">
        <v>31.392060780000001</v>
      </c>
      <c r="O305" s="4">
        <f t="shared" si="59"/>
        <v>16.177214573687809</v>
      </c>
      <c r="P305" s="4">
        <f t="shared" si="60"/>
        <v>31.021243166505155</v>
      </c>
      <c r="Q305" s="4">
        <f t="shared" si="64"/>
        <v>78.79395764292309</v>
      </c>
      <c r="R305" s="4">
        <f t="shared" si="61"/>
        <v>7337.8698250436855</v>
      </c>
      <c r="S305" s="4">
        <f t="shared" si="62"/>
        <v>17634.871004671197</v>
      </c>
      <c r="T305" s="4">
        <f t="shared" si="63"/>
        <v>46732.40816237867</v>
      </c>
      <c r="U305" s="4">
        <v>106</v>
      </c>
      <c r="V305" s="4">
        <v>0.17</v>
      </c>
      <c r="W305" s="4">
        <v>0</v>
      </c>
    </row>
    <row r="306" spans="1:25" x14ac:dyDescent="0.25">
      <c r="A306" s="4" t="s">
        <v>81</v>
      </c>
      <c r="B306" s="4" t="s">
        <v>82</v>
      </c>
      <c r="C306" s="4">
        <v>5</v>
      </c>
      <c r="D306" s="4">
        <v>2</v>
      </c>
      <c r="E306" s="4">
        <f t="shared" si="52"/>
        <v>10</v>
      </c>
      <c r="F306" s="4">
        <v>1550.4325879999999</v>
      </c>
      <c r="G306" s="4">
        <v>4108.6463590000003</v>
      </c>
      <c r="H306" s="4">
        <v>645.13499990000003</v>
      </c>
      <c r="I306" s="4">
        <v>0.64513500000000001</v>
      </c>
      <c r="J306" s="4">
        <v>6.4513500000000002E-4</v>
      </c>
      <c r="K306" s="4">
        <v>1.422277523</v>
      </c>
      <c r="L306" s="4">
        <v>1.4999999999999999E-2</v>
      </c>
      <c r="M306" s="4">
        <v>3</v>
      </c>
      <c r="N306" s="4">
        <v>35.036424660000002</v>
      </c>
      <c r="O306" s="4">
        <f t="shared" si="59"/>
        <v>21.503708248125271</v>
      </c>
      <c r="P306" s="4">
        <f t="shared" si="60"/>
        <v>34.108482854492181</v>
      </c>
      <c r="Q306" s="4">
        <f t="shared" si="64"/>
        <v>86.635546450410132</v>
      </c>
      <c r="R306" s="4">
        <f t="shared" si="61"/>
        <v>9753.9295879223046</v>
      </c>
      <c r="S306" s="4">
        <f t="shared" si="62"/>
        <v>23441.3111942377</v>
      </c>
      <c r="T306" s="4">
        <f t="shared" si="63"/>
        <v>62119.474664729903</v>
      </c>
      <c r="U306" s="4">
        <v>106</v>
      </c>
      <c r="V306" s="4">
        <v>0.17</v>
      </c>
      <c r="W306" s="4">
        <v>0</v>
      </c>
    </row>
    <row r="307" spans="1:25" x14ac:dyDescent="0.25">
      <c r="A307" s="4" t="s">
        <v>81</v>
      </c>
      <c r="B307" s="4" t="s">
        <v>82</v>
      </c>
      <c r="C307" s="4">
        <v>6</v>
      </c>
      <c r="D307" s="4">
        <v>2</v>
      </c>
      <c r="E307" s="4">
        <f t="shared" si="52"/>
        <v>12</v>
      </c>
      <c r="F307" s="4">
        <v>1976.4359529999999</v>
      </c>
      <c r="G307" s="4">
        <v>5237.5552749999997</v>
      </c>
      <c r="H307" s="4">
        <v>822.39499999999998</v>
      </c>
      <c r="I307" s="4">
        <v>0.82239499999999999</v>
      </c>
      <c r="J307" s="4">
        <v>8.2239499999999996E-4</v>
      </c>
      <c r="K307" s="4">
        <v>1.813068465</v>
      </c>
      <c r="L307" s="4">
        <v>1.4999999999999999E-2</v>
      </c>
      <c r="M307" s="4">
        <v>3</v>
      </c>
      <c r="N307" s="4">
        <v>37.989455370000002</v>
      </c>
      <c r="O307" s="4">
        <f t="shared" si="59"/>
        <v>25.93327458768583</v>
      </c>
      <c r="P307" s="4">
        <f t="shared" si="60"/>
        <v>36.305888443656244</v>
      </c>
      <c r="Q307" s="4">
        <f t="shared" si="64"/>
        <v>92.216956646886857</v>
      </c>
      <c r="R307" s="4">
        <f t="shared" si="61"/>
        <v>11763.149471421755</v>
      </c>
      <c r="S307" s="4">
        <f t="shared" si="62"/>
        <v>28270.005939489918</v>
      </c>
      <c r="T307" s="4">
        <f t="shared" si="63"/>
        <v>74915.515739648283</v>
      </c>
      <c r="U307" s="4">
        <v>106</v>
      </c>
      <c r="V307" s="4">
        <v>0.17</v>
      </c>
      <c r="W307" s="4">
        <v>0</v>
      </c>
    </row>
    <row r="308" spans="1:25" x14ac:dyDescent="0.25">
      <c r="A308" s="4" t="s">
        <v>81</v>
      </c>
      <c r="B308" s="4" t="s">
        <v>82</v>
      </c>
      <c r="C308" s="4">
        <v>7</v>
      </c>
      <c r="D308" s="4">
        <v>2</v>
      </c>
      <c r="E308" s="4">
        <f t="shared" si="52"/>
        <v>14</v>
      </c>
      <c r="F308" s="4">
        <v>2275.6669069999998</v>
      </c>
      <c r="G308" s="4">
        <v>6030.517304</v>
      </c>
      <c r="H308" s="4">
        <v>946.90499999999997</v>
      </c>
      <c r="I308" s="4">
        <v>0.946905</v>
      </c>
      <c r="J308" s="4">
        <v>9.4690499999999995E-4</v>
      </c>
      <c r="K308" s="4">
        <v>2.0875657009999999</v>
      </c>
      <c r="L308" s="4">
        <v>1.4999999999999999E-2</v>
      </c>
      <c r="M308" s="4">
        <v>3</v>
      </c>
      <c r="N308" s="4">
        <v>39.817291709999999</v>
      </c>
      <c r="O308" s="4">
        <f t="shared" si="59"/>
        <v>29.431329680530105</v>
      </c>
      <c r="P308" s="4">
        <f t="shared" si="60"/>
        <v>37.869936529095909</v>
      </c>
      <c r="Q308" s="4">
        <f t="shared" si="64"/>
        <v>96.189638783903618</v>
      </c>
      <c r="R308" s="4">
        <f t="shared" si="61"/>
        <v>13349.842458351146</v>
      </c>
      <c r="S308" s="4">
        <f t="shared" si="62"/>
        <v>32083.255127015491</v>
      </c>
      <c r="T308" s="4">
        <f t="shared" si="63"/>
        <v>85020.626086591044</v>
      </c>
      <c r="U308" s="4">
        <v>106</v>
      </c>
      <c r="V308" s="4">
        <v>0.17</v>
      </c>
      <c r="W308" s="4">
        <v>0</v>
      </c>
    </row>
    <row r="309" spans="1:25" x14ac:dyDescent="0.25">
      <c r="A309" s="4" t="s">
        <v>81</v>
      </c>
      <c r="B309" s="4" t="s">
        <v>82</v>
      </c>
      <c r="C309" s="4">
        <v>8</v>
      </c>
      <c r="D309" s="4">
        <v>2</v>
      </c>
      <c r="E309" s="4">
        <f t="shared" ref="E309:E372" si="66">C309*D309</f>
        <v>16</v>
      </c>
      <c r="F309" s="4">
        <v>2451.3338140000001</v>
      </c>
      <c r="G309" s="4">
        <v>6496.0346079999999</v>
      </c>
      <c r="H309" s="4">
        <v>1020</v>
      </c>
      <c r="I309" s="4">
        <v>1.02</v>
      </c>
      <c r="J309" s="4">
        <v>1.0200000000000001E-3</v>
      </c>
      <c r="K309" s="4">
        <v>2.2487124000000001</v>
      </c>
      <c r="L309" s="4">
        <v>1.4999999999999999E-2</v>
      </c>
      <c r="M309" s="4">
        <v>3</v>
      </c>
      <c r="N309" s="4">
        <v>40.816551019999999</v>
      </c>
      <c r="O309" s="4">
        <f t="shared" si="59"/>
        <v>32.103909769764918</v>
      </c>
      <c r="P309" s="4">
        <f t="shared" si="60"/>
        <v>38.983179539685551</v>
      </c>
      <c r="Q309" s="4">
        <f t="shared" si="64"/>
        <v>99.017276030801298</v>
      </c>
      <c r="R309" s="4">
        <f t="shared" si="61"/>
        <v>14562.105836726927</v>
      </c>
      <c r="S309" s="4">
        <f t="shared" si="62"/>
        <v>34996.649451398531</v>
      </c>
      <c r="T309" s="4">
        <f t="shared" si="63"/>
        <v>92741.121046206099</v>
      </c>
      <c r="U309" s="4">
        <v>106</v>
      </c>
      <c r="V309" s="4">
        <v>0.17</v>
      </c>
      <c r="W309" s="4">
        <v>0</v>
      </c>
    </row>
    <row r="310" spans="1:25" x14ac:dyDescent="0.25">
      <c r="A310" s="4" t="s">
        <v>81</v>
      </c>
      <c r="B310" s="4" t="s">
        <v>82</v>
      </c>
      <c r="C310" s="4">
        <v>9</v>
      </c>
      <c r="D310" s="4">
        <v>2</v>
      </c>
      <c r="E310" s="4">
        <f t="shared" si="66"/>
        <v>18</v>
      </c>
      <c r="F310" s="4">
        <v>2643.5952900000002</v>
      </c>
      <c r="G310" s="4">
        <v>7005.5275179999999</v>
      </c>
      <c r="H310" s="4">
        <v>1100</v>
      </c>
      <c r="I310" s="4">
        <v>1.1000000000000001</v>
      </c>
      <c r="J310" s="4">
        <v>1.1000000000000001E-3</v>
      </c>
      <c r="K310" s="4">
        <v>2.4250820000000002</v>
      </c>
      <c r="L310" s="4">
        <v>1.4999999999999999E-2</v>
      </c>
      <c r="M310" s="4">
        <v>3</v>
      </c>
      <c r="N310" s="4">
        <v>41.85690786</v>
      </c>
      <c r="O310" s="4">
        <f t="shared" si="59"/>
        <v>34.101605570848228</v>
      </c>
      <c r="P310" s="4">
        <f t="shared" si="60"/>
        <v>39.775552876646145</v>
      </c>
      <c r="Q310" s="4">
        <f t="shared" si="64"/>
        <v>101.02990430668122</v>
      </c>
      <c r="R310" s="4">
        <f t="shared" si="61"/>
        <v>15468.246487307668</v>
      </c>
      <c r="S310" s="4">
        <f t="shared" si="62"/>
        <v>37174.3486837483</v>
      </c>
      <c r="T310" s="4">
        <f t="shared" si="63"/>
        <v>98512.024011932997</v>
      </c>
      <c r="U310" s="4">
        <v>106</v>
      </c>
      <c r="V310" s="4">
        <v>0.17</v>
      </c>
      <c r="W310" s="4">
        <v>0</v>
      </c>
    </row>
    <row r="311" spans="1:25" x14ac:dyDescent="0.25">
      <c r="A311" s="4" t="s">
        <v>81</v>
      </c>
      <c r="B311" s="4" t="s">
        <v>82</v>
      </c>
      <c r="C311" s="4">
        <v>10</v>
      </c>
      <c r="D311" s="4">
        <v>2</v>
      </c>
      <c r="E311" s="4">
        <f t="shared" si="66"/>
        <v>20</v>
      </c>
      <c r="F311" s="4">
        <v>3076.18361</v>
      </c>
      <c r="G311" s="4">
        <v>8151.8865660000001</v>
      </c>
      <c r="H311" s="4">
        <v>1280</v>
      </c>
      <c r="I311" s="4">
        <v>1.28</v>
      </c>
      <c r="J311" s="4">
        <v>1.2800000000000001E-3</v>
      </c>
      <c r="K311" s="4">
        <v>2.8219135999999998</v>
      </c>
      <c r="L311" s="4">
        <v>1.4999999999999999E-2</v>
      </c>
      <c r="M311" s="4">
        <v>3</v>
      </c>
      <c r="N311" s="4">
        <v>44.02569665</v>
      </c>
      <c r="O311" s="4">
        <f t="shared" si="59"/>
        <v>35.572877697979344</v>
      </c>
      <c r="P311" s="4">
        <f t="shared" si="60"/>
        <v>40.339540702443088</v>
      </c>
      <c r="Q311" s="4">
        <f t="shared" si="64"/>
        <v>102.46243338420544</v>
      </c>
      <c r="R311" s="4">
        <f t="shared" si="61"/>
        <v>16135.605092024631</v>
      </c>
      <c r="S311" s="4">
        <f t="shared" si="62"/>
        <v>38778.190560020739</v>
      </c>
      <c r="T311" s="4">
        <f t="shared" si="63"/>
        <v>102762.20498405496</v>
      </c>
      <c r="U311" s="4">
        <v>106</v>
      </c>
      <c r="V311" s="4">
        <v>0.17</v>
      </c>
      <c r="W311" s="4">
        <v>0</v>
      </c>
    </row>
    <row r="312" spans="1:25" x14ac:dyDescent="0.25">
      <c r="A312" s="4" t="s">
        <v>83</v>
      </c>
      <c r="B312" s="4" t="s">
        <v>84</v>
      </c>
      <c r="C312" s="4">
        <v>1</v>
      </c>
      <c r="D312" s="4">
        <v>7</v>
      </c>
      <c r="E312" s="4">
        <f t="shared" si="66"/>
        <v>7</v>
      </c>
      <c r="F312" s="4">
        <v>1355.00938</v>
      </c>
      <c r="G312" s="4">
        <v>3590.52486</v>
      </c>
      <c r="H312" s="4">
        <v>563.81940299999997</v>
      </c>
      <c r="I312" s="4">
        <v>0.563819403</v>
      </c>
      <c r="J312" s="4">
        <v>5.6381900000000002E-4</v>
      </c>
      <c r="K312" s="4">
        <v>1.243007532</v>
      </c>
      <c r="L312" s="4">
        <v>5.4000000000000003E-3</v>
      </c>
      <c r="M312" s="4">
        <v>3</v>
      </c>
      <c r="N312" s="4">
        <v>47.088561040000002</v>
      </c>
      <c r="O312" s="4">
        <f t="shared" si="59"/>
        <v>44.926030931406785</v>
      </c>
      <c r="P312" s="4">
        <f t="shared" si="60"/>
        <v>61.294729535488813</v>
      </c>
      <c r="Q312" s="4">
        <f t="shared" si="64"/>
        <v>155.68861302014159</v>
      </c>
      <c r="R312" s="4">
        <f t="shared" si="61"/>
        <v>20378.129079572347</v>
      </c>
      <c r="S312" s="4">
        <f t="shared" si="62"/>
        <v>48974.114586811695</v>
      </c>
      <c r="T312" s="4">
        <f t="shared" si="63"/>
        <v>129781.40365505099</v>
      </c>
      <c r="U312" s="4">
        <v>280</v>
      </c>
      <c r="V312" s="4">
        <v>0.11600000000000001</v>
      </c>
      <c r="W312" s="4">
        <v>0</v>
      </c>
      <c r="Y312" s="4" t="s">
        <v>634</v>
      </c>
    </row>
    <row r="313" spans="1:25" x14ac:dyDescent="0.25">
      <c r="A313" s="4" t="s">
        <v>83</v>
      </c>
      <c r="B313" s="4" t="s">
        <v>84</v>
      </c>
      <c r="C313" s="4">
        <v>2</v>
      </c>
      <c r="D313" s="4">
        <v>7</v>
      </c>
      <c r="E313" s="4">
        <f t="shared" si="66"/>
        <v>14</v>
      </c>
      <c r="F313" s="4">
        <v>9019.2820400000001</v>
      </c>
      <c r="G313" s="4">
        <v>23901.197400000001</v>
      </c>
      <c r="H313" s="4">
        <v>3752.9232569999999</v>
      </c>
      <c r="I313" s="4">
        <v>3.752923257</v>
      </c>
      <c r="J313" s="4">
        <v>3.752923E-3</v>
      </c>
      <c r="K313" s="4">
        <v>8.2737696710000002</v>
      </c>
      <c r="L313" s="4">
        <v>5.4000000000000003E-3</v>
      </c>
      <c r="M313" s="4">
        <v>3</v>
      </c>
      <c r="N313" s="4">
        <v>88.577885339999995</v>
      </c>
      <c r="O313" s="4">
        <f t="shared" si="59"/>
        <v>135.26077658038764</v>
      </c>
      <c r="P313" s="4">
        <f t="shared" si="60"/>
        <v>88.507703975174209</v>
      </c>
      <c r="Q313" s="4">
        <f t="shared" si="64"/>
        <v>224.80956809694248</v>
      </c>
      <c r="R313" s="4">
        <f t="shared" si="61"/>
        <v>61353.329181622066</v>
      </c>
      <c r="S313" s="4">
        <f t="shared" si="62"/>
        <v>147448.52002312441</v>
      </c>
      <c r="T313" s="4">
        <f t="shared" si="63"/>
        <v>390738.57806127967</v>
      </c>
      <c r="U313" s="4">
        <v>280</v>
      </c>
      <c r="V313" s="4">
        <v>0.11600000000000001</v>
      </c>
      <c r="W313" s="4">
        <v>0</v>
      </c>
    </row>
    <row r="314" spans="1:25" x14ac:dyDescent="0.25">
      <c r="A314" s="4" t="s">
        <v>83</v>
      </c>
      <c r="B314" s="4" t="s">
        <v>84</v>
      </c>
      <c r="C314" s="4">
        <v>3</v>
      </c>
      <c r="D314" s="4">
        <v>7</v>
      </c>
      <c r="E314" s="4">
        <f t="shared" si="66"/>
        <v>21</v>
      </c>
      <c r="F314" s="4">
        <v>20847.385399999999</v>
      </c>
      <c r="G314" s="4">
        <v>55245.121400000004</v>
      </c>
      <c r="H314" s="4">
        <v>8674.5970649999999</v>
      </c>
      <c r="I314" s="4">
        <v>8.6745970650000004</v>
      </c>
      <c r="J314" s="4">
        <v>8.6745969999999992E-3</v>
      </c>
      <c r="K314" s="4">
        <v>19.124190179999999</v>
      </c>
      <c r="L314" s="4">
        <v>5.4000000000000003E-3</v>
      </c>
      <c r="M314" s="4">
        <v>3</v>
      </c>
      <c r="N314" s="4">
        <v>117.11661650000001</v>
      </c>
      <c r="O314" s="4">
        <f t="shared" si="59"/>
        <v>198.55721021722917</v>
      </c>
      <c r="P314" s="4">
        <f t="shared" si="60"/>
        <v>100.58942753390535</v>
      </c>
      <c r="Q314" s="4">
        <f t="shared" si="64"/>
        <v>255.49714593611961</v>
      </c>
      <c r="R314" s="4">
        <f t="shared" si="61"/>
        <v>90064.142671856898</v>
      </c>
      <c r="S314" s="4">
        <f t="shared" si="62"/>
        <v>216448.31211693559</v>
      </c>
      <c r="T314" s="4">
        <f t="shared" si="63"/>
        <v>573588.0271098793</v>
      </c>
      <c r="U314" s="4">
        <v>280</v>
      </c>
      <c r="V314" s="4">
        <v>0.11600000000000001</v>
      </c>
      <c r="W314" s="4">
        <v>0</v>
      </c>
    </row>
    <row r="315" spans="1:25" x14ac:dyDescent="0.25">
      <c r="A315" s="4" t="s">
        <v>83</v>
      </c>
      <c r="B315" s="4" t="s">
        <v>84</v>
      </c>
      <c r="C315" s="4">
        <v>4</v>
      </c>
      <c r="D315" s="4">
        <v>7</v>
      </c>
      <c r="E315" s="4">
        <f t="shared" si="66"/>
        <v>28</v>
      </c>
      <c r="F315" s="4">
        <v>32899.059300000001</v>
      </c>
      <c r="G315" s="4">
        <v>87183.557100000005</v>
      </c>
      <c r="H315" s="4">
        <v>13689.298570000001</v>
      </c>
      <c r="I315" s="4">
        <v>13.68929857</v>
      </c>
      <c r="J315" s="4">
        <v>1.3689299E-2</v>
      </c>
      <c r="K315" s="4">
        <v>30.179701420000001</v>
      </c>
      <c r="L315" s="4">
        <v>5.4000000000000003E-3</v>
      </c>
      <c r="M315" s="4">
        <v>3</v>
      </c>
      <c r="N315" s="4">
        <v>136.35230329999999</v>
      </c>
      <c r="O315" s="4">
        <f t="shared" si="59"/>
        <v>232.04521740618117</v>
      </c>
      <c r="P315" s="4">
        <f t="shared" si="60"/>
        <v>105.95334115066643</v>
      </c>
      <c r="Q315" s="4">
        <f t="shared" si="64"/>
        <v>269.12148652269275</v>
      </c>
      <c r="R315" s="4">
        <f t="shared" si="61"/>
        <v>105254.06528389525</v>
      </c>
      <c r="S315" s="4">
        <f t="shared" si="62"/>
        <v>252953.77381373526</v>
      </c>
      <c r="T315" s="4">
        <f t="shared" si="63"/>
        <v>670327.50060639845</v>
      </c>
      <c r="U315" s="4">
        <v>280</v>
      </c>
      <c r="V315" s="4">
        <v>0.11600000000000001</v>
      </c>
      <c r="W315" s="4">
        <v>0</v>
      </c>
    </row>
    <row r="316" spans="1:25" x14ac:dyDescent="0.25">
      <c r="A316" s="4" t="s">
        <v>83</v>
      </c>
      <c r="B316" s="4" t="s">
        <v>84</v>
      </c>
      <c r="C316" s="4">
        <v>5</v>
      </c>
      <c r="D316" s="4">
        <v>7</v>
      </c>
      <c r="E316" s="4">
        <f t="shared" si="66"/>
        <v>35</v>
      </c>
      <c r="F316" s="4">
        <v>43204.537799999998</v>
      </c>
      <c r="G316" s="4">
        <v>114492.325</v>
      </c>
      <c r="H316" s="4">
        <v>17977.408179999999</v>
      </c>
      <c r="I316" s="4">
        <v>17.977408180000001</v>
      </c>
      <c r="J316" s="4">
        <v>1.7977408E-2</v>
      </c>
      <c r="K316" s="4">
        <v>39.633353620000001</v>
      </c>
      <c r="L316" s="4">
        <v>5.4000000000000003E-3</v>
      </c>
      <c r="M316" s="4">
        <v>3</v>
      </c>
      <c r="N316" s="4">
        <v>149.3176363</v>
      </c>
      <c r="O316" s="4">
        <f t="shared" si="59"/>
        <v>248.04590102666805</v>
      </c>
      <c r="P316" s="4">
        <f t="shared" si="60"/>
        <v>108.33475379830827</v>
      </c>
      <c r="Q316" s="4">
        <f t="shared" si="64"/>
        <v>275.17027464770302</v>
      </c>
      <c r="R316" s="4">
        <f t="shared" si="61"/>
        <v>112511.86192027108</v>
      </c>
      <c r="S316" s="4">
        <f t="shared" si="62"/>
        <v>270396.20745078364</v>
      </c>
      <c r="T316" s="4">
        <f t="shared" si="63"/>
        <v>716549.94974457659</v>
      </c>
      <c r="U316" s="4">
        <v>280</v>
      </c>
      <c r="V316" s="4">
        <v>0.11600000000000001</v>
      </c>
      <c r="W316" s="4">
        <v>0</v>
      </c>
    </row>
    <row r="317" spans="1:25" x14ac:dyDescent="0.25">
      <c r="A317" s="4" t="s">
        <v>83</v>
      </c>
      <c r="B317" s="4" t="s">
        <v>84</v>
      </c>
      <c r="C317" s="4">
        <v>6</v>
      </c>
      <c r="D317" s="4">
        <v>7</v>
      </c>
      <c r="E317" s="4">
        <f t="shared" si="66"/>
        <v>42</v>
      </c>
      <c r="F317" s="4">
        <v>51223.1927</v>
      </c>
      <c r="G317" s="4">
        <v>135742.56099999999</v>
      </c>
      <c r="H317" s="4">
        <v>21313.97048</v>
      </c>
      <c r="I317" s="4">
        <v>21.313970479999998</v>
      </c>
      <c r="J317" s="4">
        <v>2.1313970000000002E-2</v>
      </c>
      <c r="K317" s="4">
        <v>46.989205609999999</v>
      </c>
      <c r="L317" s="4">
        <v>5.4000000000000003E-3</v>
      </c>
      <c r="M317" s="4">
        <v>3</v>
      </c>
      <c r="N317" s="4">
        <v>158.0363049</v>
      </c>
      <c r="O317" s="4">
        <f t="shared" si="59"/>
        <v>255.37928747878141</v>
      </c>
      <c r="P317" s="4">
        <f t="shared" si="60"/>
        <v>109.39202775973591</v>
      </c>
      <c r="Q317" s="4">
        <f t="shared" si="64"/>
        <v>277.85575050972921</v>
      </c>
      <c r="R317" s="4">
        <f t="shared" si="61"/>
        <v>115838.23401710109</v>
      </c>
      <c r="S317" s="4">
        <f t="shared" si="62"/>
        <v>278390.37254770752</v>
      </c>
      <c r="T317" s="4">
        <f t="shared" si="63"/>
        <v>737734.48725142493</v>
      </c>
      <c r="U317" s="4">
        <v>280</v>
      </c>
      <c r="V317" s="4">
        <v>0.11600000000000001</v>
      </c>
      <c r="W317" s="4">
        <v>0</v>
      </c>
    </row>
    <row r="318" spans="1:25" x14ac:dyDescent="0.25">
      <c r="A318" s="4" t="s">
        <v>83</v>
      </c>
      <c r="B318" s="4" t="s">
        <v>84</v>
      </c>
      <c r="C318" s="4">
        <v>7</v>
      </c>
      <c r="D318" s="4">
        <v>7</v>
      </c>
      <c r="E318" s="4">
        <f t="shared" si="66"/>
        <v>49</v>
      </c>
      <c r="F318" s="4">
        <v>57132.702899999997</v>
      </c>
      <c r="G318" s="4">
        <v>151401.76300000001</v>
      </c>
      <c r="H318" s="4">
        <v>23772.917679999999</v>
      </c>
      <c r="I318" s="4">
        <v>23.772917679999999</v>
      </c>
      <c r="J318" s="4">
        <v>2.3772918000000001E-2</v>
      </c>
      <c r="K318" s="4">
        <v>52.41024977</v>
      </c>
      <c r="L318" s="4">
        <v>5.4000000000000003E-3</v>
      </c>
      <c r="M318" s="4">
        <v>3</v>
      </c>
      <c r="N318" s="4">
        <v>163.89394490000001</v>
      </c>
      <c r="O318" s="4">
        <f t="shared" si="59"/>
        <v>258.68088309191813</v>
      </c>
      <c r="P318" s="4">
        <f t="shared" si="60"/>
        <v>109.86142487603146</v>
      </c>
      <c r="Q318" s="4">
        <f t="shared" si="64"/>
        <v>279.04801918511993</v>
      </c>
      <c r="R318" s="4">
        <f t="shared" si="61"/>
        <v>117335.81437704373</v>
      </c>
      <c r="S318" s="4">
        <f t="shared" si="62"/>
        <v>281989.46017073718</v>
      </c>
      <c r="T318" s="4">
        <f t="shared" si="63"/>
        <v>747272.06945245352</v>
      </c>
      <c r="U318" s="4">
        <v>280</v>
      </c>
      <c r="V318" s="4">
        <v>0.11600000000000001</v>
      </c>
      <c r="W318" s="4">
        <v>0</v>
      </c>
    </row>
    <row r="319" spans="1:25" x14ac:dyDescent="0.25">
      <c r="A319" s="4" t="s">
        <v>83</v>
      </c>
      <c r="B319" s="4" t="s">
        <v>84</v>
      </c>
      <c r="C319" s="4">
        <v>8</v>
      </c>
      <c r="D319" s="4">
        <v>7</v>
      </c>
      <c r="E319" s="4">
        <f t="shared" si="66"/>
        <v>56</v>
      </c>
      <c r="F319" s="4">
        <v>61342.911800000002</v>
      </c>
      <c r="G319" s="4">
        <v>162558.266</v>
      </c>
      <c r="H319" s="4">
        <v>25524.785599999999</v>
      </c>
      <c r="I319" s="4">
        <v>25.524785600000001</v>
      </c>
      <c r="J319" s="4">
        <v>2.5524786000000001E-2</v>
      </c>
      <c r="K319" s="4">
        <v>56.272452829999999</v>
      </c>
      <c r="L319" s="4">
        <v>5.4000000000000003E-3</v>
      </c>
      <c r="M319" s="4">
        <v>3</v>
      </c>
      <c r="N319" s="4">
        <v>167.82479069999999</v>
      </c>
      <c r="O319" s="4">
        <f t="shared" si="59"/>
        <v>260.15576490301822</v>
      </c>
      <c r="P319" s="4">
        <f t="shared" si="60"/>
        <v>110.06982275664237</v>
      </c>
      <c r="Q319" s="4">
        <f t="shared" si="64"/>
        <v>279.57734980187161</v>
      </c>
      <c r="R319" s="4">
        <f t="shared" si="61"/>
        <v>118004.81030881433</v>
      </c>
      <c r="S319" s="4">
        <f t="shared" si="62"/>
        <v>283597.23698345188</v>
      </c>
      <c r="T319" s="4">
        <f t="shared" si="63"/>
        <v>751532.6780061475</v>
      </c>
      <c r="U319" s="4">
        <v>280</v>
      </c>
      <c r="V319" s="4">
        <v>0.11600000000000001</v>
      </c>
      <c r="W319" s="4">
        <v>0</v>
      </c>
    </row>
    <row r="320" spans="1:25" x14ac:dyDescent="0.25">
      <c r="A320" s="4" t="s">
        <v>83</v>
      </c>
      <c r="B320" s="4" t="s">
        <v>84</v>
      </c>
      <c r="C320" s="4">
        <v>9</v>
      </c>
      <c r="D320" s="4">
        <v>7</v>
      </c>
      <c r="E320" s="4">
        <f t="shared" si="66"/>
        <v>63</v>
      </c>
      <c r="F320" s="4">
        <v>64280.782099999997</v>
      </c>
      <c r="G320" s="4">
        <v>170344.27299999999</v>
      </c>
      <c r="H320" s="4">
        <v>26747.23343</v>
      </c>
      <c r="I320" s="4">
        <v>26.747233430000001</v>
      </c>
      <c r="J320" s="4">
        <v>2.6747232999999999E-2</v>
      </c>
      <c r="K320" s="4">
        <v>58.967485770000003</v>
      </c>
      <c r="L320" s="4">
        <v>5.4000000000000003E-3</v>
      </c>
      <c r="M320" s="4">
        <v>3</v>
      </c>
      <c r="N320" s="4">
        <v>170.46231</v>
      </c>
      <c r="O320" s="4">
        <f t="shared" si="59"/>
        <v>260.81235998792533</v>
      </c>
      <c r="P320" s="4">
        <f t="shared" si="60"/>
        <v>110.16234500515094</v>
      </c>
      <c r="Q320" s="4">
        <f t="shared" si="64"/>
        <v>279.8123563130834</v>
      </c>
      <c r="R320" s="4">
        <f t="shared" si="61"/>
        <v>118302.63718369848</v>
      </c>
      <c r="S320" s="4">
        <f t="shared" si="62"/>
        <v>284312.99491395935</v>
      </c>
      <c r="T320" s="4">
        <f t="shared" si="63"/>
        <v>753429.4365219922</v>
      </c>
      <c r="U320" s="4">
        <v>280</v>
      </c>
      <c r="V320" s="4">
        <v>0.11600000000000001</v>
      </c>
      <c r="W320" s="4">
        <v>0</v>
      </c>
    </row>
    <row r="321" spans="1:37" x14ac:dyDescent="0.25">
      <c r="A321" s="4" t="s">
        <v>83</v>
      </c>
      <c r="B321" s="4" t="s">
        <v>84</v>
      </c>
      <c r="C321" s="4">
        <v>10</v>
      </c>
      <c r="D321" s="4">
        <v>7</v>
      </c>
      <c r="E321" s="4">
        <f t="shared" si="66"/>
        <v>70</v>
      </c>
      <c r="F321" s="4">
        <v>66302.710800000001</v>
      </c>
      <c r="G321" s="4">
        <v>175702.084</v>
      </c>
      <c r="H321" s="4">
        <v>27588.557959999998</v>
      </c>
      <c r="I321" s="4">
        <v>27.588557959999999</v>
      </c>
      <c r="J321" s="4">
        <v>2.7588557999999999E-2</v>
      </c>
      <c r="K321" s="4">
        <v>60.822286660000003</v>
      </c>
      <c r="L321" s="4">
        <v>5.4000000000000003E-3</v>
      </c>
      <c r="M321" s="4">
        <v>3</v>
      </c>
      <c r="N321" s="4">
        <v>172.23116809999999</v>
      </c>
      <c r="O321" s="4">
        <f t="shared" si="59"/>
        <v>261.10422177632682</v>
      </c>
      <c r="P321" s="4">
        <f t="shared" si="60"/>
        <v>110.20342203743165</v>
      </c>
      <c r="Q321" s="4">
        <f t="shared" si="64"/>
        <v>279.91669197507639</v>
      </c>
      <c r="R321" s="4">
        <f t="shared" si="61"/>
        <v>118435.02362145261</v>
      </c>
      <c r="S321" s="4">
        <f t="shared" si="62"/>
        <v>284631.15506237105</v>
      </c>
      <c r="T321" s="4">
        <f t="shared" si="63"/>
        <v>754272.56091528328</v>
      </c>
      <c r="U321" s="4">
        <v>280</v>
      </c>
      <c r="V321" s="4">
        <v>0.11600000000000001</v>
      </c>
      <c r="W321" s="4">
        <v>0</v>
      </c>
      <c r="AK321" s="4" t="s">
        <v>453</v>
      </c>
    </row>
    <row r="322" spans="1:37" x14ac:dyDescent="0.25">
      <c r="A322" s="4" t="s">
        <v>85</v>
      </c>
      <c r="B322" s="4" t="s">
        <v>86</v>
      </c>
      <c r="C322" s="4">
        <v>1</v>
      </c>
      <c r="D322" s="4">
        <v>7</v>
      </c>
      <c r="E322" s="4">
        <f t="shared" si="66"/>
        <v>7</v>
      </c>
      <c r="F322" s="4">
        <v>1355.00938</v>
      </c>
      <c r="G322" s="4">
        <v>3590.52486</v>
      </c>
      <c r="H322" s="4">
        <v>563.81940299999997</v>
      </c>
      <c r="I322" s="4">
        <v>0.563819403</v>
      </c>
      <c r="J322" s="4">
        <v>5.6381900000000002E-4</v>
      </c>
      <c r="K322" s="4">
        <v>1.243007532</v>
      </c>
      <c r="L322" s="4">
        <v>5.2399999999999999E-3</v>
      </c>
      <c r="M322" s="4">
        <v>3.141</v>
      </c>
      <c r="N322" s="4">
        <v>39.992326849999998</v>
      </c>
      <c r="O322" s="4">
        <f t="shared" ref="O322:O385" si="67">R322*0.00220462</f>
        <v>167.00697029103529</v>
      </c>
      <c r="P322" s="4">
        <f t="shared" ref="P322:P385" si="68">Q322/2.54</f>
        <v>74.940613492284385</v>
      </c>
      <c r="Q322" s="4">
        <f t="shared" si="64"/>
        <v>190.34915827040234</v>
      </c>
      <c r="R322" s="2">
        <f t="shared" ref="R322:R385" si="69">L322*(Q322^M322)</f>
        <v>75753.177550342138</v>
      </c>
      <c r="S322" s="2">
        <f t="shared" ref="S322:S385" si="70">R322/20/5.7/3.65*1000</f>
        <v>182055.22122168262</v>
      </c>
      <c r="T322" s="2">
        <f t="shared" ref="T322:T385" si="71">S322*2.65</f>
        <v>482446.33623745892</v>
      </c>
      <c r="U322" s="4">
        <f t="shared" ref="U322:U331" si="72">$AK$324</f>
        <v>309.24444444444441</v>
      </c>
      <c r="V322" s="4">
        <f t="shared" ref="V322:V331" si="73">$AK$325</f>
        <v>0.13655555555555554</v>
      </c>
      <c r="W322" s="4">
        <v>0</v>
      </c>
      <c r="Y322" s="4" t="s">
        <v>635</v>
      </c>
      <c r="Z322" s="4" t="s">
        <v>636</v>
      </c>
      <c r="AA322" s="4" t="s">
        <v>637</v>
      </c>
      <c r="AB322" s="4" t="s">
        <v>638</v>
      </c>
      <c r="AC322" s="4" t="s">
        <v>639</v>
      </c>
      <c r="AD322" s="4" t="s">
        <v>640</v>
      </c>
      <c r="AE322" s="4" t="s">
        <v>641</v>
      </c>
      <c r="AF322" s="4" t="s">
        <v>642</v>
      </c>
      <c r="AG322" s="4" t="s">
        <v>643</v>
      </c>
      <c r="AH322" s="4" t="s">
        <v>644</v>
      </c>
    </row>
    <row r="323" spans="1:37" x14ac:dyDescent="0.25">
      <c r="A323" s="4" t="s">
        <v>85</v>
      </c>
      <c r="B323" s="4" t="s">
        <v>86</v>
      </c>
      <c r="C323" s="4">
        <v>2</v>
      </c>
      <c r="D323" s="4">
        <v>7</v>
      </c>
      <c r="E323" s="4">
        <f t="shared" si="66"/>
        <v>14</v>
      </c>
      <c r="F323" s="4">
        <v>9019.2820400000001</v>
      </c>
      <c r="G323" s="4">
        <v>23901.197400000001</v>
      </c>
      <c r="H323" s="4">
        <v>3752.9232569999999</v>
      </c>
      <c r="I323" s="4">
        <v>3.752923257</v>
      </c>
      <c r="J323" s="4">
        <v>3.752923E-3</v>
      </c>
      <c r="K323" s="4">
        <v>8.2737696710000002</v>
      </c>
      <c r="L323" s="4">
        <v>5.2399999999999999E-3</v>
      </c>
      <c r="M323" s="4">
        <v>3.141</v>
      </c>
      <c r="N323" s="4">
        <v>73.125400459999994</v>
      </c>
      <c r="O323" s="4">
        <f t="shared" si="67"/>
        <v>427.99446653786288</v>
      </c>
      <c r="P323" s="4">
        <f t="shared" si="68"/>
        <v>101.11979332183873</v>
      </c>
      <c r="Q323" s="4">
        <f t="shared" ref="Q323:Q386" si="74">U323*(1-EXP(-V323*(E323-W323)))</f>
        <v>256.84427503747037</v>
      </c>
      <c r="R323" s="2">
        <f t="shared" si="69"/>
        <v>194135.25529926375</v>
      </c>
      <c r="S323" s="2">
        <f t="shared" si="70"/>
        <v>466559.13313930243</v>
      </c>
      <c r="T323" s="2">
        <f t="shared" si="71"/>
        <v>1236381.7028191513</v>
      </c>
      <c r="U323" s="4">
        <f t="shared" si="72"/>
        <v>309.24444444444441</v>
      </c>
      <c r="V323" s="4">
        <f t="shared" si="73"/>
        <v>0.13655555555555554</v>
      </c>
      <c r="W323" s="4">
        <v>1</v>
      </c>
      <c r="X323" s="4" t="s">
        <v>422</v>
      </c>
      <c r="Y323" s="4">
        <v>420</v>
      </c>
      <c r="Z323" s="4">
        <v>430</v>
      </c>
      <c r="AA323" s="4">
        <v>445</v>
      </c>
      <c r="AB323" s="4">
        <v>653</v>
      </c>
      <c r="AC323" s="4">
        <v>200</v>
      </c>
      <c r="AD323" s="4">
        <v>350</v>
      </c>
      <c r="AE323" s="4">
        <v>275</v>
      </c>
      <c r="AG323" s="4">
        <v>190</v>
      </c>
      <c r="AH323" s="4">
        <v>300</v>
      </c>
      <c r="AK323" s="4">
        <f>AVERAGE(Y323:AH323)</f>
        <v>362.55555555555554</v>
      </c>
    </row>
    <row r="324" spans="1:37" x14ac:dyDescent="0.25">
      <c r="A324" s="4" t="s">
        <v>85</v>
      </c>
      <c r="B324" s="4" t="s">
        <v>86</v>
      </c>
      <c r="C324" s="4">
        <v>3</v>
      </c>
      <c r="D324" s="4">
        <v>7</v>
      </c>
      <c r="E324" s="4">
        <f t="shared" si="66"/>
        <v>21</v>
      </c>
      <c r="F324" s="4">
        <v>20847.385399999999</v>
      </c>
      <c r="G324" s="4">
        <v>55245.121400000004</v>
      </c>
      <c r="H324" s="4">
        <v>8674.5970649999999</v>
      </c>
      <c r="I324" s="4">
        <v>8.6745970650000004</v>
      </c>
      <c r="J324" s="4">
        <v>8.6745969999999992E-3</v>
      </c>
      <c r="K324" s="4">
        <v>19.124190179999999</v>
      </c>
      <c r="L324" s="4">
        <v>5.2399999999999999E-3</v>
      </c>
      <c r="M324" s="4">
        <v>3.141</v>
      </c>
      <c r="N324" s="4">
        <v>95.480919940000007</v>
      </c>
      <c r="O324" s="4">
        <f t="shared" si="67"/>
        <v>600.93530089230137</v>
      </c>
      <c r="P324" s="4">
        <f t="shared" si="68"/>
        <v>112.65762213025943</v>
      </c>
      <c r="Q324" s="4">
        <f t="shared" si="74"/>
        <v>286.15036021085893</v>
      </c>
      <c r="R324" s="2">
        <f t="shared" si="69"/>
        <v>272579.99151432054</v>
      </c>
      <c r="S324" s="2">
        <f t="shared" si="70"/>
        <v>655082.89236798976</v>
      </c>
      <c r="T324" s="2">
        <f t="shared" si="71"/>
        <v>1735969.6647751727</v>
      </c>
      <c r="U324" s="4">
        <f t="shared" si="72"/>
        <v>309.24444444444441</v>
      </c>
      <c r="V324" s="4">
        <f t="shared" si="73"/>
        <v>0.13655555555555554</v>
      </c>
      <c r="W324" s="4">
        <v>2</v>
      </c>
      <c r="X324" s="4" t="s">
        <v>18</v>
      </c>
      <c r="Y324" s="4">
        <v>373</v>
      </c>
      <c r="Z324" s="4">
        <v>329</v>
      </c>
      <c r="AA324" s="4">
        <v>321</v>
      </c>
      <c r="AB324" s="4">
        <v>660</v>
      </c>
      <c r="AC324" s="4">
        <v>124</v>
      </c>
      <c r="AD324" s="4">
        <v>304</v>
      </c>
      <c r="AE324" s="4">
        <v>179.2</v>
      </c>
      <c r="AF324" s="4">
        <v>337</v>
      </c>
      <c r="AG324" s="4">
        <v>156</v>
      </c>
      <c r="AK324" s="4">
        <f>AVERAGE(Y324:AH324)</f>
        <v>309.24444444444441</v>
      </c>
    </row>
    <row r="325" spans="1:37" x14ac:dyDescent="0.25">
      <c r="A325" s="4" t="s">
        <v>85</v>
      </c>
      <c r="B325" s="4" t="s">
        <v>86</v>
      </c>
      <c r="C325" s="4">
        <v>4</v>
      </c>
      <c r="D325" s="4">
        <v>7</v>
      </c>
      <c r="E325" s="4">
        <f t="shared" si="66"/>
        <v>28</v>
      </c>
      <c r="F325" s="4">
        <v>32899.059300000001</v>
      </c>
      <c r="G325" s="4">
        <v>87183.557100000005</v>
      </c>
      <c r="H325" s="4">
        <v>13689.298570000001</v>
      </c>
      <c r="I325" s="4">
        <v>13.68929857</v>
      </c>
      <c r="J325" s="4">
        <v>1.3689299E-2</v>
      </c>
      <c r="K325" s="4">
        <v>30.179701420000001</v>
      </c>
      <c r="L325" s="4">
        <v>5.2399999999999999E-3</v>
      </c>
      <c r="M325" s="4">
        <v>3.141</v>
      </c>
      <c r="N325" s="4">
        <v>110.4068024</v>
      </c>
      <c r="O325" s="4">
        <f t="shared" si="67"/>
        <v>690.32031978775092</v>
      </c>
      <c r="P325" s="4">
        <f t="shared" si="68"/>
        <v>117.74263604128112</v>
      </c>
      <c r="Q325" s="4">
        <f t="shared" si="74"/>
        <v>299.06629554485403</v>
      </c>
      <c r="R325" s="2">
        <f t="shared" si="69"/>
        <v>313124.40229506715</v>
      </c>
      <c r="S325" s="2">
        <f t="shared" si="70"/>
        <v>752521.99542193499</v>
      </c>
      <c r="T325" s="2">
        <f t="shared" si="71"/>
        <v>1994183.2878681277</v>
      </c>
      <c r="U325" s="4">
        <f t="shared" si="72"/>
        <v>309.24444444444441</v>
      </c>
      <c r="V325" s="4">
        <f t="shared" si="73"/>
        <v>0.13655555555555554</v>
      </c>
      <c r="W325" s="4">
        <v>3</v>
      </c>
      <c r="X325" s="4" t="s">
        <v>19</v>
      </c>
      <c r="Y325" s="4">
        <v>0.04</v>
      </c>
      <c r="Z325" s="4">
        <v>0.1</v>
      </c>
      <c r="AA325" s="4">
        <v>0.1</v>
      </c>
      <c r="AB325" s="4">
        <v>7.0999999999999994E-2</v>
      </c>
      <c r="AC325" s="4">
        <v>0.2</v>
      </c>
      <c r="AD325" s="4">
        <v>0.1</v>
      </c>
      <c r="AE325" s="4">
        <v>0.2</v>
      </c>
      <c r="AF325" s="4">
        <v>0.17799999999999999</v>
      </c>
      <c r="AG325" s="4">
        <v>0.24</v>
      </c>
      <c r="AK325" s="4">
        <f>AVERAGE(Y325:AH325)</f>
        <v>0.13655555555555554</v>
      </c>
    </row>
    <row r="326" spans="1:37" x14ac:dyDescent="0.25">
      <c r="A326" s="4" t="s">
        <v>85</v>
      </c>
      <c r="B326" s="4" t="s">
        <v>86</v>
      </c>
      <c r="C326" s="4">
        <v>5</v>
      </c>
      <c r="D326" s="4">
        <v>7</v>
      </c>
      <c r="E326" s="4">
        <f t="shared" si="66"/>
        <v>35</v>
      </c>
      <c r="F326" s="4">
        <v>43204.537799999998</v>
      </c>
      <c r="G326" s="4">
        <v>114492.325</v>
      </c>
      <c r="H326" s="4">
        <v>17977.408179999999</v>
      </c>
      <c r="I326" s="4">
        <v>17.977408180000001</v>
      </c>
      <c r="J326" s="4">
        <v>1.7977408E-2</v>
      </c>
      <c r="K326" s="4">
        <v>39.633353620000001</v>
      </c>
      <c r="L326" s="4">
        <v>5.2399999999999999E-3</v>
      </c>
      <c r="M326" s="4">
        <v>3.141</v>
      </c>
      <c r="N326" s="4">
        <v>120.4130632</v>
      </c>
      <c r="O326" s="4">
        <f t="shared" si="67"/>
        <v>732.43834267098998</v>
      </c>
      <c r="P326" s="4">
        <f t="shared" si="68"/>
        <v>119.98373069649152</v>
      </c>
      <c r="Q326" s="4">
        <f t="shared" si="74"/>
        <v>304.75867596908847</v>
      </c>
      <c r="R326" s="2">
        <f t="shared" si="69"/>
        <v>332228.83883435238</v>
      </c>
      <c r="S326" s="2">
        <f t="shared" si="70"/>
        <v>798435.08491793415</v>
      </c>
      <c r="T326" s="2">
        <f t="shared" si="71"/>
        <v>2115852.9750325256</v>
      </c>
      <c r="U326" s="4">
        <f t="shared" si="72"/>
        <v>309.24444444444441</v>
      </c>
      <c r="V326" s="4">
        <f t="shared" si="73"/>
        <v>0.13655555555555554</v>
      </c>
      <c r="W326" s="4">
        <v>4</v>
      </c>
      <c r="X326" s="4" t="s">
        <v>477</v>
      </c>
    </row>
    <row r="327" spans="1:37" x14ac:dyDescent="0.25">
      <c r="A327" s="4" t="s">
        <v>85</v>
      </c>
      <c r="B327" s="4" t="s">
        <v>86</v>
      </c>
      <c r="C327" s="4">
        <v>6</v>
      </c>
      <c r="D327" s="4">
        <v>7</v>
      </c>
      <c r="E327" s="4">
        <f t="shared" si="66"/>
        <v>42</v>
      </c>
      <c r="F327" s="4">
        <v>51223.1927</v>
      </c>
      <c r="G327" s="4">
        <v>135742.56099999999</v>
      </c>
      <c r="H327" s="4">
        <v>21313.97048</v>
      </c>
      <c r="I327" s="4">
        <v>21.313970479999998</v>
      </c>
      <c r="J327" s="4">
        <v>2.1313970000000002E-2</v>
      </c>
      <c r="K327" s="4">
        <v>46.989205609999999</v>
      </c>
      <c r="L327" s="4">
        <v>5.2399999999999999E-3</v>
      </c>
      <c r="M327" s="4">
        <v>3.141</v>
      </c>
      <c r="N327" s="4">
        <v>127.1197449</v>
      </c>
      <c r="O327" s="4">
        <f t="shared" si="67"/>
        <v>751.54422854031532</v>
      </c>
      <c r="P327" s="4">
        <f t="shared" si="68"/>
        <v>120.97143797546796</v>
      </c>
      <c r="Q327" s="4">
        <f t="shared" si="74"/>
        <v>307.26745245768865</v>
      </c>
      <c r="R327" s="2">
        <f t="shared" si="69"/>
        <v>340895.13319316495</v>
      </c>
      <c r="S327" s="2">
        <f t="shared" si="70"/>
        <v>819262.51668628922</v>
      </c>
      <c r="T327" s="2">
        <f t="shared" si="71"/>
        <v>2171045.6692186664</v>
      </c>
      <c r="U327" s="4">
        <f t="shared" si="72"/>
        <v>309.24444444444441</v>
      </c>
      <c r="V327" s="4">
        <f t="shared" si="73"/>
        <v>0.13655555555555554</v>
      </c>
      <c r="W327" s="4">
        <v>5</v>
      </c>
      <c r="X327" s="4" t="s">
        <v>423</v>
      </c>
      <c r="Y327" s="4" t="s">
        <v>428</v>
      </c>
      <c r="Z327" s="4" t="s">
        <v>428</v>
      </c>
      <c r="AA327" s="4" t="s">
        <v>428</v>
      </c>
      <c r="AB327" s="4" t="s">
        <v>428</v>
      </c>
      <c r="AC327" s="4" t="s">
        <v>428</v>
      </c>
      <c r="AD327" s="4" t="s">
        <v>428</v>
      </c>
      <c r="AE327" s="4" t="s">
        <v>428</v>
      </c>
      <c r="AF327" s="4" t="s">
        <v>645</v>
      </c>
      <c r="AG327" s="4" t="s">
        <v>646</v>
      </c>
    </row>
    <row r="328" spans="1:37" x14ac:dyDescent="0.25">
      <c r="A328" s="4" t="s">
        <v>85</v>
      </c>
      <c r="B328" s="4" t="s">
        <v>86</v>
      </c>
      <c r="C328" s="4">
        <v>7</v>
      </c>
      <c r="D328" s="4">
        <v>7</v>
      </c>
      <c r="E328" s="4">
        <f t="shared" si="66"/>
        <v>49</v>
      </c>
      <c r="F328" s="4">
        <v>57132.702899999997</v>
      </c>
      <c r="G328" s="4">
        <v>151401.76300000001</v>
      </c>
      <c r="H328" s="4">
        <v>23772.917679999999</v>
      </c>
      <c r="I328" s="4">
        <v>23.772917679999999</v>
      </c>
      <c r="J328" s="4">
        <v>2.3772918000000001E-2</v>
      </c>
      <c r="K328" s="4">
        <v>52.41024977</v>
      </c>
      <c r="L328" s="4">
        <v>5.2399999999999999E-3</v>
      </c>
      <c r="M328" s="4">
        <v>3.141</v>
      </c>
      <c r="N328" s="4">
        <v>131.61625190000001</v>
      </c>
      <c r="O328" s="4">
        <f t="shared" si="67"/>
        <v>760.07145838135921</v>
      </c>
      <c r="P328" s="4">
        <f t="shared" si="68"/>
        <v>121.40674563490794</v>
      </c>
      <c r="Q328" s="4">
        <f t="shared" si="74"/>
        <v>308.37313391266616</v>
      </c>
      <c r="R328" s="2">
        <f t="shared" si="69"/>
        <v>344763.02418619045</v>
      </c>
      <c r="S328" s="2">
        <f t="shared" si="70"/>
        <v>828558.09705885698</v>
      </c>
      <c r="T328" s="2">
        <f t="shared" si="71"/>
        <v>2195678.9572059708</v>
      </c>
      <c r="U328" s="4">
        <f t="shared" si="72"/>
        <v>309.24444444444441</v>
      </c>
      <c r="V328" s="4">
        <f t="shared" si="73"/>
        <v>0.13655555555555554</v>
      </c>
      <c r="W328" s="4">
        <v>6</v>
      </c>
      <c r="X328" s="4" t="s">
        <v>434</v>
      </c>
      <c r="Y328" s="7" t="s">
        <v>647</v>
      </c>
      <c r="Z328" s="7" t="s">
        <v>648</v>
      </c>
      <c r="AA328" s="7" t="s">
        <v>649</v>
      </c>
      <c r="AB328" s="7" t="s">
        <v>650</v>
      </c>
      <c r="AC328" s="7" t="s">
        <v>651</v>
      </c>
      <c r="AD328" s="7" t="s">
        <v>652</v>
      </c>
      <c r="AE328" s="7" t="s">
        <v>653</v>
      </c>
      <c r="AF328" s="7" t="s">
        <v>654</v>
      </c>
      <c r="AG328" s="7" t="s">
        <v>655</v>
      </c>
      <c r="AH328" s="7" t="s">
        <v>656</v>
      </c>
    </row>
    <row r="329" spans="1:37" x14ac:dyDescent="0.25">
      <c r="A329" s="4" t="s">
        <v>85</v>
      </c>
      <c r="B329" s="4" t="s">
        <v>86</v>
      </c>
      <c r="C329" s="4">
        <v>8</v>
      </c>
      <c r="D329" s="4">
        <v>7</v>
      </c>
      <c r="E329" s="4">
        <f t="shared" si="66"/>
        <v>56</v>
      </c>
      <c r="F329" s="4">
        <v>61342.911800000002</v>
      </c>
      <c r="G329" s="4">
        <v>162558.266</v>
      </c>
      <c r="H329" s="4">
        <v>25524.785599999999</v>
      </c>
      <c r="I329" s="4">
        <v>25.524785600000001</v>
      </c>
      <c r="J329" s="4">
        <v>2.5524786000000001E-2</v>
      </c>
      <c r="K329" s="4">
        <v>56.272452829999999</v>
      </c>
      <c r="L329" s="4">
        <v>5.2399999999999999E-3</v>
      </c>
      <c r="M329" s="4">
        <v>3.141</v>
      </c>
      <c r="N329" s="4">
        <v>134.6296327</v>
      </c>
      <c r="O329" s="4">
        <f t="shared" si="67"/>
        <v>763.8504714776526</v>
      </c>
      <c r="P329" s="4">
        <f t="shared" si="68"/>
        <v>121.59859676570396</v>
      </c>
      <c r="Q329" s="4">
        <f t="shared" si="74"/>
        <v>308.86043578488807</v>
      </c>
      <c r="R329" s="2">
        <f t="shared" si="69"/>
        <v>346477.15773133357</v>
      </c>
      <c r="S329" s="2">
        <f t="shared" si="70"/>
        <v>832677.62011856178</v>
      </c>
      <c r="T329" s="2">
        <f t="shared" si="71"/>
        <v>2206595.6933141886</v>
      </c>
      <c r="U329" s="4">
        <f t="shared" si="72"/>
        <v>309.24444444444441</v>
      </c>
      <c r="V329" s="4">
        <f t="shared" si="73"/>
        <v>0.13655555555555554</v>
      </c>
      <c r="W329" s="4">
        <v>7</v>
      </c>
    </row>
    <row r="330" spans="1:37" x14ac:dyDescent="0.25">
      <c r="A330" s="4" t="s">
        <v>85</v>
      </c>
      <c r="B330" s="4" t="s">
        <v>86</v>
      </c>
      <c r="C330" s="4">
        <v>9</v>
      </c>
      <c r="D330" s="4">
        <v>7</v>
      </c>
      <c r="E330" s="4">
        <f t="shared" si="66"/>
        <v>63</v>
      </c>
      <c r="F330" s="4">
        <v>64280.782099999997</v>
      </c>
      <c r="G330" s="4">
        <v>170344.27299999999</v>
      </c>
      <c r="H330" s="4">
        <v>26747.23343</v>
      </c>
      <c r="I330" s="4">
        <v>26.747233430000001</v>
      </c>
      <c r="J330" s="4">
        <v>2.6747232999999999E-2</v>
      </c>
      <c r="K330" s="4">
        <v>58.967485770000003</v>
      </c>
      <c r="L330" s="4">
        <v>5.2399999999999999E-3</v>
      </c>
      <c r="M330" s="4">
        <v>3.141</v>
      </c>
      <c r="N330" s="4">
        <v>136.64977099999999</v>
      </c>
      <c r="O330" s="4">
        <f t="shared" si="67"/>
        <v>765.52003667905785</v>
      </c>
      <c r="P330" s="4">
        <f t="shared" si="68"/>
        <v>121.68315042698129</v>
      </c>
      <c r="Q330" s="4">
        <f t="shared" si="74"/>
        <v>309.07520208453246</v>
      </c>
      <c r="R330" s="2">
        <f t="shared" si="69"/>
        <v>347234.46066853148</v>
      </c>
      <c r="S330" s="2">
        <f t="shared" si="70"/>
        <v>834497.62237089989</v>
      </c>
      <c r="T330" s="2">
        <f t="shared" si="71"/>
        <v>2211418.6992828846</v>
      </c>
      <c r="U330" s="4">
        <f t="shared" si="72"/>
        <v>309.24444444444441</v>
      </c>
      <c r="V330" s="4">
        <f t="shared" si="73"/>
        <v>0.13655555555555554</v>
      </c>
      <c r="W330" s="4">
        <v>8</v>
      </c>
    </row>
    <row r="331" spans="1:37" x14ac:dyDescent="0.25">
      <c r="A331" s="4" t="s">
        <v>85</v>
      </c>
      <c r="B331" s="4" t="s">
        <v>86</v>
      </c>
      <c r="C331" s="4">
        <v>10</v>
      </c>
      <c r="D331" s="4">
        <v>7</v>
      </c>
      <c r="E331" s="4">
        <f t="shared" si="66"/>
        <v>70</v>
      </c>
      <c r="F331" s="4">
        <v>66302.710800000001</v>
      </c>
      <c r="G331" s="4">
        <v>175702.084</v>
      </c>
      <c r="H331" s="4">
        <v>27588.557959999998</v>
      </c>
      <c r="I331" s="4">
        <v>27.588557959999999</v>
      </c>
      <c r="J331" s="4">
        <v>2.7588557999999999E-2</v>
      </c>
      <c r="K331" s="4">
        <v>60.822286660000003</v>
      </c>
      <c r="L331" s="4">
        <v>5.2399999999999999E-3</v>
      </c>
      <c r="M331" s="4">
        <v>3.141</v>
      </c>
      <c r="N331" s="4">
        <v>138.00379409999999</v>
      </c>
      <c r="O331" s="4">
        <f t="shared" si="67"/>
        <v>766.25664546814528</v>
      </c>
      <c r="P331" s="4">
        <f t="shared" si="68"/>
        <v>121.72041537092892</v>
      </c>
      <c r="Q331" s="4">
        <f t="shared" si="74"/>
        <v>309.16985504215944</v>
      </c>
      <c r="R331" s="2">
        <f t="shared" si="69"/>
        <v>347568.58119228948</v>
      </c>
      <c r="S331" s="2">
        <f t="shared" si="70"/>
        <v>835300.60368250287</v>
      </c>
      <c r="T331" s="2">
        <f t="shared" si="71"/>
        <v>2213546.5997586325</v>
      </c>
      <c r="U331" s="4">
        <f t="shared" si="72"/>
        <v>309.24444444444441</v>
      </c>
      <c r="V331" s="4">
        <f t="shared" si="73"/>
        <v>0.13655555555555554</v>
      </c>
      <c r="W331" s="4">
        <v>9</v>
      </c>
    </row>
    <row r="332" spans="1:37" x14ac:dyDescent="0.25">
      <c r="A332" s="4" t="s">
        <v>87</v>
      </c>
      <c r="B332" s="4" t="s">
        <v>88</v>
      </c>
      <c r="C332" s="4">
        <v>1</v>
      </c>
      <c r="D332" s="4">
        <v>2</v>
      </c>
      <c r="E332" s="4">
        <f t="shared" si="66"/>
        <v>2</v>
      </c>
      <c r="F332" s="4">
        <v>127.5414564</v>
      </c>
      <c r="G332" s="4">
        <v>337.98485950000003</v>
      </c>
      <c r="H332" s="4">
        <v>53.070000010000001</v>
      </c>
      <c r="I332" s="4">
        <v>5.3069999999999999E-2</v>
      </c>
      <c r="J332" s="4">
        <v>5.3100000000000003E-5</v>
      </c>
      <c r="K332" s="4">
        <v>0.11699918300000001</v>
      </c>
      <c r="L332" s="4">
        <v>6.0000000000000001E-3</v>
      </c>
      <c r="M332" s="4">
        <v>3.1</v>
      </c>
      <c r="N332" s="4">
        <v>18.755486529999999</v>
      </c>
      <c r="O332" s="4">
        <f t="shared" si="67"/>
        <v>6.2912282343791127E-3</v>
      </c>
      <c r="P332" s="4">
        <f t="shared" si="68"/>
        <v>2.8760435633690284</v>
      </c>
      <c r="Q332" s="4">
        <f t="shared" si="74"/>
        <v>7.3051506509573318</v>
      </c>
      <c r="R332" s="4">
        <f t="shared" si="69"/>
        <v>2.8536565187556642</v>
      </c>
      <c r="S332" s="4">
        <f t="shared" si="70"/>
        <v>6.8581026646375003</v>
      </c>
      <c r="T332" s="4">
        <f t="shared" si="71"/>
        <v>18.173972061289376</v>
      </c>
      <c r="U332" s="4">
        <v>40.299999999999997</v>
      </c>
      <c r="V332" s="4">
        <v>0.1</v>
      </c>
      <c r="W332" s="4">
        <v>0</v>
      </c>
      <c r="Y332" s="4" t="s">
        <v>657</v>
      </c>
    </row>
    <row r="333" spans="1:37" x14ac:dyDescent="0.25">
      <c r="A333" s="4" t="s">
        <v>87</v>
      </c>
      <c r="B333" s="4" t="s">
        <v>88</v>
      </c>
      <c r="C333" s="4">
        <v>2</v>
      </c>
      <c r="D333" s="4">
        <v>2</v>
      </c>
      <c r="E333" s="4">
        <f t="shared" si="66"/>
        <v>4</v>
      </c>
      <c r="F333" s="4">
        <v>347.4885845</v>
      </c>
      <c r="G333" s="4">
        <v>920.84474890000001</v>
      </c>
      <c r="H333" s="4">
        <v>144.59</v>
      </c>
      <c r="I333" s="4">
        <v>0.14459</v>
      </c>
      <c r="J333" s="4">
        <v>1.4459E-4</v>
      </c>
      <c r="K333" s="4">
        <v>0.31876600599999999</v>
      </c>
      <c r="L333" s="4">
        <v>6.0000000000000001E-3</v>
      </c>
      <c r="M333" s="4">
        <v>3.1</v>
      </c>
      <c r="N333" s="4">
        <v>25.914581269999999</v>
      </c>
      <c r="O333" s="4">
        <f t="shared" si="67"/>
        <v>4.0180701353366766E-2</v>
      </c>
      <c r="P333" s="4">
        <f t="shared" si="68"/>
        <v>5.2307488758912344</v>
      </c>
      <c r="Q333" s="4">
        <f t="shared" si="74"/>
        <v>13.286102144763735</v>
      </c>
      <c r="R333" s="4">
        <f t="shared" si="69"/>
        <v>18.225681230038177</v>
      </c>
      <c r="S333" s="4">
        <f t="shared" si="70"/>
        <v>43.801204590334478</v>
      </c>
      <c r="T333" s="4">
        <f t="shared" si="71"/>
        <v>116.07319216438637</v>
      </c>
      <c r="U333" s="4">
        <v>40.299999999999997</v>
      </c>
      <c r="V333" s="4">
        <v>0.1</v>
      </c>
      <c r="W333" s="4">
        <v>0</v>
      </c>
    </row>
    <row r="334" spans="1:37" x14ac:dyDescent="0.25">
      <c r="A334" s="4" t="s">
        <v>87</v>
      </c>
      <c r="B334" s="4" t="s">
        <v>88</v>
      </c>
      <c r="C334" s="4">
        <v>3</v>
      </c>
      <c r="D334" s="4">
        <v>2</v>
      </c>
      <c r="E334" s="4">
        <f t="shared" si="66"/>
        <v>6</v>
      </c>
      <c r="F334" s="4">
        <v>732.42009129999997</v>
      </c>
      <c r="G334" s="4">
        <v>1940.9132420000001</v>
      </c>
      <c r="H334" s="4">
        <v>304.76</v>
      </c>
      <c r="I334" s="4">
        <v>0.30475999999999998</v>
      </c>
      <c r="J334" s="4">
        <v>3.0476E-4</v>
      </c>
      <c r="K334" s="4">
        <v>0.67187999099999995</v>
      </c>
      <c r="L334" s="4">
        <v>6.0000000000000001E-3</v>
      </c>
      <c r="M334" s="4">
        <v>3.1</v>
      </c>
      <c r="N334" s="4">
        <v>32.961135609999999</v>
      </c>
      <c r="O334" s="4">
        <f t="shared" si="67"/>
        <v>0.106277198462148</v>
      </c>
      <c r="P334" s="4">
        <f t="shared" si="68"/>
        <v>7.1586185296892664</v>
      </c>
      <c r="Q334" s="4">
        <f t="shared" si="74"/>
        <v>18.182891065410736</v>
      </c>
      <c r="R334" s="4">
        <f t="shared" si="69"/>
        <v>48.206583657114606</v>
      </c>
      <c r="S334" s="4">
        <f t="shared" si="70"/>
        <v>115.85336134850904</v>
      </c>
      <c r="T334" s="4">
        <f t="shared" si="71"/>
        <v>307.01140757354892</v>
      </c>
      <c r="U334" s="4">
        <v>40.299999999999997</v>
      </c>
      <c r="V334" s="4">
        <v>0.1</v>
      </c>
      <c r="W334" s="4">
        <v>0</v>
      </c>
    </row>
    <row r="335" spans="1:37" x14ac:dyDescent="0.25">
      <c r="A335" s="4" t="s">
        <v>87</v>
      </c>
      <c r="B335" s="4" t="s">
        <v>88</v>
      </c>
      <c r="C335" s="4">
        <v>4</v>
      </c>
      <c r="D335" s="4">
        <v>2</v>
      </c>
      <c r="E335" s="4">
        <f t="shared" si="66"/>
        <v>8</v>
      </c>
      <c r="F335" s="4">
        <v>1115.2006730000001</v>
      </c>
      <c r="G335" s="4">
        <v>2955.281782</v>
      </c>
      <c r="H335" s="4">
        <v>464.03500000000003</v>
      </c>
      <c r="I335" s="4">
        <v>0.46403499999999998</v>
      </c>
      <c r="J335" s="4">
        <v>4.6403500000000001E-4</v>
      </c>
      <c r="K335" s="4">
        <v>1.023020842</v>
      </c>
      <c r="L335" s="4">
        <v>6.0000000000000001E-3</v>
      </c>
      <c r="M335" s="4">
        <v>3.1</v>
      </c>
      <c r="N335" s="4">
        <v>37.748792209999998</v>
      </c>
      <c r="O335" s="4">
        <f t="shared" si="67"/>
        <v>0.19710451025168274</v>
      </c>
      <c r="P335" s="4">
        <f t="shared" si="68"/>
        <v>8.7370247031795163</v>
      </c>
      <c r="Q335" s="4">
        <f t="shared" si="74"/>
        <v>22.19204274607597</v>
      </c>
      <c r="R335" s="4">
        <f t="shared" si="69"/>
        <v>89.405208267947643</v>
      </c>
      <c r="S335" s="4">
        <f t="shared" si="70"/>
        <v>214.86471585663935</v>
      </c>
      <c r="T335" s="4">
        <f t="shared" si="71"/>
        <v>569.39149702009422</v>
      </c>
      <c r="U335" s="4">
        <v>40.299999999999997</v>
      </c>
      <c r="V335" s="4">
        <v>0.1</v>
      </c>
      <c r="W335" s="4">
        <v>0</v>
      </c>
    </row>
    <row r="336" spans="1:37" x14ac:dyDescent="0.25">
      <c r="A336" s="4" t="s">
        <v>87</v>
      </c>
      <c r="B336" s="4" t="s">
        <v>88</v>
      </c>
      <c r="C336" s="4">
        <v>5</v>
      </c>
      <c r="D336" s="4">
        <v>2</v>
      </c>
      <c r="E336" s="4">
        <f t="shared" si="66"/>
        <v>10</v>
      </c>
      <c r="F336" s="4">
        <v>1550.4325879999999</v>
      </c>
      <c r="G336" s="4">
        <v>4108.6463590000003</v>
      </c>
      <c r="H336" s="4">
        <v>645.13499990000003</v>
      </c>
      <c r="I336" s="4">
        <v>0.64513500000000001</v>
      </c>
      <c r="J336" s="4">
        <v>6.4513500000000002E-4</v>
      </c>
      <c r="K336" s="4">
        <v>1.422277523</v>
      </c>
      <c r="L336" s="4">
        <v>6.0000000000000001E-3</v>
      </c>
      <c r="M336" s="4">
        <v>3.1</v>
      </c>
      <c r="N336" s="4">
        <v>41.982114379999999</v>
      </c>
      <c r="O336" s="4">
        <f t="shared" si="67"/>
        <v>0.3022806685210826</v>
      </c>
      <c r="P336" s="4">
        <f t="shared" si="68"/>
        <v>10.029314378264123</v>
      </c>
      <c r="Q336" s="4">
        <f t="shared" si="74"/>
        <v>25.474458520790872</v>
      </c>
      <c r="R336" s="4">
        <f t="shared" si="69"/>
        <v>137.11236790062804</v>
      </c>
      <c r="S336" s="4">
        <f t="shared" si="70"/>
        <v>329.51782720650812</v>
      </c>
      <c r="T336" s="4">
        <f t="shared" si="71"/>
        <v>873.22224209724652</v>
      </c>
      <c r="U336" s="4">
        <v>40.299999999999997</v>
      </c>
      <c r="V336" s="4">
        <v>0.1</v>
      </c>
      <c r="W336" s="4">
        <v>0</v>
      </c>
    </row>
    <row r="337" spans="1:31" x14ac:dyDescent="0.25">
      <c r="A337" s="4" t="s">
        <v>87</v>
      </c>
      <c r="B337" s="4" t="s">
        <v>88</v>
      </c>
      <c r="C337" s="4">
        <v>6</v>
      </c>
      <c r="D337" s="4">
        <v>2</v>
      </c>
      <c r="E337" s="4">
        <f t="shared" si="66"/>
        <v>12</v>
      </c>
      <c r="F337" s="4">
        <v>1976.4359529999999</v>
      </c>
      <c r="G337" s="4">
        <v>5237.5552749999997</v>
      </c>
      <c r="H337" s="4">
        <v>822.39499999999998</v>
      </c>
      <c r="I337" s="4">
        <v>0.82239499999999999</v>
      </c>
      <c r="J337" s="4">
        <v>8.2239499999999996E-4</v>
      </c>
      <c r="K337" s="4">
        <v>1.813068465</v>
      </c>
      <c r="L337" s="4">
        <v>6.0000000000000001E-3</v>
      </c>
      <c r="M337" s="4">
        <v>3.1</v>
      </c>
      <c r="N337" s="4">
        <v>45.401890719999997</v>
      </c>
      <c r="O337" s="4">
        <f t="shared" si="67"/>
        <v>0.41251122069027296</v>
      </c>
      <c r="P337" s="4">
        <f t="shared" si="68"/>
        <v>11.087351677141045</v>
      </c>
      <c r="Q337" s="4">
        <f t="shared" si="74"/>
        <v>28.161873259938258</v>
      </c>
      <c r="R337" s="4">
        <f t="shared" si="69"/>
        <v>187.11216476774817</v>
      </c>
      <c r="S337" s="4">
        <f t="shared" si="70"/>
        <v>449.68076127793353</v>
      </c>
      <c r="T337" s="4">
        <f t="shared" si="71"/>
        <v>1191.6540173865237</v>
      </c>
      <c r="U337" s="4">
        <v>40.299999999999997</v>
      </c>
      <c r="V337" s="4">
        <v>0.1</v>
      </c>
      <c r="W337" s="4">
        <v>0</v>
      </c>
    </row>
    <row r="338" spans="1:31" x14ac:dyDescent="0.25">
      <c r="A338" s="4" t="s">
        <v>87</v>
      </c>
      <c r="B338" s="4" t="s">
        <v>88</v>
      </c>
      <c r="C338" s="4">
        <v>7</v>
      </c>
      <c r="D338" s="4">
        <v>2</v>
      </c>
      <c r="E338" s="4">
        <f t="shared" si="66"/>
        <v>14</v>
      </c>
      <c r="F338" s="4">
        <v>2275.6669069999998</v>
      </c>
      <c r="G338" s="4">
        <v>6030.517304</v>
      </c>
      <c r="H338" s="4">
        <v>946.90499999999997</v>
      </c>
      <c r="I338" s="4">
        <v>0.946905</v>
      </c>
      <c r="J338" s="4">
        <v>9.4690499999999995E-4</v>
      </c>
      <c r="K338" s="4">
        <v>2.0875657009999999</v>
      </c>
      <c r="L338" s="4">
        <v>6.0000000000000001E-3</v>
      </c>
      <c r="M338" s="4">
        <v>3.1</v>
      </c>
      <c r="N338" s="4">
        <v>47.514290099999997</v>
      </c>
      <c r="O338" s="4">
        <f t="shared" si="67"/>
        <v>0.52085336097983814</v>
      </c>
      <c r="P338" s="4">
        <f t="shared" si="68"/>
        <v>11.953599351635139</v>
      </c>
      <c r="Q338" s="4">
        <f t="shared" si="74"/>
        <v>30.362142353153256</v>
      </c>
      <c r="R338" s="4">
        <f t="shared" si="69"/>
        <v>236.25539139617626</v>
      </c>
      <c r="S338" s="4">
        <f t="shared" si="70"/>
        <v>567.78512712371128</v>
      </c>
      <c r="T338" s="4">
        <f t="shared" si="71"/>
        <v>1504.6305868778347</v>
      </c>
      <c r="U338" s="4">
        <v>40.299999999999997</v>
      </c>
      <c r="V338" s="4">
        <v>0.1</v>
      </c>
      <c r="W338" s="4">
        <v>0</v>
      </c>
    </row>
    <row r="339" spans="1:31" x14ac:dyDescent="0.25">
      <c r="A339" s="4" t="s">
        <v>87</v>
      </c>
      <c r="B339" s="4" t="s">
        <v>88</v>
      </c>
      <c r="C339" s="4">
        <v>8</v>
      </c>
      <c r="D339" s="4">
        <v>2</v>
      </c>
      <c r="E339" s="4">
        <f t="shared" si="66"/>
        <v>16</v>
      </c>
      <c r="F339" s="4">
        <v>2451.3338140000001</v>
      </c>
      <c r="G339" s="4">
        <v>6496.0346079999999</v>
      </c>
      <c r="H339" s="4">
        <v>1020</v>
      </c>
      <c r="I339" s="4">
        <v>1.02</v>
      </c>
      <c r="J339" s="4">
        <v>1.0200000000000001E-3</v>
      </c>
      <c r="K339" s="4">
        <v>2.2487124000000001</v>
      </c>
      <c r="L339" s="4">
        <v>6.0000000000000001E-3</v>
      </c>
      <c r="M339" s="4">
        <v>3.1</v>
      </c>
      <c r="N339" s="4">
        <v>48.667785760000001</v>
      </c>
      <c r="O339" s="4">
        <f t="shared" si="67"/>
        <v>0.62275062726868302</v>
      </c>
      <c r="P339" s="4">
        <f t="shared" si="68"/>
        <v>12.662822962525743</v>
      </c>
      <c r="Q339" s="4">
        <f t="shared" si="74"/>
        <v>32.163570324815389</v>
      </c>
      <c r="R339" s="4">
        <f t="shared" si="69"/>
        <v>282.47526887567153</v>
      </c>
      <c r="S339" s="4">
        <f t="shared" si="70"/>
        <v>678.8639002058917</v>
      </c>
      <c r="T339" s="4">
        <f t="shared" si="71"/>
        <v>1798.9893355456129</v>
      </c>
      <c r="U339" s="4">
        <v>40.299999999999997</v>
      </c>
      <c r="V339" s="4">
        <v>0.1</v>
      </c>
      <c r="W339" s="4">
        <v>0</v>
      </c>
    </row>
    <row r="340" spans="1:31" x14ac:dyDescent="0.25">
      <c r="A340" s="4" t="s">
        <v>87</v>
      </c>
      <c r="B340" s="4" t="s">
        <v>88</v>
      </c>
      <c r="C340" s="4">
        <v>9</v>
      </c>
      <c r="D340" s="4">
        <v>2</v>
      </c>
      <c r="E340" s="4">
        <f t="shared" si="66"/>
        <v>18</v>
      </c>
      <c r="F340" s="4">
        <v>2643.5952900000002</v>
      </c>
      <c r="G340" s="4">
        <v>7005.5275179999999</v>
      </c>
      <c r="H340" s="4">
        <v>1100</v>
      </c>
      <c r="I340" s="4">
        <v>1.1000000000000001</v>
      </c>
      <c r="J340" s="4">
        <v>1.1000000000000001E-3</v>
      </c>
      <c r="K340" s="4">
        <v>2.4250820000000002</v>
      </c>
      <c r="L340" s="4">
        <v>6.0000000000000001E-3</v>
      </c>
      <c r="M340" s="4">
        <v>3.1</v>
      </c>
      <c r="N340" s="4">
        <v>49.867755070000001</v>
      </c>
      <c r="O340" s="4">
        <f t="shared" si="67"/>
        <v>0.71561051185720059</v>
      </c>
      <c r="P340" s="4">
        <f t="shared" si="68"/>
        <v>13.243486143570891</v>
      </c>
      <c r="Q340" s="4">
        <f t="shared" si="74"/>
        <v>33.638454804670062</v>
      </c>
      <c r="R340" s="4">
        <f t="shared" si="69"/>
        <v>324.59585409603494</v>
      </c>
      <c r="S340" s="4">
        <f t="shared" si="70"/>
        <v>780.09097355451797</v>
      </c>
      <c r="T340" s="4">
        <f t="shared" si="71"/>
        <v>2067.2410799194727</v>
      </c>
      <c r="U340" s="4">
        <v>40.299999999999997</v>
      </c>
      <c r="V340" s="4">
        <v>0.1</v>
      </c>
      <c r="W340" s="4">
        <v>0</v>
      </c>
    </row>
    <row r="341" spans="1:31" x14ac:dyDescent="0.25">
      <c r="A341" s="4" t="s">
        <v>87</v>
      </c>
      <c r="B341" s="4" t="s">
        <v>88</v>
      </c>
      <c r="C341" s="4">
        <v>10</v>
      </c>
      <c r="D341" s="4">
        <v>2</v>
      </c>
      <c r="E341" s="4">
        <f t="shared" si="66"/>
        <v>20</v>
      </c>
      <c r="F341" s="4">
        <v>3076.18361</v>
      </c>
      <c r="G341" s="4">
        <v>8151.8865660000001</v>
      </c>
      <c r="H341" s="4">
        <v>1280</v>
      </c>
      <c r="I341" s="4">
        <v>1.28</v>
      </c>
      <c r="J341" s="4">
        <v>1.2800000000000001E-3</v>
      </c>
      <c r="K341" s="4">
        <v>2.8219135999999998</v>
      </c>
      <c r="L341" s="4">
        <v>6.0000000000000001E-3</v>
      </c>
      <c r="M341" s="4">
        <v>3.1</v>
      </c>
      <c r="N341" s="4">
        <v>52.36621684</v>
      </c>
      <c r="O341" s="4">
        <f t="shared" si="67"/>
        <v>0.79828620262158945</v>
      </c>
      <c r="P341" s="4">
        <f t="shared" si="68"/>
        <v>13.718892947072641</v>
      </c>
      <c r="Q341" s="4">
        <f t="shared" si="74"/>
        <v>34.845988085564507</v>
      </c>
      <c r="R341" s="4">
        <f t="shared" si="69"/>
        <v>362.09696120945534</v>
      </c>
      <c r="S341" s="4">
        <f t="shared" si="70"/>
        <v>870.21620093596573</v>
      </c>
      <c r="T341" s="4">
        <f t="shared" si="71"/>
        <v>2306.0729324803092</v>
      </c>
      <c r="U341" s="4">
        <v>40.299999999999997</v>
      </c>
      <c r="V341" s="4">
        <v>0.1</v>
      </c>
      <c r="W341" s="4">
        <v>0</v>
      </c>
    </row>
    <row r="342" spans="1:31" x14ac:dyDescent="0.25">
      <c r="A342" s="4" t="s">
        <v>89</v>
      </c>
      <c r="B342" s="4" t="s">
        <v>90</v>
      </c>
      <c r="C342" s="4">
        <v>1</v>
      </c>
      <c r="D342" s="4">
        <v>8</v>
      </c>
      <c r="E342" s="4">
        <f t="shared" si="66"/>
        <v>8</v>
      </c>
      <c r="F342" s="4">
        <v>1466</v>
      </c>
      <c r="G342" s="4">
        <v>5263</v>
      </c>
      <c r="H342" s="4">
        <v>610.00260000000003</v>
      </c>
      <c r="I342" s="4">
        <v>0.61000259999999995</v>
      </c>
      <c r="J342" s="4">
        <v>6.1000300000000002E-4</v>
      </c>
      <c r="K342" s="4">
        <v>1.3448239319999999</v>
      </c>
      <c r="L342" s="2">
        <v>0.05</v>
      </c>
      <c r="M342" s="2">
        <v>3.2</v>
      </c>
      <c r="N342" s="4">
        <v>53.322391670000002</v>
      </c>
      <c r="O342" s="4">
        <f t="shared" si="67"/>
        <v>192.77360905797298</v>
      </c>
      <c r="P342" s="4">
        <f t="shared" si="68"/>
        <v>35.157965087150338</v>
      </c>
      <c r="Q342" s="4">
        <f t="shared" si="74"/>
        <v>89.301231321361854</v>
      </c>
      <c r="R342" s="4">
        <f t="shared" si="69"/>
        <v>87440.742195014551</v>
      </c>
      <c r="S342" s="4">
        <f t="shared" si="70"/>
        <v>210143.57653211863</v>
      </c>
      <c r="T342" s="4">
        <f t="shared" si="71"/>
        <v>556880.47781011439</v>
      </c>
      <c r="U342" s="4">
        <f t="shared" ref="U342:U351" si="75">$AC$344*100</f>
        <v>114.3</v>
      </c>
      <c r="V342" s="4">
        <v>0.19</v>
      </c>
      <c r="W342" s="4">
        <v>0</v>
      </c>
      <c r="Y342" s="4" t="s">
        <v>658</v>
      </c>
      <c r="Z342" s="4" t="s">
        <v>659</v>
      </c>
      <c r="AA342" s="4" t="s">
        <v>660</v>
      </c>
      <c r="AB342" s="4" t="s">
        <v>661</v>
      </c>
      <c r="AC342" s="4" t="s">
        <v>662</v>
      </c>
    </row>
    <row r="343" spans="1:31" x14ac:dyDescent="0.25">
      <c r="A343" s="4" t="s">
        <v>89</v>
      </c>
      <c r="B343" s="4" t="s">
        <v>90</v>
      </c>
      <c r="C343" s="4">
        <v>2</v>
      </c>
      <c r="D343" s="4">
        <v>8</v>
      </c>
      <c r="E343" s="4">
        <f t="shared" si="66"/>
        <v>16</v>
      </c>
      <c r="F343" s="4">
        <v>12000</v>
      </c>
      <c r="G343" s="4">
        <v>32000</v>
      </c>
      <c r="H343" s="4">
        <v>4993.2</v>
      </c>
      <c r="I343" s="4">
        <v>4.9931999999999999</v>
      </c>
      <c r="J343" s="4">
        <v>4.9931999999999997E-3</v>
      </c>
      <c r="K343" s="4">
        <v>11.00810858</v>
      </c>
      <c r="L343" s="2">
        <v>0.05</v>
      </c>
      <c r="M343" s="2">
        <v>3.2</v>
      </c>
      <c r="N343" s="4">
        <v>107.3627072</v>
      </c>
      <c r="O343" s="4">
        <f t="shared" si="67"/>
        <v>363.02031476427624</v>
      </c>
      <c r="P343" s="4">
        <f t="shared" si="68"/>
        <v>42.847429972761077</v>
      </c>
      <c r="Q343" s="4">
        <f t="shared" si="74"/>
        <v>108.83247213081313</v>
      </c>
      <c r="R343" s="4">
        <f t="shared" si="69"/>
        <v>164663.44075816977</v>
      </c>
      <c r="S343" s="4">
        <f t="shared" si="70"/>
        <v>395730.45123328472</v>
      </c>
      <c r="T343" s="4">
        <f t="shared" si="71"/>
        <v>1048685.6957682045</v>
      </c>
      <c r="U343" s="4">
        <f t="shared" si="75"/>
        <v>114.3</v>
      </c>
      <c r="V343" s="4">
        <v>0.19</v>
      </c>
      <c r="W343" s="4">
        <v>0</v>
      </c>
      <c r="X343" s="4" t="s">
        <v>459</v>
      </c>
      <c r="Y343" s="4">
        <f>325*0.453592</f>
        <v>147.41739999999999</v>
      </c>
      <c r="Z343" s="4">
        <f>100*0.453592</f>
        <v>45.359200000000001</v>
      </c>
      <c r="AA343" s="4">
        <f>2200*0.453592</f>
        <v>997.90239999999994</v>
      </c>
      <c r="AB343" s="4">
        <f>205*0.453592</f>
        <v>92.986360000000005</v>
      </c>
      <c r="AC343" s="4">
        <f>125*0.453592</f>
        <v>56.698999999999998</v>
      </c>
      <c r="AE343" s="4">
        <f>AVERAGE(Y343:AC343)</f>
        <v>268.07287200000002</v>
      </c>
    </row>
    <row r="344" spans="1:31" x14ac:dyDescent="0.25">
      <c r="A344" s="4" t="s">
        <v>89</v>
      </c>
      <c r="B344" s="4" t="s">
        <v>90</v>
      </c>
      <c r="C344" s="4">
        <v>3</v>
      </c>
      <c r="D344" s="4">
        <v>8</v>
      </c>
      <c r="E344" s="4">
        <f t="shared" si="66"/>
        <v>24</v>
      </c>
      <c r="F344" s="4">
        <v>23420.529180000001</v>
      </c>
      <c r="G344" s="4">
        <v>62064.402329999997</v>
      </c>
      <c r="H344" s="4">
        <v>9745.2821920000006</v>
      </c>
      <c r="I344" s="4">
        <v>9.7452821919999995</v>
      </c>
      <c r="J344" s="4">
        <v>9.7452819999999992E-3</v>
      </c>
      <c r="K344" s="4">
        <v>21.484644029999998</v>
      </c>
      <c r="L344" s="2">
        <v>0.05</v>
      </c>
      <c r="M344" s="2">
        <v>3.2</v>
      </c>
      <c r="N344" s="4">
        <v>134.1311675</v>
      </c>
      <c r="O344" s="4">
        <f t="shared" si="67"/>
        <v>410.61567727717454</v>
      </c>
      <c r="P344" s="4">
        <f t="shared" si="68"/>
        <v>44.529207347545793</v>
      </c>
      <c r="Q344" s="4">
        <f t="shared" si="74"/>
        <v>113.10418666276631</v>
      </c>
      <c r="R344" s="4">
        <f t="shared" si="69"/>
        <v>186252.3597160393</v>
      </c>
      <c r="S344" s="4">
        <f t="shared" si="70"/>
        <v>447614.4189282367</v>
      </c>
      <c r="T344" s="4">
        <f t="shared" si="71"/>
        <v>1186178.2101598273</v>
      </c>
      <c r="U344" s="4">
        <f t="shared" si="75"/>
        <v>114.3</v>
      </c>
      <c r="V344" s="4">
        <v>0.19</v>
      </c>
      <c r="W344" s="4">
        <v>0</v>
      </c>
      <c r="X344" s="4" t="s">
        <v>460</v>
      </c>
      <c r="Y344" s="4">
        <f>3.5*0.3048</f>
        <v>1.0668</v>
      </c>
      <c r="Z344" s="4">
        <f>2.15*0.3048</f>
        <v>0.65532000000000001</v>
      </c>
      <c r="AA344" s="4">
        <f>5*0.3048</f>
        <v>1.524</v>
      </c>
      <c r="AB344" s="4">
        <f>3*0.3048</f>
        <v>0.9144000000000001</v>
      </c>
      <c r="AC344" s="4">
        <f>45/12*0.3048</f>
        <v>1.143</v>
      </c>
      <c r="AE344" s="4">
        <f>AVERAGE(Y344:AC344)</f>
        <v>1.0607039999999999</v>
      </c>
    </row>
    <row r="345" spans="1:31" x14ac:dyDescent="0.25">
      <c r="A345" s="4" t="s">
        <v>89</v>
      </c>
      <c r="B345" s="4" t="s">
        <v>90</v>
      </c>
      <c r="C345" s="4">
        <v>4</v>
      </c>
      <c r="D345" s="4">
        <v>8</v>
      </c>
      <c r="E345" s="4">
        <f t="shared" si="66"/>
        <v>32</v>
      </c>
      <c r="F345" s="4">
        <v>31200</v>
      </c>
      <c r="G345" s="4">
        <v>83000</v>
      </c>
      <c r="H345" s="4">
        <v>12982.32</v>
      </c>
      <c r="I345" s="4">
        <v>12.98232</v>
      </c>
      <c r="J345" s="4">
        <v>1.298232E-2</v>
      </c>
      <c r="K345" s="4">
        <v>28.621082319999999</v>
      </c>
      <c r="L345" s="2">
        <v>0.05</v>
      </c>
      <c r="M345" s="2">
        <v>3.2</v>
      </c>
      <c r="N345" s="4">
        <v>147.5685182</v>
      </c>
      <c r="O345" s="4">
        <f t="shared" si="67"/>
        <v>421.56841489071059</v>
      </c>
      <c r="P345" s="4">
        <f t="shared" si="68"/>
        <v>44.897032050618499</v>
      </c>
      <c r="Q345" s="4">
        <f t="shared" si="74"/>
        <v>114.038461408571</v>
      </c>
      <c r="R345" s="4">
        <f t="shared" si="69"/>
        <v>191220.44383644828</v>
      </c>
      <c r="S345" s="4">
        <f t="shared" si="70"/>
        <v>459554.05872734508</v>
      </c>
      <c r="T345" s="4">
        <f t="shared" si="71"/>
        <v>1217818.2556274645</v>
      </c>
      <c r="U345" s="4">
        <f t="shared" si="75"/>
        <v>114.3</v>
      </c>
      <c r="V345" s="4">
        <v>0.19</v>
      </c>
      <c r="W345" s="4">
        <v>0</v>
      </c>
      <c r="X345" s="4" t="s">
        <v>461</v>
      </c>
      <c r="Y345" s="4">
        <v>60</v>
      </c>
    </row>
    <row r="346" spans="1:31" x14ac:dyDescent="0.25">
      <c r="A346" s="4" t="s">
        <v>89</v>
      </c>
      <c r="B346" s="4" t="s">
        <v>90</v>
      </c>
      <c r="C346" s="4">
        <v>5</v>
      </c>
      <c r="D346" s="4">
        <v>8</v>
      </c>
      <c r="E346" s="4">
        <f t="shared" si="66"/>
        <v>40</v>
      </c>
      <c r="F346" s="4">
        <v>40855</v>
      </c>
      <c r="G346" s="4">
        <v>109000</v>
      </c>
      <c r="H346" s="4">
        <v>16999.765500000001</v>
      </c>
      <c r="I346" s="4">
        <v>16.999765499999999</v>
      </c>
      <c r="J346" s="4">
        <v>1.6999765999999999E-2</v>
      </c>
      <c r="K346" s="4">
        <v>37.478023020000002</v>
      </c>
      <c r="L346" s="2">
        <v>0.05</v>
      </c>
      <c r="M346" s="2">
        <v>3.2</v>
      </c>
      <c r="N346" s="4">
        <v>161.4254301</v>
      </c>
      <c r="O346" s="4">
        <f t="shared" si="67"/>
        <v>423.99038879103455</v>
      </c>
      <c r="P346" s="4">
        <f t="shared" si="68"/>
        <v>44.977479685495176</v>
      </c>
      <c r="Q346" s="4">
        <f t="shared" si="74"/>
        <v>114.24279840115774</v>
      </c>
      <c r="R346" s="4">
        <f t="shared" si="69"/>
        <v>192319.0340244734</v>
      </c>
      <c r="S346" s="4">
        <f t="shared" si="70"/>
        <v>462194.26586030622</v>
      </c>
      <c r="T346" s="4">
        <f t="shared" si="71"/>
        <v>1224814.8045298115</v>
      </c>
      <c r="U346" s="4">
        <f t="shared" si="75"/>
        <v>114.3</v>
      </c>
      <c r="V346" s="4">
        <v>0.19</v>
      </c>
      <c r="W346" s="4">
        <v>0</v>
      </c>
      <c r="X346" s="4" t="s">
        <v>470</v>
      </c>
    </row>
    <row r="347" spans="1:31" x14ac:dyDescent="0.25">
      <c r="A347" s="4" t="s">
        <v>89</v>
      </c>
      <c r="B347" s="4" t="s">
        <v>90</v>
      </c>
      <c r="C347" s="4">
        <v>6</v>
      </c>
      <c r="D347" s="4">
        <v>8</v>
      </c>
      <c r="E347" s="4">
        <f t="shared" si="66"/>
        <v>48</v>
      </c>
      <c r="F347" s="4">
        <v>48000</v>
      </c>
      <c r="G347" s="4">
        <v>127000</v>
      </c>
      <c r="H347" s="4">
        <v>19972.8</v>
      </c>
      <c r="I347" s="4">
        <v>19.972799999999999</v>
      </c>
      <c r="J347" s="4">
        <v>1.9972799999999999E-2</v>
      </c>
      <c r="K347" s="4">
        <v>44.032434340000002</v>
      </c>
      <c r="L347" s="2">
        <v>0.05</v>
      </c>
      <c r="M347" s="2">
        <v>3.2</v>
      </c>
      <c r="N347" s="4">
        <v>170.3228407</v>
      </c>
      <c r="O347" s="4">
        <f t="shared" si="67"/>
        <v>424.5213752100255</v>
      </c>
      <c r="P347" s="4">
        <f t="shared" si="68"/>
        <v>44.995074539519891</v>
      </c>
      <c r="Q347" s="4">
        <f t="shared" si="74"/>
        <v>114.28748933038052</v>
      </c>
      <c r="R347" s="4">
        <f t="shared" si="69"/>
        <v>192559.88569913432</v>
      </c>
      <c r="S347" s="4">
        <f t="shared" si="70"/>
        <v>462773.09708996472</v>
      </c>
      <c r="T347" s="4">
        <f t="shared" si="71"/>
        <v>1226348.7072884066</v>
      </c>
      <c r="U347" s="4">
        <f t="shared" si="75"/>
        <v>114.3</v>
      </c>
      <c r="V347" s="4">
        <v>0.19</v>
      </c>
      <c r="W347" s="4">
        <v>0</v>
      </c>
    </row>
    <row r="348" spans="1:31" x14ac:dyDescent="0.25">
      <c r="A348" s="4" t="s">
        <v>89</v>
      </c>
      <c r="B348" s="4" t="s">
        <v>90</v>
      </c>
      <c r="C348" s="4">
        <v>7</v>
      </c>
      <c r="D348" s="4">
        <v>8</v>
      </c>
      <c r="E348" s="4">
        <f t="shared" si="66"/>
        <v>56</v>
      </c>
      <c r="F348" s="4">
        <v>60000</v>
      </c>
      <c r="G348" s="4">
        <v>160000</v>
      </c>
      <c r="H348" s="4">
        <v>24966</v>
      </c>
      <c r="I348" s="4">
        <v>24.966000000000001</v>
      </c>
      <c r="J348" s="4">
        <v>2.4965999999999999E-2</v>
      </c>
      <c r="K348" s="4">
        <v>55.04054292</v>
      </c>
      <c r="L348" s="2">
        <v>0.05</v>
      </c>
      <c r="M348" s="2">
        <v>3.2</v>
      </c>
      <c r="N348" s="4">
        <v>183.45654730000001</v>
      </c>
      <c r="O348" s="4">
        <f t="shared" si="67"/>
        <v>424.63756914980235</v>
      </c>
      <c r="P348" s="4">
        <f t="shared" si="68"/>
        <v>44.998922743244279</v>
      </c>
      <c r="Q348" s="4">
        <f t="shared" si="74"/>
        <v>114.29726376784048</v>
      </c>
      <c r="R348" s="4">
        <f t="shared" si="69"/>
        <v>192612.59044633649</v>
      </c>
      <c r="S348" s="4">
        <f t="shared" si="70"/>
        <v>462899.76074582187</v>
      </c>
      <c r="T348" s="4">
        <f t="shared" si="71"/>
        <v>1226684.3659764279</v>
      </c>
      <c r="U348" s="4">
        <f t="shared" si="75"/>
        <v>114.3</v>
      </c>
      <c r="V348" s="4">
        <v>0.19</v>
      </c>
      <c r="W348" s="4">
        <v>0</v>
      </c>
      <c r="X348" s="4" t="s">
        <v>434</v>
      </c>
      <c r="Y348" s="7" t="s">
        <v>663</v>
      </c>
      <c r="Z348" s="7" t="s">
        <v>664</v>
      </c>
      <c r="AB348" s="7" t="s">
        <v>665</v>
      </c>
      <c r="AC348" s="4" t="s">
        <v>666</v>
      </c>
    </row>
    <row r="349" spans="1:31" x14ac:dyDescent="0.25">
      <c r="A349" s="4" t="s">
        <v>89</v>
      </c>
      <c r="B349" s="4" t="s">
        <v>90</v>
      </c>
      <c r="C349" s="4">
        <v>8</v>
      </c>
      <c r="D349" s="4">
        <v>8</v>
      </c>
      <c r="E349" s="4">
        <f t="shared" si="66"/>
        <v>64</v>
      </c>
      <c r="F349" s="4">
        <v>72000</v>
      </c>
      <c r="G349" s="4">
        <v>191000</v>
      </c>
      <c r="H349" s="4">
        <v>29959.200000000001</v>
      </c>
      <c r="I349" s="4">
        <v>29.959199999999999</v>
      </c>
      <c r="J349" s="4">
        <v>2.9959199999999998E-2</v>
      </c>
      <c r="K349" s="4">
        <v>66.048651500000005</v>
      </c>
      <c r="L349" s="2">
        <v>0.05</v>
      </c>
      <c r="M349" s="2">
        <v>3.2</v>
      </c>
      <c r="N349" s="4">
        <v>194.93589650000001</v>
      </c>
      <c r="O349" s="4">
        <f t="shared" si="67"/>
        <v>424.66298505925596</v>
      </c>
      <c r="P349" s="4">
        <f t="shared" si="68"/>
        <v>44.999764391142229</v>
      </c>
      <c r="Q349" s="4">
        <f t="shared" si="74"/>
        <v>114.29940155350126</v>
      </c>
      <c r="R349" s="4">
        <f t="shared" si="69"/>
        <v>192624.11892265151</v>
      </c>
      <c r="S349" s="4">
        <f t="shared" si="70"/>
        <v>462927.46676916967</v>
      </c>
      <c r="T349" s="4">
        <f t="shared" si="71"/>
        <v>1226757.7869382997</v>
      </c>
      <c r="U349" s="4">
        <f t="shared" si="75"/>
        <v>114.3</v>
      </c>
      <c r="V349" s="4">
        <v>0.19</v>
      </c>
      <c r="W349" s="4">
        <v>0</v>
      </c>
    </row>
    <row r="350" spans="1:31" x14ac:dyDescent="0.25">
      <c r="A350" s="4" t="s">
        <v>89</v>
      </c>
      <c r="B350" s="4" t="s">
        <v>90</v>
      </c>
      <c r="C350" s="4">
        <v>9</v>
      </c>
      <c r="D350" s="4">
        <v>8</v>
      </c>
      <c r="E350" s="4">
        <f t="shared" si="66"/>
        <v>72</v>
      </c>
      <c r="F350" s="4">
        <v>84000</v>
      </c>
      <c r="G350" s="4">
        <v>223000</v>
      </c>
      <c r="H350" s="4">
        <v>34952.400000000001</v>
      </c>
      <c r="I350" s="4">
        <v>34.952399999999997</v>
      </c>
      <c r="J350" s="4">
        <v>3.4952400000000002E-2</v>
      </c>
      <c r="K350" s="4">
        <v>77.056760089999997</v>
      </c>
      <c r="L350" s="2">
        <v>0.05</v>
      </c>
      <c r="M350" s="2">
        <v>3.2</v>
      </c>
      <c r="N350" s="4">
        <v>205.2001631</v>
      </c>
      <c r="O350" s="4">
        <f t="shared" si="67"/>
        <v>424.66854396014895</v>
      </c>
      <c r="P350" s="4">
        <f t="shared" si="68"/>
        <v>44.999948469542133</v>
      </c>
      <c r="Q350" s="4">
        <f t="shared" si="74"/>
        <v>114.29986911263701</v>
      </c>
      <c r="R350" s="4">
        <f t="shared" si="69"/>
        <v>192626.64040068083</v>
      </c>
      <c r="S350" s="4">
        <f t="shared" si="70"/>
        <v>462933.52655775257</v>
      </c>
      <c r="T350" s="4">
        <f t="shared" si="71"/>
        <v>1226773.8453780443</v>
      </c>
      <c r="U350" s="4">
        <f t="shared" si="75"/>
        <v>114.3</v>
      </c>
      <c r="V350" s="4">
        <v>0.19</v>
      </c>
      <c r="W350" s="4">
        <v>0</v>
      </c>
    </row>
    <row r="351" spans="1:31" x14ac:dyDescent="0.25">
      <c r="A351" s="4" t="s">
        <v>89</v>
      </c>
      <c r="B351" s="4" t="s">
        <v>90</v>
      </c>
      <c r="C351" s="4">
        <v>10</v>
      </c>
      <c r="D351" s="4">
        <v>8</v>
      </c>
      <c r="E351" s="4">
        <f t="shared" si="66"/>
        <v>80</v>
      </c>
      <c r="F351" s="4">
        <v>100000</v>
      </c>
      <c r="G351" s="4">
        <v>265000</v>
      </c>
      <c r="H351" s="4">
        <v>41610</v>
      </c>
      <c r="I351" s="4">
        <v>41.61</v>
      </c>
      <c r="J351" s="4">
        <v>4.1610000000000001E-2</v>
      </c>
      <c r="K351" s="4">
        <v>91.734238199999993</v>
      </c>
      <c r="L351" s="2">
        <v>0.05</v>
      </c>
      <c r="M351" s="2">
        <v>3.2</v>
      </c>
      <c r="N351" s="4">
        <v>217.4624772</v>
      </c>
      <c r="O351" s="4">
        <f t="shared" si="67"/>
        <v>424.6697597645209</v>
      </c>
      <c r="P351" s="4">
        <f t="shared" si="68"/>
        <v>44.999988729676325</v>
      </c>
      <c r="Q351" s="4">
        <f t="shared" si="74"/>
        <v>114.29997137337786</v>
      </c>
      <c r="R351" s="4">
        <f t="shared" si="69"/>
        <v>192627.1918809232</v>
      </c>
      <c r="S351" s="4">
        <f t="shared" si="70"/>
        <v>462934.85191281704</v>
      </c>
      <c r="T351" s="4">
        <f t="shared" si="71"/>
        <v>1226777.3575689651</v>
      </c>
      <c r="U351" s="4">
        <f t="shared" si="75"/>
        <v>114.3</v>
      </c>
      <c r="V351" s="4">
        <v>0.19</v>
      </c>
      <c r="W351" s="4">
        <v>0</v>
      </c>
    </row>
    <row r="352" spans="1:31" x14ac:dyDescent="0.25">
      <c r="A352" s="4" t="s">
        <v>91</v>
      </c>
      <c r="B352" s="4" t="s">
        <v>92</v>
      </c>
      <c r="C352" s="4">
        <v>1</v>
      </c>
      <c r="D352" s="4">
        <v>2</v>
      </c>
      <c r="E352" s="4">
        <f t="shared" si="66"/>
        <v>2</v>
      </c>
      <c r="F352" s="4">
        <v>127.5414564</v>
      </c>
      <c r="G352" s="4">
        <v>337.98485950000003</v>
      </c>
      <c r="H352" s="4">
        <v>53.070000010000001</v>
      </c>
      <c r="I352" s="4">
        <v>5.3069999999999999E-2</v>
      </c>
      <c r="J352" s="4">
        <v>5.3100000000000003E-5</v>
      </c>
      <c r="K352" s="4">
        <v>0.11699918300000001</v>
      </c>
      <c r="L352" s="4">
        <v>1.2999999999999999E-2</v>
      </c>
      <c r="M352" s="4">
        <v>3</v>
      </c>
      <c r="N352" s="4">
        <v>15.982151569999999</v>
      </c>
      <c r="O352" s="4">
        <f t="shared" si="67"/>
        <v>0.19756004126940679</v>
      </c>
      <c r="P352" s="4">
        <f t="shared" si="68"/>
        <v>7.4927335296914102</v>
      </c>
      <c r="Q352" s="4">
        <f t="shared" si="74"/>
        <v>19.031543165416181</v>
      </c>
      <c r="R352" s="4">
        <f t="shared" si="69"/>
        <v>89.611833907615278</v>
      </c>
      <c r="S352" s="4">
        <f t="shared" si="70"/>
        <v>215.36129273639818</v>
      </c>
      <c r="T352" s="4">
        <f t="shared" si="71"/>
        <v>570.70742575145516</v>
      </c>
      <c r="U352" s="4">
        <v>60.2</v>
      </c>
      <c r="V352" s="4">
        <v>0.19</v>
      </c>
      <c r="W352" s="4">
        <v>0</v>
      </c>
      <c r="Y352" s="4" t="s">
        <v>667</v>
      </c>
    </row>
    <row r="353" spans="1:27" x14ac:dyDescent="0.25">
      <c r="A353" s="4" t="s">
        <v>91</v>
      </c>
      <c r="B353" s="4" t="s">
        <v>92</v>
      </c>
      <c r="C353" s="4">
        <v>2</v>
      </c>
      <c r="D353" s="4">
        <v>2</v>
      </c>
      <c r="E353" s="4">
        <f t="shared" si="66"/>
        <v>4</v>
      </c>
      <c r="F353" s="4">
        <v>347.4885845</v>
      </c>
      <c r="G353" s="4">
        <v>920.84474890000001</v>
      </c>
      <c r="H353" s="4">
        <v>144.59</v>
      </c>
      <c r="I353" s="4">
        <v>0.14459</v>
      </c>
      <c r="J353" s="4">
        <v>1.4459E-4</v>
      </c>
      <c r="K353" s="4">
        <v>0.31876600599999999</v>
      </c>
      <c r="L353" s="4">
        <v>1.2999999999999999E-2</v>
      </c>
      <c r="M353" s="4">
        <v>3</v>
      </c>
      <c r="N353" s="4">
        <v>22.321924509999999</v>
      </c>
      <c r="O353" s="4">
        <f t="shared" si="67"/>
        <v>0.94323116095900128</v>
      </c>
      <c r="P353" s="4">
        <f t="shared" si="68"/>
        <v>12.616724840158845</v>
      </c>
      <c r="Q353" s="4">
        <f t="shared" si="74"/>
        <v>32.046481094003468</v>
      </c>
      <c r="R353" s="4">
        <f t="shared" si="69"/>
        <v>427.84296656974954</v>
      </c>
      <c r="S353" s="4">
        <f t="shared" si="70"/>
        <v>1028.2215010087707</v>
      </c>
      <c r="T353" s="4">
        <f t="shared" si="71"/>
        <v>2724.7869776732423</v>
      </c>
      <c r="U353" s="4">
        <v>60.2</v>
      </c>
      <c r="V353" s="4">
        <v>0.19</v>
      </c>
      <c r="W353" s="4">
        <v>0</v>
      </c>
    </row>
    <row r="354" spans="1:27" x14ac:dyDescent="0.25">
      <c r="A354" s="4" t="s">
        <v>91</v>
      </c>
      <c r="B354" s="4" t="s">
        <v>92</v>
      </c>
      <c r="C354" s="4">
        <v>3</v>
      </c>
      <c r="D354" s="4">
        <v>2</v>
      </c>
      <c r="E354" s="4">
        <f t="shared" si="66"/>
        <v>6</v>
      </c>
      <c r="F354" s="4">
        <v>732.42009129999997</v>
      </c>
      <c r="G354" s="4">
        <v>1940.9132420000001</v>
      </c>
      <c r="H354" s="4">
        <v>304.76</v>
      </c>
      <c r="I354" s="4">
        <v>0.30475999999999998</v>
      </c>
      <c r="J354" s="4">
        <v>3.0476E-4</v>
      </c>
      <c r="K354" s="4">
        <v>0.67187999099999995</v>
      </c>
      <c r="L354" s="4">
        <v>1.2999999999999999E-2</v>
      </c>
      <c r="M354" s="4">
        <v>3</v>
      </c>
      <c r="N354" s="4">
        <v>28.620125739999999</v>
      </c>
      <c r="O354" s="4">
        <f t="shared" si="67"/>
        <v>1.9676145080457663</v>
      </c>
      <c r="P354" s="4">
        <f t="shared" si="68"/>
        <v>16.120824758526972</v>
      </c>
      <c r="Q354" s="4">
        <f t="shared" si="74"/>
        <v>40.946894886658512</v>
      </c>
      <c r="R354" s="4">
        <f t="shared" si="69"/>
        <v>892.49598935225401</v>
      </c>
      <c r="S354" s="4">
        <f t="shared" si="70"/>
        <v>2144.9074485754722</v>
      </c>
      <c r="T354" s="4">
        <f t="shared" si="71"/>
        <v>5684.0047387250015</v>
      </c>
      <c r="U354" s="4">
        <v>60.2</v>
      </c>
      <c r="V354" s="4">
        <v>0.19</v>
      </c>
      <c r="W354" s="4">
        <v>0</v>
      </c>
    </row>
    <row r="355" spans="1:27" x14ac:dyDescent="0.25">
      <c r="A355" s="4" t="s">
        <v>91</v>
      </c>
      <c r="B355" s="4" t="s">
        <v>92</v>
      </c>
      <c r="C355" s="4">
        <v>4</v>
      </c>
      <c r="D355" s="4">
        <v>2</v>
      </c>
      <c r="E355" s="4">
        <f t="shared" si="66"/>
        <v>8</v>
      </c>
      <c r="F355" s="4">
        <v>1115.2006730000001</v>
      </c>
      <c r="G355" s="4">
        <v>2955.281782</v>
      </c>
      <c r="H355" s="4">
        <v>464.03500000000003</v>
      </c>
      <c r="I355" s="4">
        <v>0.46403499999999998</v>
      </c>
      <c r="J355" s="4">
        <v>4.6403500000000001E-4</v>
      </c>
      <c r="K355" s="4">
        <v>1.023020842</v>
      </c>
      <c r="L355" s="4">
        <v>1.2999999999999999E-2</v>
      </c>
      <c r="M355" s="4">
        <v>3</v>
      </c>
      <c r="N355" s="4">
        <v>32.925759030000002</v>
      </c>
      <c r="O355" s="4">
        <f t="shared" si="67"/>
        <v>2.9819490538137954</v>
      </c>
      <c r="P355" s="4">
        <f t="shared" si="68"/>
        <v>18.517143466723102</v>
      </c>
      <c r="Q355" s="4">
        <f t="shared" si="74"/>
        <v>47.033544405476675</v>
      </c>
      <c r="R355" s="4">
        <f t="shared" si="69"/>
        <v>1352.5909471082523</v>
      </c>
      <c r="S355" s="4">
        <f t="shared" si="70"/>
        <v>3250.6391422933243</v>
      </c>
      <c r="T355" s="4">
        <f t="shared" si="71"/>
        <v>8614.1937270773087</v>
      </c>
      <c r="U355" s="4">
        <v>60.2</v>
      </c>
      <c r="V355" s="4">
        <v>0.19</v>
      </c>
      <c r="W355" s="4">
        <v>0</v>
      </c>
    </row>
    <row r="356" spans="1:27" x14ac:dyDescent="0.25">
      <c r="A356" s="4" t="s">
        <v>91</v>
      </c>
      <c r="B356" s="4" t="s">
        <v>92</v>
      </c>
      <c r="C356" s="4">
        <v>5</v>
      </c>
      <c r="D356" s="4">
        <v>2</v>
      </c>
      <c r="E356" s="4">
        <f t="shared" si="66"/>
        <v>10</v>
      </c>
      <c r="F356" s="4">
        <v>1550.4325879999999</v>
      </c>
      <c r="G356" s="4">
        <v>4108.6463590000003</v>
      </c>
      <c r="H356" s="4">
        <v>645.13499990000003</v>
      </c>
      <c r="I356" s="4">
        <v>0.64513500000000001</v>
      </c>
      <c r="J356" s="4">
        <v>6.4513500000000002E-4</v>
      </c>
      <c r="K356" s="4">
        <v>1.422277523</v>
      </c>
      <c r="L356" s="4">
        <v>1.2999999999999999E-2</v>
      </c>
      <c r="M356" s="4">
        <v>3</v>
      </c>
      <c r="N356" s="4">
        <v>36.748172850000003</v>
      </c>
      <c r="O356" s="4">
        <f t="shared" si="67"/>
        <v>3.8457796820652996</v>
      </c>
      <c r="P356" s="4">
        <f t="shared" si="68"/>
        <v>20.155893355432035</v>
      </c>
      <c r="Q356" s="4">
        <f t="shared" si="74"/>
        <v>51.195969122797372</v>
      </c>
      <c r="R356" s="4">
        <f t="shared" si="69"/>
        <v>1744.4183950364686</v>
      </c>
      <c r="S356" s="4">
        <f t="shared" si="70"/>
        <v>4192.3056838175162</v>
      </c>
      <c r="T356" s="4">
        <f t="shared" si="71"/>
        <v>11109.610062116417</v>
      </c>
      <c r="U356" s="4">
        <v>60.2</v>
      </c>
      <c r="V356" s="4">
        <v>0.19</v>
      </c>
      <c r="W356" s="4">
        <v>0</v>
      </c>
    </row>
    <row r="357" spans="1:27" x14ac:dyDescent="0.25">
      <c r="A357" s="4" t="s">
        <v>91</v>
      </c>
      <c r="B357" s="4" t="s">
        <v>92</v>
      </c>
      <c r="C357" s="4">
        <v>6</v>
      </c>
      <c r="D357" s="4">
        <v>2</v>
      </c>
      <c r="E357" s="4">
        <f t="shared" si="66"/>
        <v>12</v>
      </c>
      <c r="F357" s="4">
        <v>1976.4359529999999</v>
      </c>
      <c r="G357" s="4">
        <v>5237.5552749999997</v>
      </c>
      <c r="H357" s="4">
        <v>822.39499999999998</v>
      </c>
      <c r="I357" s="4">
        <v>0.82239499999999999</v>
      </c>
      <c r="J357" s="4">
        <v>8.2239499999999996E-4</v>
      </c>
      <c r="K357" s="4">
        <v>1.813068465</v>
      </c>
      <c r="L357" s="4">
        <v>1.2999999999999999E-2</v>
      </c>
      <c r="M357" s="4">
        <v>3</v>
      </c>
      <c r="N357" s="4">
        <v>39.845477559999999</v>
      </c>
      <c r="O357" s="4">
        <f t="shared" si="67"/>
        <v>4.5235892786819099</v>
      </c>
      <c r="P357" s="4">
        <f t="shared" si="68"/>
        <v>21.276571163671122</v>
      </c>
      <c r="Q357" s="4">
        <f t="shared" si="74"/>
        <v>54.04249075572465</v>
      </c>
      <c r="R357" s="4">
        <f t="shared" si="69"/>
        <v>2051.8680220091942</v>
      </c>
      <c r="S357" s="4">
        <f t="shared" si="70"/>
        <v>4931.1896707743199</v>
      </c>
      <c r="T357" s="4">
        <f t="shared" si="71"/>
        <v>13067.652627551948</v>
      </c>
      <c r="U357" s="4">
        <v>60.2</v>
      </c>
      <c r="V357" s="4">
        <v>0.19</v>
      </c>
      <c r="W357" s="4">
        <v>0</v>
      </c>
    </row>
    <row r="358" spans="1:27" x14ac:dyDescent="0.25">
      <c r="A358" s="4" t="s">
        <v>91</v>
      </c>
      <c r="B358" s="4" t="s">
        <v>92</v>
      </c>
      <c r="C358" s="4">
        <v>7</v>
      </c>
      <c r="D358" s="4">
        <v>2</v>
      </c>
      <c r="E358" s="4">
        <f t="shared" si="66"/>
        <v>14</v>
      </c>
      <c r="F358" s="4">
        <v>2275.6669069999998</v>
      </c>
      <c r="G358" s="4">
        <v>6030.517304</v>
      </c>
      <c r="H358" s="4">
        <v>946.90499999999997</v>
      </c>
      <c r="I358" s="4">
        <v>0.946905</v>
      </c>
      <c r="J358" s="4">
        <v>9.4690499999999995E-4</v>
      </c>
      <c r="K358" s="4">
        <v>2.0875657009999999</v>
      </c>
      <c r="L358" s="4">
        <v>1.2999999999999999E-2</v>
      </c>
      <c r="M358" s="4">
        <v>3</v>
      </c>
      <c r="N358" s="4">
        <v>41.76261512</v>
      </c>
      <c r="O358" s="4">
        <f t="shared" si="67"/>
        <v>5.0302312558060329</v>
      </c>
      <c r="P358" s="4">
        <f t="shared" si="68"/>
        <v>22.042959468886515</v>
      </c>
      <c r="Q358" s="4">
        <f t="shared" si="74"/>
        <v>55.98911705097175</v>
      </c>
      <c r="R358" s="4">
        <f t="shared" si="69"/>
        <v>2281.67723045515</v>
      </c>
      <c r="S358" s="4">
        <f t="shared" si="70"/>
        <v>5483.4828898225187</v>
      </c>
      <c r="T358" s="4">
        <f t="shared" si="71"/>
        <v>14531.229658029673</v>
      </c>
      <c r="U358" s="4">
        <v>60.2</v>
      </c>
      <c r="V358" s="4">
        <v>0.19</v>
      </c>
      <c r="W358" s="4">
        <v>0</v>
      </c>
    </row>
    <row r="359" spans="1:27" x14ac:dyDescent="0.25">
      <c r="A359" s="4" t="s">
        <v>91</v>
      </c>
      <c r="B359" s="4" t="s">
        <v>92</v>
      </c>
      <c r="C359" s="4">
        <v>8</v>
      </c>
      <c r="D359" s="4">
        <v>2</v>
      </c>
      <c r="E359" s="4">
        <f t="shared" si="66"/>
        <v>16</v>
      </c>
      <c r="F359" s="4">
        <v>2451.3338140000001</v>
      </c>
      <c r="G359" s="4">
        <v>6496.0346079999999</v>
      </c>
      <c r="H359" s="4">
        <v>1020</v>
      </c>
      <c r="I359" s="4">
        <v>1.02</v>
      </c>
      <c r="J359" s="4">
        <v>1.0200000000000001E-3</v>
      </c>
      <c r="K359" s="4">
        <v>2.2487124000000001</v>
      </c>
      <c r="L359" s="4">
        <v>1.2999999999999999E-2</v>
      </c>
      <c r="M359" s="4">
        <v>3</v>
      </c>
      <c r="N359" s="4">
        <v>42.810694490000003</v>
      </c>
      <c r="O359" s="4">
        <f t="shared" si="67"/>
        <v>5.3976331040455872</v>
      </c>
      <c r="P359" s="4">
        <f t="shared" si="68"/>
        <v>22.567062855294985</v>
      </c>
      <c r="Q359" s="4">
        <f t="shared" si="74"/>
        <v>57.320339652449263</v>
      </c>
      <c r="R359" s="4">
        <f t="shared" si="69"/>
        <v>2448.3281037301608</v>
      </c>
      <c r="S359" s="4">
        <f t="shared" si="70"/>
        <v>5883.9896749102645</v>
      </c>
      <c r="T359" s="4">
        <f t="shared" si="71"/>
        <v>15592.5726385122</v>
      </c>
      <c r="U359" s="4">
        <v>60.2</v>
      </c>
      <c r="V359" s="4">
        <v>0.19</v>
      </c>
      <c r="W359" s="4">
        <v>0</v>
      </c>
    </row>
    <row r="360" spans="1:27" x14ac:dyDescent="0.25">
      <c r="A360" s="4" t="s">
        <v>91</v>
      </c>
      <c r="B360" s="4" t="s">
        <v>92</v>
      </c>
      <c r="C360" s="4">
        <v>9</v>
      </c>
      <c r="D360" s="4">
        <v>2</v>
      </c>
      <c r="E360" s="4">
        <f t="shared" si="66"/>
        <v>18</v>
      </c>
      <c r="F360" s="4">
        <v>2643.5952900000002</v>
      </c>
      <c r="G360" s="4">
        <v>7005.5275179999999</v>
      </c>
      <c r="H360" s="4">
        <v>1100</v>
      </c>
      <c r="I360" s="4">
        <v>1.1000000000000001</v>
      </c>
      <c r="J360" s="4">
        <v>1.1000000000000001E-3</v>
      </c>
      <c r="K360" s="4">
        <v>2.4250820000000002</v>
      </c>
      <c r="L360" s="4">
        <v>1.2999999999999999E-2</v>
      </c>
      <c r="M360" s="4">
        <v>3</v>
      </c>
      <c r="N360" s="4">
        <v>43.901879260000001</v>
      </c>
      <c r="O360" s="4">
        <f t="shared" si="67"/>
        <v>5.658917770664913</v>
      </c>
      <c r="P360" s="4">
        <f t="shared" si="68"/>
        <v>22.925476935697247</v>
      </c>
      <c r="Q360" s="4">
        <f t="shared" si="74"/>
        <v>58.230711416671014</v>
      </c>
      <c r="R360" s="4">
        <f t="shared" si="69"/>
        <v>2566.8449758529418</v>
      </c>
      <c r="S360" s="4">
        <f t="shared" si="70"/>
        <v>6168.8175338931551</v>
      </c>
      <c r="T360" s="4">
        <f t="shared" si="71"/>
        <v>16347.36646481686</v>
      </c>
      <c r="U360" s="4">
        <v>60.2</v>
      </c>
      <c r="V360" s="4">
        <v>0.19</v>
      </c>
      <c r="W360" s="4">
        <v>0</v>
      </c>
    </row>
    <row r="361" spans="1:27" x14ac:dyDescent="0.25">
      <c r="A361" s="4" t="s">
        <v>91</v>
      </c>
      <c r="B361" s="4" t="s">
        <v>92</v>
      </c>
      <c r="C361" s="4">
        <v>10</v>
      </c>
      <c r="D361" s="4">
        <v>2</v>
      </c>
      <c r="E361" s="4">
        <f t="shared" si="66"/>
        <v>20</v>
      </c>
      <c r="F361" s="4">
        <v>3076.18361</v>
      </c>
      <c r="G361" s="4">
        <v>8151.8865660000001</v>
      </c>
      <c r="H361" s="4">
        <v>1280</v>
      </c>
      <c r="I361" s="4">
        <v>1.28</v>
      </c>
      <c r="J361" s="4">
        <v>1.2800000000000001E-3</v>
      </c>
      <c r="K361" s="4">
        <v>2.8219135999999998</v>
      </c>
      <c r="L361" s="4">
        <v>1.2999999999999999E-2</v>
      </c>
      <c r="M361" s="4">
        <v>3</v>
      </c>
      <c r="N361" s="4">
        <v>46.176626929999998</v>
      </c>
      <c r="O361" s="4">
        <f t="shared" si="67"/>
        <v>5.8423705783111286</v>
      </c>
      <c r="P361" s="4">
        <f t="shared" si="68"/>
        <v>23.170582493802691</v>
      </c>
      <c r="Q361" s="4">
        <f t="shared" si="74"/>
        <v>58.853279534258832</v>
      </c>
      <c r="R361" s="4">
        <f t="shared" si="69"/>
        <v>2650.0578686173258</v>
      </c>
      <c r="S361" s="4">
        <f t="shared" si="70"/>
        <v>6368.8004532980667</v>
      </c>
      <c r="T361" s="4">
        <f t="shared" si="71"/>
        <v>16877.321201239876</v>
      </c>
      <c r="U361" s="4">
        <v>60.2</v>
      </c>
      <c r="V361" s="4">
        <v>0.19</v>
      </c>
      <c r="W361" s="4">
        <v>0</v>
      </c>
      <c r="Y361" s="4" t="s">
        <v>668</v>
      </c>
    </row>
    <row r="362" spans="1:27" x14ac:dyDescent="0.25">
      <c r="A362" s="4" t="s">
        <v>93</v>
      </c>
      <c r="B362" s="4" t="s">
        <v>94</v>
      </c>
      <c r="C362" s="4">
        <v>1</v>
      </c>
      <c r="D362" s="4">
        <v>9</v>
      </c>
      <c r="E362" s="4">
        <f t="shared" si="66"/>
        <v>9</v>
      </c>
      <c r="F362" s="4">
        <v>1513105530</v>
      </c>
      <c r="G362" s="4">
        <v>4009729654</v>
      </c>
      <c r="H362" s="4">
        <v>629603211</v>
      </c>
      <c r="I362" s="4">
        <v>629603.21100000001</v>
      </c>
      <c r="J362" s="4">
        <v>629.60321099999999</v>
      </c>
      <c r="K362" s="4">
        <v>1388035.831</v>
      </c>
      <c r="L362" s="2">
        <v>1.7000000000000001E-2</v>
      </c>
      <c r="M362" s="4">
        <v>3</v>
      </c>
      <c r="N362" s="4">
        <v>1465.5893920000001</v>
      </c>
      <c r="O362" s="4">
        <f t="shared" si="67"/>
        <v>106837.91257608611</v>
      </c>
      <c r="P362" s="4">
        <f t="shared" si="68"/>
        <v>558.23088387339669</v>
      </c>
      <c r="Q362" s="4">
        <f t="shared" si="74"/>
        <v>1417.9064450384276</v>
      </c>
      <c r="R362" s="2">
        <f t="shared" si="69"/>
        <v>48460919.603417419</v>
      </c>
      <c r="S362" s="2">
        <f t="shared" si="70"/>
        <v>116464598.9027095</v>
      </c>
      <c r="T362" s="2">
        <f t="shared" si="71"/>
        <v>308631187.09218013</v>
      </c>
      <c r="U362" s="4">
        <f t="shared" ref="U362:U371" si="76">$Y$363*100</f>
        <v>1584.96</v>
      </c>
      <c r="V362" s="2">
        <v>0.25</v>
      </c>
      <c r="W362" s="4">
        <v>0</v>
      </c>
      <c r="X362" s="4" t="s">
        <v>459</v>
      </c>
      <c r="Y362" s="4">
        <f>70*907.185</f>
        <v>63502.95</v>
      </c>
      <c r="Z362" s="4">
        <f>Y362*0.001</f>
        <v>63.502949999999998</v>
      </c>
      <c r="AA362" s="4">
        <f>R362*0.000001</f>
        <v>48.460919603417416</v>
      </c>
    </row>
    <row r="363" spans="1:27" x14ac:dyDescent="0.25">
      <c r="A363" s="4" t="s">
        <v>93</v>
      </c>
      <c r="B363" s="4" t="s">
        <v>94</v>
      </c>
      <c r="C363" s="4">
        <v>2</v>
      </c>
      <c r="D363" s="4">
        <v>9</v>
      </c>
      <c r="E363" s="4">
        <f t="shared" si="66"/>
        <v>18</v>
      </c>
      <c r="F363" s="4">
        <v>1762470683</v>
      </c>
      <c r="G363" s="4">
        <v>4670547309</v>
      </c>
      <c r="H363" s="4">
        <v>733364051.20000005</v>
      </c>
      <c r="I363" s="4">
        <v>733364.05119999999</v>
      </c>
      <c r="J363" s="4">
        <v>733.36405119999995</v>
      </c>
      <c r="K363" s="4">
        <v>1616789.0549999999</v>
      </c>
      <c r="L363" s="2">
        <v>1.7000000000000001E-2</v>
      </c>
      <c r="M363" s="4">
        <v>3</v>
      </c>
      <c r="N363" s="4">
        <v>1542.0432000000001</v>
      </c>
      <c r="O363" s="4">
        <f t="shared" si="67"/>
        <v>144305.4923315148</v>
      </c>
      <c r="P363" s="4">
        <f t="shared" si="68"/>
        <v>617.0679861601368</v>
      </c>
      <c r="Q363" s="4">
        <f t="shared" si="74"/>
        <v>1567.3526848467475</v>
      </c>
      <c r="R363" s="2">
        <f t="shared" si="69"/>
        <v>65455948.114194192</v>
      </c>
      <c r="S363" s="2">
        <f t="shared" si="70"/>
        <v>157308214.64598462</v>
      </c>
      <c r="T363" s="2">
        <f t="shared" si="71"/>
        <v>416866768.81185925</v>
      </c>
      <c r="U363" s="4">
        <f t="shared" si="76"/>
        <v>1584.96</v>
      </c>
      <c r="V363" s="2">
        <v>0.25</v>
      </c>
      <c r="W363" s="4">
        <v>0</v>
      </c>
      <c r="X363" s="4" t="s">
        <v>460</v>
      </c>
      <c r="Y363" s="4">
        <f>52*0.3048</f>
        <v>15.849600000000001</v>
      </c>
      <c r="AA363" s="4">
        <f>R363*0.000001</f>
        <v>65.455948114194186</v>
      </c>
    </row>
    <row r="364" spans="1:27" x14ac:dyDescent="0.25">
      <c r="A364" s="4" t="s">
        <v>93</v>
      </c>
      <c r="B364" s="4" t="s">
        <v>94</v>
      </c>
      <c r="C364" s="4">
        <v>3</v>
      </c>
      <c r="D364" s="4">
        <v>9</v>
      </c>
      <c r="E364" s="4">
        <f t="shared" si="66"/>
        <v>27</v>
      </c>
      <c r="F364" s="4">
        <v>1772157205</v>
      </c>
      <c r="G364" s="4">
        <v>4696216593</v>
      </c>
      <c r="H364" s="4">
        <v>737394613</v>
      </c>
      <c r="I364" s="4">
        <v>737394.61300000001</v>
      </c>
      <c r="J364" s="4">
        <v>737.39461300000005</v>
      </c>
      <c r="K364" s="4">
        <v>1625674.912</v>
      </c>
      <c r="L364" s="2">
        <v>1.7000000000000001E-2</v>
      </c>
      <c r="M364" s="4">
        <v>3</v>
      </c>
      <c r="N364" s="4">
        <v>1544.863059</v>
      </c>
      <c r="O364" s="4">
        <f t="shared" si="67"/>
        <v>148700.06890493253</v>
      </c>
      <c r="P364" s="4">
        <f t="shared" si="68"/>
        <v>623.2693711166263</v>
      </c>
      <c r="Q364" s="4">
        <f t="shared" si="74"/>
        <v>1583.1042026362309</v>
      </c>
      <c r="R364" s="2">
        <f t="shared" si="69"/>
        <v>67449296.887868449</v>
      </c>
      <c r="S364" s="2">
        <f t="shared" si="70"/>
        <v>162098766.85380542</v>
      </c>
      <c r="T364" s="2">
        <f t="shared" si="71"/>
        <v>429561732.16258436</v>
      </c>
      <c r="U364" s="4">
        <f t="shared" si="76"/>
        <v>1584.96</v>
      </c>
      <c r="V364" s="2">
        <v>0.25</v>
      </c>
      <c r="W364" s="4">
        <v>0</v>
      </c>
      <c r="X364" s="4" t="s">
        <v>461</v>
      </c>
      <c r="Y364" s="4">
        <v>70</v>
      </c>
      <c r="AA364" s="4">
        <f>R364*0.000001</f>
        <v>67.449296887868442</v>
      </c>
    </row>
    <row r="365" spans="1:27" x14ac:dyDescent="0.25">
      <c r="A365" s="4" t="s">
        <v>93</v>
      </c>
      <c r="B365" s="4" t="s">
        <v>94</v>
      </c>
      <c r="C365" s="4">
        <v>4</v>
      </c>
      <c r="D365" s="4">
        <v>9</v>
      </c>
      <c r="E365" s="4">
        <f t="shared" si="66"/>
        <v>36</v>
      </c>
      <c r="F365" s="4">
        <v>1772515152</v>
      </c>
      <c r="G365" s="4">
        <v>4697165152</v>
      </c>
      <c r="H365" s="4">
        <v>737543554.70000005</v>
      </c>
      <c r="I365" s="4">
        <v>737543.55469999998</v>
      </c>
      <c r="J365" s="4">
        <v>737.54355469999996</v>
      </c>
      <c r="K365" s="4">
        <v>1626003.2720000001</v>
      </c>
      <c r="L365" s="2">
        <v>1.7000000000000001E-2</v>
      </c>
      <c r="M365" s="4">
        <v>3</v>
      </c>
      <c r="N365" s="4">
        <v>1544.9670639999999</v>
      </c>
      <c r="O365" s="4">
        <f t="shared" si="67"/>
        <v>149168.38395033302</v>
      </c>
      <c r="P365" s="4">
        <f t="shared" si="68"/>
        <v>623.92299228224999</v>
      </c>
      <c r="Q365" s="4">
        <f t="shared" si="74"/>
        <v>1584.7644003969149</v>
      </c>
      <c r="R365" s="2">
        <f t="shared" si="69"/>
        <v>67661721.271844134</v>
      </c>
      <c r="S365" s="2">
        <f t="shared" si="70"/>
        <v>162609279.6727809</v>
      </c>
      <c r="T365" s="2">
        <f t="shared" si="71"/>
        <v>430914591.13286936</v>
      </c>
      <c r="U365" s="4">
        <f t="shared" si="76"/>
        <v>1584.96</v>
      </c>
      <c r="V365" s="2">
        <v>0.25</v>
      </c>
      <c r="W365" s="4">
        <v>0</v>
      </c>
      <c r="X365" s="4" t="s">
        <v>462</v>
      </c>
      <c r="Y365" s="4">
        <f>(AVERAGE(4000,6000))*0.453592</f>
        <v>2267.96</v>
      </c>
      <c r="AA365" s="4">
        <f>R365*0.000001</f>
        <v>67.661721271844129</v>
      </c>
    </row>
    <row r="366" spans="1:27" x14ac:dyDescent="0.25">
      <c r="A366" s="4" t="s">
        <v>93</v>
      </c>
      <c r="B366" s="4" t="s">
        <v>94</v>
      </c>
      <c r="C366" s="4">
        <v>5</v>
      </c>
      <c r="D366" s="4">
        <v>9</v>
      </c>
      <c r="E366" s="4">
        <f t="shared" si="66"/>
        <v>45</v>
      </c>
      <c r="F366" s="4">
        <v>1772528355</v>
      </c>
      <c r="G366" s="4">
        <v>4697200141</v>
      </c>
      <c r="H366" s="4">
        <v>737549048.5</v>
      </c>
      <c r="I366" s="4">
        <v>737549.04850000003</v>
      </c>
      <c r="J366" s="4">
        <v>737.54904850000003</v>
      </c>
      <c r="K366" s="4">
        <v>1626015.3829999999</v>
      </c>
      <c r="L366" s="2">
        <v>1.7000000000000001E-2</v>
      </c>
      <c r="M366" s="4">
        <v>3</v>
      </c>
      <c r="N366" s="4">
        <v>1544.9709</v>
      </c>
      <c r="O366" s="4">
        <f t="shared" si="67"/>
        <v>149217.80119469736</v>
      </c>
      <c r="P366" s="4">
        <f t="shared" si="68"/>
        <v>623.99188344626384</v>
      </c>
      <c r="Q366" s="4">
        <f t="shared" si="74"/>
        <v>1584.9393839535103</v>
      </c>
      <c r="R366" s="2">
        <f t="shared" si="69"/>
        <v>67684136.583491653</v>
      </c>
      <c r="S366" s="2">
        <f t="shared" si="70"/>
        <v>162663149.68395016</v>
      </c>
      <c r="T366" s="2">
        <f t="shared" si="71"/>
        <v>431057346.6624679</v>
      </c>
      <c r="U366" s="4">
        <f t="shared" si="76"/>
        <v>1584.96</v>
      </c>
      <c r="V366" s="2">
        <v>0.25</v>
      </c>
      <c r="W366" s="4">
        <v>0</v>
      </c>
      <c r="X366" s="4" t="s">
        <v>463</v>
      </c>
      <c r="Y366" s="4">
        <f>14*0.3048</f>
        <v>4.2671999999999999</v>
      </c>
    </row>
    <row r="367" spans="1:27" x14ac:dyDescent="0.25">
      <c r="A367" s="4" t="s">
        <v>93</v>
      </c>
      <c r="B367" s="4" t="s">
        <v>94</v>
      </c>
      <c r="C367" s="4">
        <v>6</v>
      </c>
      <c r="D367" s="4">
        <v>9</v>
      </c>
      <c r="E367" s="4">
        <f t="shared" si="66"/>
        <v>54</v>
      </c>
      <c r="F367" s="4">
        <v>1772528841</v>
      </c>
      <c r="G367" s="4">
        <v>4697201430</v>
      </c>
      <c r="H367" s="4">
        <v>737549250.70000005</v>
      </c>
      <c r="I367" s="4">
        <v>737549.25069999998</v>
      </c>
      <c r="J367" s="4">
        <v>737.54925070000002</v>
      </c>
      <c r="K367" s="4">
        <v>1626015.8289999999</v>
      </c>
      <c r="L367" s="2">
        <v>1.7000000000000001E-2</v>
      </c>
      <c r="M367" s="4">
        <v>3</v>
      </c>
      <c r="N367" s="4">
        <v>1544.971041</v>
      </c>
      <c r="O367" s="4">
        <f t="shared" si="67"/>
        <v>149223.01036963495</v>
      </c>
      <c r="P367" s="4">
        <f t="shared" si="68"/>
        <v>623.99914452153007</v>
      </c>
      <c r="Q367" s="4">
        <f t="shared" si="74"/>
        <v>1584.9578270846864</v>
      </c>
      <c r="R367" s="2">
        <f t="shared" si="69"/>
        <v>67686499.428307354</v>
      </c>
      <c r="S367" s="2">
        <f t="shared" si="70"/>
        <v>162668828.23433635</v>
      </c>
      <c r="T367" s="2">
        <f t="shared" si="71"/>
        <v>431072394.82099128</v>
      </c>
      <c r="U367" s="4">
        <f t="shared" si="76"/>
        <v>1584.96</v>
      </c>
      <c r="V367" s="2">
        <v>0.25</v>
      </c>
      <c r="W367" s="4">
        <v>0</v>
      </c>
      <c r="X367" s="4" t="s">
        <v>464</v>
      </c>
      <c r="Y367" s="4">
        <f>4000*0.453592</f>
        <v>1814.3679999999999</v>
      </c>
    </row>
    <row r="368" spans="1:27" x14ac:dyDescent="0.25">
      <c r="A368" s="4" t="s">
        <v>93</v>
      </c>
      <c r="B368" s="4" t="s">
        <v>94</v>
      </c>
      <c r="C368" s="4">
        <v>7</v>
      </c>
      <c r="D368" s="4">
        <v>9</v>
      </c>
      <c r="E368" s="4">
        <f t="shared" si="66"/>
        <v>63</v>
      </c>
      <c r="F368" s="4">
        <v>1772528859</v>
      </c>
      <c r="G368" s="4">
        <v>4697201478</v>
      </c>
      <c r="H368" s="4">
        <v>737549258.20000005</v>
      </c>
      <c r="I368" s="4">
        <v>737549.25820000004</v>
      </c>
      <c r="J368" s="4">
        <v>737.54925820000005</v>
      </c>
      <c r="K368" s="4">
        <v>1626015.8459999999</v>
      </c>
      <c r="L368" s="2">
        <v>1.7000000000000001E-2</v>
      </c>
      <c r="M368" s="4">
        <v>3</v>
      </c>
      <c r="N368" s="4">
        <v>1544.971047</v>
      </c>
      <c r="O368" s="4">
        <f t="shared" si="67"/>
        <v>149223.55941969628</v>
      </c>
      <c r="P368" s="4">
        <f t="shared" si="68"/>
        <v>623.99990983323266</v>
      </c>
      <c r="Q368" s="4">
        <f t="shared" si="74"/>
        <v>1584.9597709764109</v>
      </c>
      <c r="R368" s="2">
        <f t="shared" si="69"/>
        <v>67686748.473522097</v>
      </c>
      <c r="S368" s="2">
        <f t="shared" si="70"/>
        <v>162669426.75684234</v>
      </c>
      <c r="T368" s="2">
        <f t="shared" si="71"/>
        <v>431073980.9056322</v>
      </c>
      <c r="U368" s="4">
        <f t="shared" si="76"/>
        <v>1584.96</v>
      </c>
      <c r="V368" s="2">
        <v>0.25</v>
      </c>
      <c r="W368" s="4">
        <v>0</v>
      </c>
      <c r="X368" s="4" t="s">
        <v>434</v>
      </c>
      <c r="Y368" s="7" t="s">
        <v>669</v>
      </c>
    </row>
    <row r="369" spans="1:34" x14ac:dyDescent="0.25">
      <c r="A369" s="4" t="s">
        <v>93</v>
      </c>
      <c r="B369" s="4" t="s">
        <v>94</v>
      </c>
      <c r="C369" s="4">
        <v>8</v>
      </c>
      <c r="D369" s="4">
        <v>9</v>
      </c>
      <c r="E369" s="4">
        <f t="shared" si="66"/>
        <v>72</v>
      </c>
      <c r="F369" s="4">
        <v>1772528860</v>
      </c>
      <c r="G369" s="4">
        <v>4697201480</v>
      </c>
      <c r="H369" s="4">
        <v>737549258.60000002</v>
      </c>
      <c r="I369" s="4">
        <v>737549.25859999994</v>
      </c>
      <c r="J369" s="4">
        <v>737.54925860000003</v>
      </c>
      <c r="K369" s="4">
        <v>1626015.8470000001</v>
      </c>
      <c r="L369" s="2">
        <v>1.7000000000000001E-2</v>
      </c>
      <c r="M369" s="4">
        <v>3</v>
      </c>
      <c r="N369" s="4">
        <v>1544.971047</v>
      </c>
      <c r="O369" s="4">
        <f t="shared" si="67"/>
        <v>149223.61728922545</v>
      </c>
      <c r="P369" s="4">
        <f t="shared" si="68"/>
        <v>623.99999049649261</v>
      </c>
      <c r="Q369" s="4">
        <f t="shared" si="74"/>
        <v>1584.9599758610914</v>
      </c>
      <c r="R369" s="2">
        <f t="shared" si="69"/>
        <v>67686774.722730204</v>
      </c>
      <c r="S369" s="2">
        <f t="shared" si="70"/>
        <v>162669489.84073585</v>
      </c>
      <c r="T369" s="2">
        <f t="shared" si="71"/>
        <v>431074148.07795</v>
      </c>
      <c r="U369" s="4">
        <f t="shared" si="76"/>
        <v>1584.96</v>
      </c>
      <c r="V369" s="2">
        <v>0.25</v>
      </c>
      <c r="W369" s="4">
        <v>0</v>
      </c>
      <c r="X369" s="4" t="s">
        <v>469</v>
      </c>
      <c r="Y369" s="4">
        <v>12</v>
      </c>
    </row>
    <row r="370" spans="1:34" x14ac:dyDescent="0.25">
      <c r="A370" s="4" t="s">
        <v>93</v>
      </c>
      <c r="B370" s="4" t="s">
        <v>94</v>
      </c>
      <c r="C370" s="4">
        <v>9</v>
      </c>
      <c r="D370" s="4">
        <v>9</v>
      </c>
      <c r="E370" s="4">
        <f t="shared" si="66"/>
        <v>81</v>
      </c>
      <c r="F370" s="4">
        <v>1772528862</v>
      </c>
      <c r="G370" s="4">
        <v>4697201484</v>
      </c>
      <c r="H370" s="4">
        <v>737549259.5</v>
      </c>
      <c r="I370" s="4">
        <v>737549.25950000004</v>
      </c>
      <c r="J370" s="4">
        <v>737.54925949999995</v>
      </c>
      <c r="K370" s="4">
        <v>1626015.848</v>
      </c>
      <c r="L370" s="2">
        <v>1.7000000000000001E-2</v>
      </c>
      <c r="M370" s="4">
        <v>3</v>
      </c>
      <c r="N370" s="4">
        <v>1544.971047</v>
      </c>
      <c r="O370" s="4">
        <f t="shared" si="67"/>
        <v>149223.62338862984</v>
      </c>
      <c r="P370" s="4">
        <f t="shared" si="68"/>
        <v>623.99999899833767</v>
      </c>
      <c r="Q370" s="4">
        <f t="shared" si="74"/>
        <v>1584.9599974557777</v>
      </c>
      <c r="R370" s="2">
        <f t="shared" si="69"/>
        <v>67686777.489376783</v>
      </c>
      <c r="S370" s="2">
        <f t="shared" si="70"/>
        <v>162669496.48973033</v>
      </c>
      <c r="T370" s="2">
        <f t="shared" si="71"/>
        <v>431074165.69778538</v>
      </c>
      <c r="U370" s="4">
        <f t="shared" si="76"/>
        <v>1584.96</v>
      </c>
      <c r="V370" s="2">
        <v>0.25</v>
      </c>
      <c r="W370" s="4">
        <v>0</v>
      </c>
      <c r="X370" s="4" t="s">
        <v>470</v>
      </c>
      <c r="Y370" s="4">
        <v>10</v>
      </c>
    </row>
    <row r="371" spans="1:34" x14ac:dyDescent="0.25">
      <c r="A371" s="4" t="s">
        <v>93</v>
      </c>
      <c r="B371" s="4" t="s">
        <v>94</v>
      </c>
      <c r="C371" s="4">
        <v>10</v>
      </c>
      <c r="D371" s="4">
        <v>9</v>
      </c>
      <c r="E371" s="4">
        <f t="shared" si="66"/>
        <v>90</v>
      </c>
      <c r="F371" s="4">
        <v>1772528862</v>
      </c>
      <c r="G371" s="4">
        <v>4697201485</v>
      </c>
      <c r="H371" s="4">
        <v>737549259.5</v>
      </c>
      <c r="I371" s="4">
        <v>737549.25950000004</v>
      </c>
      <c r="J371" s="4">
        <v>737.54925949999995</v>
      </c>
      <c r="K371" s="4">
        <v>1626015.848</v>
      </c>
      <c r="L371" s="2">
        <v>1.7000000000000001E-2</v>
      </c>
      <c r="M371" s="4">
        <v>3</v>
      </c>
      <c r="N371" s="4">
        <v>1544.971047</v>
      </c>
      <c r="O371" s="4">
        <f t="shared" si="67"/>
        <v>149223.62403150235</v>
      </c>
      <c r="P371" s="4">
        <f t="shared" si="68"/>
        <v>623.99999989442563</v>
      </c>
      <c r="Q371" s="4">
        <f t="shared" si="74"/>
        <v>1584.959999731841</v>
      </c>
      <c r="R371" s="2">
        <f t="shared" si="69"/>
        <v>67686777.780979186</v>
      </c>
      <c r="S371" s="2">
        <f t="shared" si="70"/>
        <v>162669497.19052917</v>
      </c>
      <c r="T371" s="2">
        <f t="shared" si="71"/>
        <v>431074167.55490226</v>
      </c>
      <c r="U371" s="4">
        <f t="shared" si="76"/>
        <v>1584.96</v>
      </c>
      <c r="V371" s="2">
        <v>0.25</v>
      </c>
      <c r="W371" s="4">
        <v>0</v>
      </c>
      <c r="X371" s="4" t="s">
        <v>471</v>
      </c>
    </row>
    <row r="372" spans="1:34" x14ac:dyDescent="0.25">
      <c r="A372" s="4" t="s">
        <v>95</v>
      </c>
      <c r="B372" s="2" t="s">
        <v>96</v>
      </c>
      <c r="C372" s="4">
        <v>1</v>
      </c>
      <c r="D372" s="4">
        <v>2</v>
      </c>
      <c r="E372" s="4">
        <f t="shared" si="66"/>
        <v>2</v>
      </c>
      <c r="F372" s="4">
        <v>127.5414564</v>
      </c>
      <c r="G372" s="4">
        <v>337.98485950000003</v>
      </c>
      <c r="H372" s="4">
        <v>53.070000010000001</v>
      </c>
      <c r="I372" s="4">
        <v>5.3069999999999999E-2</v>
      </c>
      <c r="J372" s="4">
        <v>5.3100000000000003E-5</v>
      </c>
      <c r="K372" s="4">
        <v>0.11699918300000001</v>
      </c>
      <c r="L372" s="4">
        <v>0.01</v>
      </c>
      <c r="M372" s="4">
        <v>3</v>
      </c>
      <c r="N372" s="4">
        <v>15.782353730000001</v>
      </c>
      <c r="O372" s="4">
        <f t="shared" si="67"/>
        <v>1.987138284806963</v>
      </c>
      <c r="P372" s="4">
        <f t="shared" si="68"/>
        <v>17.652155015414586</v>
      </c>
      <c r="Q372" s="4">
        <f t="shared" si="74"/>
        <v>44.83647373915305</v>
      </c>
      <c r="R372" s="4">
        <f t="shared" si="69"/>
        <v>901.35183605653719</v>
      </c>
      <c r="S372" s="4">
        <f t="shared" si="70"/>
        <v>2166.1904255143891</v>
      </c>
      <c r="T372" s="4">
        <f t="shared" si="71"/>
        <v>5740.4046276131312</v>
      </c>
      <c r="U372" s="4">
        <v>136</v>
      </c>
      <c r="V372" s="4">
        <v>0.2</v>
      </c>
      <c r="W372" s="4">
        <v>0</v>
      </c>
    </row>
    <row r="373" spans="1:34" x14ac:dyDescent="0.25">
      <c r="A373" s="4" t="s">
        <v>95</v>
      </c>
      <c r="B373" s="2" t="s">
        <v>96</v>
      </c>
      <c r="C373" s="4">
        <v>2</v>
      </c>
      <c r="D373" s="4">
        <v>2</v>
      </c>
      <c r="E373" s="4">
        <f t="shared" ref="E373:E436" si="77">C373*D373</f>
        <v>4</v>
      </c>
      <c r="F373" s="4">
        <v>347.4885845</v>
      </c>
      <c r="G373" s="4">
        <v>920.84474890000001</v>
      </c>
      <c r="H373" s="4">
        <v>144.59</v>
      </c>
      <c r="I373" s="4">
        <v>0.14459</v>
      </c>
      <c r="J373" s="4">
        <v>1.4459E-4</v>
      </c>
      <c r="K373" s="4">
        <v>0.31876600599999999</v>
      </c>
      <c r="L373" s="4">
        <v>0.01</v>
      </c>
      <c r="M373" s="4">
        <v>3</v>
      </c>
      <c r="N373" s="4">
        <v>22.0428712</v>
      </c>
      <c r="O373" s="4">
        <f t="shared" si="67"/>
        <v>9.2603450753228778</v>
      </c>
      <c r="P373" s="4">
        <f t="shared" si="68"/>
        <v>29.484748377975539</v>
      </c>
      <c r="Q373" s="4">
        <f t="shared" si="74"/>
        <v>74.891260880057871</v>
      </c>
      <c r="R373" s="4">
        <f t="shared" si="69"/>
        <v>4200.426865093702</v>
      </c>
      <c r="S373" s="4">
        <f t="shared" si="70"/>
        <v>10094.75334076833</v>
      </c>
      <c r="T373" s="4">
        <f t="shared" si="71"/>
        <v>26751.096353036071</v>
      </c>
      <c r="U373" s="4">
        <v>136</v>
      </c>
      <c r="V373" s="4">
        <v>0.2</v>
      </c>
      <c r="W373" s="4">
        <v>0</v>
      </c>
    </row>
    <row r="374" spans="1:34" x14ac:dyDescent="0.25">
      <c r="A374" s="4" t="s">
        <v>95</v>
      </c>
      <c r="B374" s="2" t="s">
        <v>96</v>
      </c>
      <c r="C374" s="4">
        <v>3</v>
      </c>
      <c r="D374" s="4">
        <v>2</v>
      </c>
      <c r="E374" s="4">
        <f t="shared" si="77"/>
        <v>6</v>
      </c>
      <c r="F374" s="4">
        <v>732.42009129999997</v>
      </c>
      <c r="G374" s="4">
        <v>1940.9132420000001</v>
      </c>
      <c r="H374" s="4">
        <v>304.76</v>
      </c>
      <c r="I374" s="4">
        <v>0.30475999999999998</v>
      </c>
      <c r="J374" s="4">
        <v>3.0476E-4</v>
      </c>
      <c r="K374" s="4">
        <v>0.67187999099999995</v>
      </c>
      <c r="L374" s="4">
        <v>0.01</v>
      </c>
      <c r="M374" s="4">
        <v>3</v>
      </c>
      <c r="N374" s="4">
        <v>28.262336659999999</v>
      </c>
      <c r="O374" s="4">
        <f t="shared" si="67"/>
        <v>18.924305423223942</v>
      </c>
      <c r="P374" s="4">
        <f t="shared" si="68"/>
        <v>37.416372905488394</v>
      </c>
      <c r="Q374" s="4">
        <f t="shared" si="74"/>
        <v>95.03758717994053</v>
      </c>
      <c r="R374" s="4">
        <f t="shared" si="69"/>
        <v>8583.9307559688023</v>
      </c>
      <c r="S374" s="4">
        <f t="shared" si="70"/>
        <v>20629.489920617165</v>
      </c>
      <c r="T374" s="4">
        <f t="shared" si="71"/>
        <v>54668.148289635486</v>
      </c>
      <c r="U374" s="4">
        <v>136</v>
      </c>
      <c r="V374" s="4">
        <v>0.2</v>
      </c>
      <c r="W374" s="4">
        <v>0</v>
      </c>
    </row>
    <row r="375" spans="1:34" x14ac:dyDescent="0.25">
      <c r="A375" s="4" t="s">
        <v>95</v>
      </c>
      <c r="B375" s="2" t="s">
        <v>96</v>
      </c>
      <c r="C375" s="4">
        <v>4</v>
      </c>
      <c r="D375" s="4">
        <v>2</v>
      </c>
      <c r="E375" s="4">
        <f t="shared" si="77"/>
        <v>8</v>
      </c>
      <c r="F375" s="4">
        <v>1115.2006730000001</v>
      </c>
      <c r="G375" s="4">
        <v>2955.281782</v>
      </c>
      <c r="H375" s="4">
        <v>464.03500000000003</v>
      </c>
      <c r="I375" s="4">
        <v>0.46403499999999998</v>
      </c>
      <c r="J375" s="4">
        <v>4.6403500000000001E-4</v>
      </c>
      <c r="K375" s="4">
        <v>1.023020842</v>
      </c>
      <c r="L375" s="4">
        <v>0.01</v>
      </c>
      <c r="M375" s="4">
        <v>3</v>
      </c>
      <c r="N375" s="4">
        <v>32.51414389</v>
      </c>
      <c r="O375" s="4">
        <f t="shared" si="67"/>
        <v>28.192142685908323</v>
      </c>
      <c r="P375" s="4">
        <f t="shared" si="68"/>
        <v>42.733099823908219</v>
      </c>
      <c r="Q375" s="4">
        <f t="shared" si="74"/>
        <v>108.54207355272688</v>
      </c>
      <c r="R375" s="4">
        <f t="shared" si="69"/>
        <v>12787.756024125845</v>
      </c>
      <c r="S375" s="4">
        <f t="shared" si="70"/>
        <v>30732.410536231298</v>
      </c>
      <c r="T375" s="4">
        <f t="shared" si="71"/>
        <v>81440.887921012938</v>
      </c>
      <c r="U375" s="4">
        <v>136</v>
      </c>
      <c r="V375" s="4">
        <v>0.2</v>
      </c>
      <c r="W375" s="4">
        <v>0</v>
      </c>
    </row>
    <row r="376" spans="1:34" x14ac:dyDescent="0.25">
      <c r="A376" s="4" t="s">
        <v>95</v>
      </c>
      <c r="B376" s="2" t="s">
        <v>96</v>
      </c>
      <c r="C376" s="4">
        <v>5</v>
      </c>
      <c r="D376" s="4">
        <v>2</v>
      </c>
      <c r="E376" s="4">
        <f t="shared" si="77"/>
        <v>10</v>
      </c>
      <c r="F376" s="4">
        <v>1550.4325879999999</v>
      </c>
      <c r="G376" s="4">
        <v>4108.6463590000003</v>
      </c>
      <c r="H376" s="4">
        <v>645.13499990000003</v>
      </c>
      <c r="I376" s="4">
        <v>0.64513500000000001</v>
      </c>
      <c r="J376" s="4">
        <v>6.4513500000000002E-4</v>
      </c>
      <c r="K376" s="4">
        <v>1.422277523</v>
      </c>
      <c r="L376" s="4">
        <v>0.01</v>
      </c>
      <c r="M376" s="4">
        <v>3</v>
      </c>
      <c r="N376" s="4">
        <v>36.288772530000003</v>
      </c>
      <c r="O376" s="4">
        <f t="shared" si="67"/>
        <v>35.850373201594643</v>
      </c>
      <c r="P376" s="4">
        <f t="shared" si="68"/>
        <v>46.297008456622315</v>
      </c>
      <c r="Q376" s="4">
        <f t="shared" si="74"/>
        <v>117.59440147982068</v>
      </c>
      <c r="R376" s="4">
        <f t="shared" si="69"/>
        <v>16261.475084864802</v>
      </c>
      <c r="S376" s="4">
        <f t="shared" si="70"/>
        <v>39080.689941996628</v>
      </c>
      <c r="T376" s="4">
        <f t="shared" si="71"/>
        <v>103563.82834629106</v>
      </c>
      <c r="U376" s="4">
        <v>136</v>
      </c>
      <c r="V376" s="4">
        <v>0.2</v>
      </c>
      <c r="W376" s="4">
        <v>0</v>
      </c>
    </row>
    <row r="377" spans="1:34" x14ac:dyDescent="0.25">
      <c r="A377" s="4" t="s">
        <v>95</v>
      </c>
      <c r="B377" s="2" t="s">
        <v>96</v>
      </c>
      <c r="C377" s="4">
        <v>6</v>
      </c>
      <c r="D377" s="4">
        <v>2</v>
      </c>
      <c r="E377" s="4">
        <f t="shared" si="77"/>
        <v>12</v>
      </c>
      <c r="F377" s="4">
        <v>1976.4359529999999</v>
      </c>
      <c r="G377" s="4">
        <v>5237.5552749999997</v>
      </c>
      <c r="H377" s="4">
        <v>822.39499999999998</v>
      </c>
      <c r="I377" s="4">
        <v>0.82239499999999999</v>
      </c>
      <c r="J377" s="4">
        <v>8.2239499999999996E-4</v>
      </c>
      <c r="K377" s="4">
        <v>1.813068465</v>
      </c>
      <c r="L377" s="4">
        <v>0.01</v>
      </c>
      <c r="M377" s="4">
        <v>3</v>
      </c>
      <c r="N377" s="4">
        <v>39.347356869999999</v>
      </c>
      <c r="O377" s="4">
        <f t="shared" si="67"/>
        <v>41.691384432172946</v>
      </c>
      <c r="P377" s="4">
        <f t="shared" si="68"/>
        <v>48.685967855370038</v>
      </c>
      <c r="Q377" s="4">
        <f t="shared" si="74"/>
        <v>123.6623583526399</v>
      </c>
      <c r="R377" s="4">
        <f t="shared" si="69"/>
        <v>18910.916362989061</v>
      </c>
      <c r="S377" s="4">
        <f t="shared" si="70"/>
        <v>45448.008562819181</v>
      </c>
      <c r="T377" s="4">
        <f t="shared" si="71"/>
        <v>120437.22269147083</v>
      </c>
      <c r="U377" s="4">
        <v>136</v>
      </c>
      <c r="V377" s="4">
        <v>0.2</v>
      </c>
      <c r="W377" s="4">
        <v>0</v>
      </c>
    </row>
    <row r="378" spans="1:34" x14ac:dyDescent="0.25">
      <c r="A378" s="4" t="s">
        <v>95</v>
      </c>
      <c r="B378" s="2" t="s">
        <v>96</v>
      </c>
      <c r="C378" s="4">
        <v>7</v>
      </c>
      <c r="D378" s="4">
        <v>2</v>
      </c>
      <c r="E378" s="4">
        <f t="shared" si="77"/>
        <v>14</v>
      </c>
      <c r="F378" s="4">
        <v>2275.6669069999998</v>
      </c>
      <c r="G378" s="4">
        <v>6030.517304</v>
      </c>
      <c r="H378" s="4">
        <v>946.90499999999997</v>
      </c>
      <c r="I378" s="4">
        <v>0.946905</v>
      </c>
      <c r="J378" s="4">
        <v>9.4690499999999995E-4</v>
      </c>
      <c r="K378" s="4">
        <v>2.0875657009999999</v>
      </c>
      <c r="L378" s="4">
        <v>0.01</v>
      </c>
      <c r="M378" s="4">
        <v>3</v>
      </c>
      <c r="N378" s="4">
        <v>41.240527700000001</v>
      </c>
      <c r="O378" s="4">
        <f t="shared" si="67"/>
        <v>45.942091301172816</v>
      </c>
      <c r="P378" s="4">
        <f t="shared" si="68"/>
        <v>50.28733522951589</v>
      </c>
      <c r="Q378" s="4">
        <f t="shared" si="74"/>
        <v>127.72983148297035</v>
      </c>
      <c r="R378" s="4">
        <f t="shared" si="69"/>
        <v>20839.00685885677</v>
      </c>
      <c r="S378" s="4">
        <f t="shared" si="70"/>
        <v>50081.727610806942</v>
      </c>
      <c r="T378" s="4">
        <f t="shared" si="71"/>
        <v>132716.5781686384</v>
      </c>
      <c r="U378" s="4">
        <v>136</v>
      </c>
      <c r="V378" s="4">
        <v>0.2</v>
      </c>
      <c r="W378" s="4">
        <v>0</v>
      </c>
    </row>
    <row r="379" spans="1:34" x14ac:dyDescent="0.25">
      <c r="A379" s="4" t="s">
        <v>95</v>
      </c>
      <c r="B379" s="2" t="s">
        <v>96</v>
      </c>
      <c r="C379" s="4">
        <v>8</v>
      </c>
      <c r="D379" s="4">
        <v>2</v>
      </c>
      <c r="E379" s="4">
        <f t="shared" si="77"/>
        <v>16</v>
      </c>
      <c r="F379" s="4">
        <v>2451.3338140000001</v>
      </c>
      <c r="G379" s="4">
        <v>6496.0346079999999</v>
      </c>
      <c r="H379" s="4">
        <v>1020</v>
      </c>
      <c r="I379" s="4">
        <v>1.02</v>
      </c>
      <c r="J379" s="4">
        <v>1.0200000000000001E-3</v>
      </c>
      <c r="K379" s="4">
        <v>2.2487124000000001</v>
      </c>
      <c r="L379" s="4">
        <v>0.01</v>
      </c>
      <c r="M379" s="4">
        <v>3</v>
      </c>
      <c r="N379" s="4">
        <v>42.275504699999999</v>
      </c>
      <c r="O379" s="4">
        <f t="shared" si="67"/>
        <v>48.947364830513955</v>
      </c>
      <c r="P379" s="4">
        <f t="shared" si="68"/>
        <v>51.360763881473304</v>
      </c>
      <c r="Q379" s="4">
        <f t="shared" si="74"/>
        <v>130.45634025894219</v>
      </c>
      <c r="R379" s="4">
        <f t="shared" si="69"/>
        <v>22202.17762268053</v>
      </c>
      <c r="S379" s="4">
        <f t="shared" si="70"/>
        <v>53357.792892767437</v>
      </c>
      <c r="T379" s="4">
        <f t="shared" si="71"/>
        <v>141398.1511658337</v>
      </c>
      <c r="U379" s="4">
        <v>136</v>
      </c>
      <c r="V379" s="4">
        <v>0.2</v>
      </c>
      <c r="W379" s="4">
        <v>0</v>
      </c>
      <c r="AA379" s="2" t="s">
        <v>670</v>
      </c>
    </row>
    <row r="380" spans="1:34" x14ac:dyDescent="0.25">
      <c r="A380" s="4" t="s">
        <v>95</v>
      </c>
      <c r="B380" s="2" t="s">
        <v>96</v>
      </c>
      <c r="C380" s="4">
        <v>9</v>
      </c>
      <c r="D380" s="4">
        <v>2</v>
      </c>
      <c r="E380" s="4">
        <f t="shared" si="77"/>
        <v>18</v>
      </c>
      <c r="F380" s="4">
        <v>2643.5952900000002</v>
      </c>
      <c r="G380" s="4">
        <v>7005.5275179999999</v>
      </c>
      <c r="H380" s="4">
        <v>1100</v>
      </c>
      <c r="I380" s="4">
        <v>1.1000000000000001</v>
      </c>
      <c r="J380" s="4">
        <v>1.1000000000000001E-3</v>
      </c>
      <c r="K380" s="4">
        <v>2.4250820000000002</v>
      </c>
      <c r="L380" s="4">
        <v>0.01</v>
      </c>
      <c r="M380" s="4">
        <v>3</v>
      </c>
      <c r="N380" s="4">
        <v>43.353048229999999</v>
      </c>
      <c r="O380" s="4">
        <f t="shared" si="67"/>
        <v>51.03351009969122</v>
      </c>
      <c r="P380" s="4">
        <f t="shared" si="68"/>
        <v>52.08030462486937</v>
      </c>
      <c r="Q380" s="4">
        <f t="shared" si="74"/>
        <v>132.2839737471682</v>
      </c>
      <c r="R380" s="4">
        <f t="shared" si="69"/>
        <v>23148.438324832045</v>
      </c>
      <c r="S380" s="4">
        <f t="shared" si="70"/>
        <v>55631.911379072444</v>
      </c>
      <c r="T380" s="4">
        <f t="shared" si="71"/>
        <v>147424.56515454198</v>
      </c>
      <c r="U380" s="4">
        <v>136</v>
      </c>
      <c r="V380" s="4">
        <v>0.2</v>
      </c>
      <c r="W380" s="4">
        <v>0</v>
      </c>
      <c r="Z380" s="4" t="s">
        <v>671</v>
      </c>
      <c r="AA380" s="8">
        <v>0.05</v>
      </c>
      <c r="AB380" s="8">
        <v>0.17</v>
      </c>
      <c r="AC380" s="8">
        <v>0.1</v>
      </c>
      <c r="AD380" s="8">
        <v>7.0000000000000007E-2</v>
      </c>
      <c r="AE380" s="8">
        <v>0.6</v>
      </c>
      <c r="AF380" s="8"/>
      <c r="AH380" s="8">
        <f>SUM(AA380:AF380)</f>
        <v>0.99</v>
      </c>
    </row>
    <row r="381" spans="1:34" x14ac:dyDescent="0.25">
      <c r="A381" s="4" t="s">
        <v>95</v>
      </c>
      <c r="B381" s="2" t="s">
        <v>96</v>
      </c>
      <c r="C381" s="4">
        <v>10</v>
      </c>
      <c r="D381" s="4">
        <v>2</v>
      </c>
      <c r="E381" s="4">
        <f t="shared" si="77"/>
        <v>20</v>
      </c>
      <c r="F381" s="4">
        <v>3076.18361</v>
      </c>
      <c r="G381" s="4">
        <v>8151.8865660000001</v>
      </c>
      <c r="H381" s="4">
        <v>1280</v>
      </c>
      <c r="I381" s="4">
        <v>1.28</v>
      </c>
      <c r="J381" s="4">
        <v>1.2800000000000001E-3</v>
      </c>
      <c r="K381" s="4">
        <v>2.8219135999999998</v>
      </c>
      <c r="L381" s="4">
        <v>0.01</v>
      </c>
      <c r="M381" s="4">
        <v>3</v>
      </c>
      <c r="N381" s="4">
        <v>45.599358580000001</v>
      </c>
      <c r="O381" s="4">
        <f t="shared" si="67"/>
        <v>52.464566095090916</v>
      </c>
      <c r="P381" s="4">
        <f t="shared" si="68"/>
        <v>52.562627209107148</v>
      </c>
      <c r="Q381" s="4">
        <f t="shared" si="74"/>
        <v>133.50907311113215</v>
      </c>
      <c r="R381" s="4">
        <f t="shared" si="69"/>
        <v>23797.555177350707</v>
      </c>
      <c r="S381" s="4">
        <f t="shared" si="70"/>
        <v>57191.913427903637</v>
      </c>
      <c r="T381" s="4">
        <f t="shared" si="71"/>
        <v>151558.57058394465</v>
      </c>
      <c r="U381" s="4">
        <v>136</v>
      </c>
      <c r="V381" s="4">
        <v>0.2</v>
      </c>
      <c r="W381" s="4">
        <v>0</v>
      </c>
      <c r="Y381" s="4" t="s">
        <v>672</v>
      </c>
      <c r="Z381" s="4" t="s">
        <v>673</v>
      </c>
      <c r="AA381" s="4" t="s">
        <v>674</v>
      </c>
      <c r="AB381" s="4" t="s">
        <v>675</v>
      </c>
      <c r="AC381" s="4" t="s">
        <v>676</v>
      </c>
      <c r="AD381" s="4" t="s">
        <v>677</v>
      </c>
      <c r="AE381" s="4" t="s">
        <v>678</v>
      </c>
      <c r="AF381" s="4" t="s">
        <v>679</v>
      </c>
    </row>
    <row r="382" spans="1:34" x14ac:dyDescent="0.25">
      <c r="A382" s="4" t="s">
        <v>97</v>
      </c>
      <c r="B382" s="4" t="s">
        <v>98</v>
      </c>
      <c r="C382" s="4">
        <v>1</v>
      </c>
      <c r="D382" s="4">
        <v>2</v>
      </c>
      <c r="E382" s="4">
        <f t="shared" si="77"/>
        <v>2</v>
      </c>
      <c r="F382" s="4">
        <v>11007.69375</v>
      </c>
      <c r="G382" s="4">
        <v>29170.388439999999</v>
      </c>
      <c r="H382" s="4">
        <v>4580.3013689999998</v>
      </c>
      <c r="I382" s="4">
        <v>4.5803013689999998</v>
      </c>
      <c r="J382" s="4">
        <v>4.5803010000000002E-3</v>
      </c>
      <c r="K382" s="4">
        <v>10.097823999999999</v>
      </c>
      <c r="L382" s="2">
        <v>6.5000000000000002E-2</v>
      </c>
      <c r="M382" s="4">
        <v>3</v>
      </c>
      <c r="N382" s="4">
        <v>61.181673609999997</v>
      </c>
      <c r="O382" s="4">
        <f t="shared" si="67"/>
        <v>0.88313661779726171</v>
      </c>
      <c r="P382" s="4">
        <f t="shared" si="68"/>
        <v>7.2181607167311244</v>
      </c>
      <c r="Q382" s="4">
        <f t="shared" si="74"/>
        <v>18.334128220497057</v>
      </c>
      <c r="R382" s="4">
        <f t="shared" si="69"/>
        <v>400.58450789581048</v>
      </c>
      <c r="S382" s="4">
        <f t="shared" si="70"/>
        <v>962.7121074160309</v>
      </c>
      <c r="T382" s="4">
        <f t="shared" si="71"/>
        <v>2551.1870846524816</v>
      </c>
      <c r="U382" s="4">
        <v>23.6</v>
      </c>
      <c r="V382" s="4">
        <v>0.75</v>
      </c>
      <c r="W382" s="4">
        <v>0</v>
      </c>
      <c r="X382" s="4" t="s">
        <v>680</v>
      </c>
      <c r="Y382" s="4">
        <v>3200</v>
      </c>
      <c r="Z382" s="4">
        <f>4*0.453592*1000</f>
        <v>1814.3679999999999</v>
      </c>
      <c r="AA382" s="4">
        <f>453.5</f>
        <v>453.5</v>
      </c>
      <c r="AB382" s="4">
        <f>8*28.35</f>
        <v>226.8</v>
      </c>
      <c r="AC382" s="4">
        <f>2*0.453592*1000</f>
        <v>907.18399999999997</v>
      </c>
      <c r="AD382" s="4">
        <f>4.5*0.453952*1000</f>
        <v>2042.7840000000001</v>
      </c>
      <c r="AE382" s="4">
        <f>2*0.453592*1000</f>
        <v>907.18399999999997</v>
      </c>
    </row>
    <row r="383" spans="1:34" x14ac:dyDescent="0.25">
      <c r="A383" s="4" t="s">
        <v>97</v>
      </c>
      <c r="B383" s="4" t="s">
        <v>98</v>
      </c>
      <c r="C383" s="4">
        <v>2</v>
      </c>
      <c r="D383" s="4">
        <v>2</v>
      </c>
      <c r="E383" s="4">
        <f t="shared" si="77"/>
        <v>4</v>
      </c>
      <c r="F383" s="4">
        <v>23420.529180000001</v>
      </c>
      <c r="G383" s="4">
        <v>62064.402329999997</v>
      </c>
      <c r="H383" s="4">
        <v>9745.2821920000006</v>
      </c>
      <c r="I383" s="4">
        <v>9.7452821919999995</v>
      </c>
      <c r="J383" s="4">
        <v>9.7452819999999992E-3</v>
      </c>
      <c r="K383" s="4">
        <v>21.484644029999998</v>
      </c>
      <c r="L383" s="2">
        <v>6.5000000000000002E-2</v>
      </c>
      <c r="M383" s="4">
        <v>3</v>
      </c>
      <c r="N383" s="4">
        <v>78.690349569999995</v>
      </c>
      <c r="O383" s="4">
        <f t="shared" si="67"/>
        <v>1.6160169738186125</v>
      </c>
      <c r="P383" s="4">
        <f t="shared" si="68"/>
        <v>8.8287500734324453</v>
      </c>
      <c r="Q383" s="4">
        <f t="shared" si="74"/>
        <v>22.425025186518411</v>
      </c>
      <c r="R383" s="4">
        <f t="shared" si="69"/>
        <v>733.01384085176244</v>
      </c>
      <c r="S383" s="4">
        <f t="shared" si="70"/>
        <v>1761.6290335298302</v>
      </c>
      <c r="T383" s="4">
        <f t="shared" si="71"/>
        <v>4668.31693885405</v>
      </c>
      <c r="U383" s="4">
        <v>23.6</v>
      </c>
      <c r="V383" s="4">
        <v>0.75</v>
      </c>
      <c r="W383" s="4">
        <v>0</v>
      </c>
      <c r="X383" s="4" t="s">
        <v>681</v>
      </c>
      <c r="Y383" s="4">
        <v>180</v>
      </c>
    </row>
    <row r="384" spans="1:34" x14ac:dyDescent="0.25">
      <c r="A384" s="4" t="s">
        <v>97</v>
      </c>
      <c r="B384" s="4" t="s">
        <v>98</v>
      </c>
      <c r="C384" s="4">
        <v>3</v>
      </c>
      <c r="D384" s="4">
        <v>2</v>
      </c>
      <c r="E384" s="4">
        <f t="shared" si="77"/>
        <v>6</v>
      </c>
      <c r="F384" s="4">
        <v>26457.496719999999</v>
      </c>
      <c r="G384" s="4">
        <v>70112.366299999994</v>
      </c>
      <c r="H384" s="4">
        <v>11008.964389999999</v>
      </c>
      <c r="I384" s="4">
        <v>11.008964389999999</v>
      </c>
      <c r="J384" s="4">
        <v>1.1008964E-2</v>
      </c>
      <c r="K384" s="4">
        <v>24.27058306</v>
      </c>
      <c r="L384" s="2">
        <v>6.5000000000000002E-2</v>
      </c>
      <c r="M384" s="4">
        <v>3</v>
      </c>
      <c r="N384" s="4">
        <v>81.954377719999997</v>
      </c>
      <c r="O384" s="4">
        <f t="shared" si="67"/>
        <v>1.8214966888823141</v>
      </c>
      <c r="P384" s="4">
        <f t="shared" si="68"/>
        <v>9.1881211345265683</v>
      </c>
      <c r="Q384" s="4">
        <f t="shared" si="74"/>
        <v>23.337827681697483</v>
      </c>
      <c r="R384" s="4">
        <f t="shared" si="69"/>
        <v>826.21798263751305</v>
      </c>
      <c r="S384" s="4">
        <f t="shared" si="70"/>
        <v>1985.6236064347825</v>
      </c>
      <c r="T384" s="4">
        <f t="shared" si="71"/>
        <v>5261.9025570521735</v>
      </c>
      <c r="U384" s="4">
        <v>23.6</v>
      </c>
      <c r="V384" s="4">
        <v>0.75</v>
      </c>
      <c r="W384" s="4">
        <v>0</v>
      </c>
      <c r="X384" s="4" t="s">
        <v>461</v>
      </c>
      <c r="Z384" s="4">
        <v>26</v>
      </c>
    </row>
    <row r="385" spans="1:33" x14ac:dyDescent="0.25">
      <c r="A385" s="4" t="s">
        <v>97</v>
      </c>
      <c r="B385" s="4" t="s">
        <v>98</v>
      </c>
      <c r="C385" s="4">
        <v>4</v>
      </c>
      <c r="D385" s="4">
        <v>2</v>
      </c>
      <c r="E385" s="4">
        <f t="shared" si="77"/>
        <v>8</v>
      </c>
      <c r="F385" s="4">
        <v>27051.979729999999</v>
      </c>
      <c r="G385" s="4">
        <v>71687.746289999995</v>
      </c>
      <c r="H385" s="4">
        <v>11256.32877</v>
      </c>
      <c r="I385" s="4">
        <v>11.25632877</v>
      </c>
      <c r="J385" s="4">
        <v>1.1256329000000001E-2</v>
      </c>
      <c r="K385" s="4">
        <v>24.815927519999999</v>
      </c>
      <c r="L385" s="2">
        <v>6.5000000000000002E-2</v>
      </c>
      <c r="M385" s="4">
        <v>3</v>
      </c>
      <c r="N385" s="4">
        <v>82.563657669999998</v>
      </c>
      <c r="O385" s="4">
        <f t="shared" si="67"/>
        <v>1.8696037656083082</v>
      </c>
      <c r="P385" s="4">
        <f t="shared" si="68"/>
        <v>9.2683076569412108</v>
      </c>
      <c r="Q385" s="4">
        <f t="shared" si="74"/>
        <v>23.541501448630676</v>
      </c>
      <c r="R385" s="4">
        <f t="shared" si="69"/>
        <v>848.03901153410027</v>
      </c>
      <c r="S385" s="4">
        <f t="shared" si="70"/>
        <v>2038.0653966212451</v>
      </c>
      <c r="T385" s="4">
        <f t="shared" si="71"/>
        <v>5400.8733010462993</v>
      </c>
      <c r="U385" s="4">
        <v>23.6</v>
      </c>
      <c r="V385" s="4">
        <v>0.75</v>
      </c>
      <c r="W385" s="4">
        <v>0</v>
      </c>
      <c r="X385" s="7" t="s">
        <v>682</v>
      </c>
      <c r="Z385" s="7" t="s">
        <v>683</v>
      </c>
      <c r="AG385" s="4" t="s">
        <v>684</v>
      </c>
    </row>
    <row r="386" spans="1:33" x14ac:dyDescent="0.25">
      <c r="A386" s="4" t="s">
        <v>97</v>
      </c>
      <c r="B386" s="4" t="s">
        <v>98</v>
      </c>
      <c r="C386" s="4">
        <v>5</v>
      </c>
      <c r="D386" s="4">
        <v>2</v>
      </c>
      <c r="E386" s="4">
        <f t="shared" si="77"/>
        <v>10</v>
      </c>
      <c r="F386" s="4">
        <v>27162.319380000001</v>
      </c>
      <c r="G386" s="4">
        <v>71980.146370000002</v>
      </c>
      <c r="H386" s="4">
        <v>11302.24109</v>
      </c>
      <c r="I386" s="4">
        <v>11.302241090000001</v>
      </c>
      <c r="J386" s="4">
        <v>1.1302240999999999E-2</v>
      </c>
      <c r="K386" s="4">
        <v>24.917146760000001</v>
      </c>
      <c r="L386" s="2">
        <v>6.5000000000000002E-2</v>
      </c>
      <c r="M386" s="4">
        <v>3</v>
      </c>
      <c r="N386" s="4">
        <v>82.675758979999998</v>
      </c>
      <c r="O386" s="4">
        <f t="shared" ref="O386:O449" si="78">R386*0.00220462</f>
        <v>1.8804522272772768</v>
      </c>
      <c r="P386" s="4">
        <f t="shared" ref="P386:P449" si="79">Q386/2.54</f>
        <v>9.2861996885293365</v>
      </c>
      <c r="Q386" s="4">
        <f t="shared" si="74"/>
        <v>23.586947208864515</v>
      </c>
      <c r="R386" s="4">
        <f t="shared" ref="R386:R449" si="80">L386*(Q386^M386)</f>
        <v>852.95979682542873</v>
      </c>
      <c r="S386" s="4">
        <f t="shared" ref="S386:S449" si="81">R386/20/5.7/3.65*1000</f>
        <v>2049.8913646369351</v>
      </c>
      <c r="T386" s="4">
        <f t="shared" ref="T386:T449" si="82">S386*2.65</f>
        <v>5432.2121162878775</v>
      </c>
      <c r="U386" s="4">
        <v>23.6</v>
      </c>
      <c r="V386" s="4">
        <v>0.75</v>
      </c>
      <c r="W386" s="4">
        <v>0</v>
      </c>
      <c r="AA386" s="8">
        <f>AA382*AA380</f>
        <v>22.675000000000001</v>
      </c>
      <c r="AB386" s="8">
        <f>AB382*AB380</f>
        <v>38.556000000000004</v>
      </c>
      <c r="AC386" s="8">
        <f>AC382*AC380</f>
        <v>90.718400000000003</v>
      </c>
      <c r="AD386" s="8">
        <f>AD382*AD380</f>
        <v>142.99488000000002</v>
      </c>
      <c r="AE386" s="8">
        <f>AE382*AE380</f>
        <v>544.31039999999996</v>
      </c>
      <c r="AF386" s="8"/>
      <c r="AG386" s="9">
        <f>SUM(AA386:AE386)</f>
        <v>839.25468000000001</v>
      </c>
    </row>
    <row r="387" spans="1:33" x14ac:dyDescent="0.25">
      <c r="A387" s="4" t="s">
        <v>97</v>
      </c>
      <c r="B387" s="4" t="s">
        <v>98</v>
      </c>
      <c r="C387" s="4">
        <v>6</v>
      </c>
      <c r="D387" s="4">
        <v>2</v>
      </c>
      <c r="E387" s="4">
        <f t="shared" si="77"/>
        <v>12</v>
      </c>
      <c r="F387" s="4">
        <v>27182.585849999999</v>
      </c>
      <c r="G387" s="4">
        <v>72033.852509999997</v>
      </c>
      <c r="H387" s="4">
        <v>11310.67397</v>
      </c>
      <c r="I387" s="4">
        <v>11.31067397</v>
      </c>
      <c r="J387" s="4">
        <v>1.1310674E-2</v>
      </c>
      <c r="K387" s="4">
        <v>24.935738050000001</v>
      </c>
      <c r="L387" s="2">
        <v>6.5000000000000002E-2</v>
      </c>
      <c r="M387" s="4">
        <v>3</v>
      </c>
      <c r="N387" s="4">
        <v>82.696315999999996</v>
      </c>
      <c r="O387" s="4">
        <f t="shared" si="78"/>
        <v>1.8828785589619494</v>
      </c>
      <c r="P387" s="4">
        <f t="shared" si="79"/>
        <v>9.2901919404029751</v>
      </c>
      <c r="Q387" s="4">
        <f t="shared" ref="Q387:Q450" si="83">U387*(1-EXP(-V387*(E387-W387)))</f>
        <v>23.597087528623558</v>
      </c>
      <c r="R387" s="4">
        <f t="shared" si="80"/>
        <v>854.06036367353533</v>
      </c>
      <c r="S387" s="4">
        <f t="shared" si="81"/>
        <v>2052.5363222146971</v>
      </c>
      <c r="T387" s="4">
        <f t="shared" si="82"/>
        <v>5439.2212538689473</v>
      </c>
      <c r="U387" s="4">
        <v>23.6</v>
      </c>
      <c r="V387" s="4">
        <v>0.75</v>
      </c>
      <c r="W387" s="4">
        <v>0</v>
      </c>
      <c r="Y387" s="4">
        <f>180/2.54</f>
        <v>70.866141732283467</v>
      </c>
    </row>
    <row r="388" spans="1:33" x14ac:dyDescent="0.25">
      <c r="A388" s="4" t="s">
        <v>97</v>
      </c>
      <c r="B388" s="4" t="s">
        <v>98</v>
      </c>
      <c r="C388" s="4">
        <v>7</v>
      </c>
      <c r="D388" s="4">
        <v>2</v>
      </c>
      <c r="E388" s="4">
        <f t="shared" si="77"/>
        <v>14</v>
      </c>
      <c r="F388" s="4">
        <v>27187.089510000002</v>
      </c>
      <c r="G388" s="4">
        <v>72045.787200000006</v>
      </c>
      <c r="H388" s="4">
        <v>11312.54795</v>
      </c>
      <c r="I388" s="4">
        <v>11.312547950000001</v>
      </c>
      <c r="J388" s="4">
        <v>1.1312548E-2</v>
      </c>
      <c r="K388" s="4">
        <v>24.93986945</v>
      </c>
      <c r="L388" s="2">
        <v>6.5000000000000002E-2</v>
      </c>
      <c r="M388" s="4">
        <v>3</v>
      </c>
      <c r="N388" s="4">
        <v>82.700882840000006</v>
      </c>
      <c r="O388" s="4">
        <f t="shared" si="78"/>
        <v>1.8834202313903003</v>
      </c>
      <c r="P388" s="4">
        <f t="shared" si="79"/>
        <v>9.2910827322028933</v>
      </c>
      <c r="Q388" s="4">
        <f t="shared" si="83"/>
        <v>23.599350139795348</v>
      </c>
      <c r="R388" s="4">
        <f t="shared" si="80"/>
        <v>854.30606244627211</v>
      </c>
      <c r="S388" s="4">
        <f t="shared" si="81"/>
        <v>2053.126802322211</v>
      </c>
      <c r="T388" s="4">
        <f t="shared" si="82"/>
        <v>5440.786026153859</v>
      </c>
      <c r="U388" s="4">
        <v>23.6</v>
      </c>
      <c r="V388" s="4">
        <v>0.75</v>
      </c>
      <c r="W388" s="4">
        <v>0</v>
      </c>
      <c r="Y388" s="4">
        <f>AG386/Y382</f>
        <v>0.2622670875</v>
      </c>
    </row>
    <row r="389" spans="1:33" x14ac:dyDescent="0.25">
      <c r="A389" s="4" t="s">
        <v>97</v>
      </c>
      <c r="B389" s="4" t="s">
        <v>98</v>
      </c>
      <c r="C389" s="4">
        <v>8</v>
      </c>
      <c r="D389" s="4">
        <v>2</v>
      </c>
      <c r="E389" s="4">
        <f t="shared" si="77"/>
        <v>16</v>
      </c>
      <c r="F389" s="4">
        <v>27187.840120000001</v>
      </c>
      <c r="G389" s="4">
        <v>72047.776320000004</v>
      </c>
      <c r="H389" s="4">
        <v>11312.860269999999</v>
      </c>
      <c r="I389" s="4">
        <v>11.31286027</v>
      </c>
      <c r="J389" s="4">
        <v>1.1312859999999999E-2</v>
      </c>
      <c r="K389" s="4">
        <v>24.940558020000001</v>
      </c>
      <c r="L389" s="2">
        <v>6.5000000000000002E-2</v>
      </c>
      <c r="M389" s="4">
        <v>3</v>
      </c>
      <c r="N389" s="4">
        <v>82.701643930000003</v>
      </c>
      <c r="O389" s="4">
        <f t="shared" si="78"/>
        <v>1.8835411090205088</v>
      </c>
      <c r="P389" s="4">
        <f t="shared" si="79"/>
        <v>9.2912814947198665</v>
      </c>
      <c r="Q389" s="4">
        <f t="shared" si="83"/>
        <v>23.599854996588462</v>
      </c>
      <c r="R389" s="4">
        <f t="shared" si="80"/>
        <v>854.36089168224396</v>
      </c>
      <c r="S389" s="4">
        <f t="shared" si="81"/>
        <v>2053.2585716948906</v>
      </c>
      <c r="T389" s="4">
        <f t="shared" si="82"/>
        <v>5441.1352149914601</v>
      </c>
      <c r="U389" s="4">
        <v>23.6</v>
      </c>
      <c r="V389" s="4">
        <v>0.75</v>
      </c>
      <c r="W389" s="4">
        <v>0</v>
      </c>
      <c r="Y389" s="4">
        <f>Y387*Y388</f>
        <v>18.585856594488188</v>
      </c>
    </row>
    <row r="390" spans="1:33" x14ac:dyDescent="0.25">
      <c r="A390" s="4" t="s">
        <v>97</v>
      </c>
      <c r="B390" s="4" t="s">
        <v>98</v>
      </c>
      <c r="C390" s="4">
        <v>9</v>
      </c>
      <c r="D390" s="4">
        <v>2</v>
      </c>
      <c r="E390" s="4">
        <f t="shared" si="77"/>
        <v>18</v>
      </c>
      <c r="F390" s="4">
        <v>27188.59073</v>
      </c>
      <c r="G390" s="4">
        <v>72049.765429999999</v>
      </c>
      <c r="H390" s="4">
        <v>11313.1726</v>
      </c>
      <c r="I390" s="4">
        <v>11.3131726</v>
      </c>
      <c r="J390" s="4">
        <v>1.1313172999999999E-2</v>
      </c>
      <c r="K390" s="4">
        <v>24.941246580000001</v>
      </c>
      <c r="L390" s="2">
        <v>6.5000000000000002E-2</v>
      </c>
      <c r="M390" s="4">
        <v>3</v>
      </c>
      <c r="N390" s="4">
        <v>82.702405010000007</v>
      </c>
      <c r="O390" s="4">
        <f t="shared" si="78"/>
        <v>1.8835680811712319</v>
      </c>
      <c r="P390" s="4">
        <f t="shared" si="79"/>
        <v>9.2913258446321105</v>
      </c>
      <c r="Q390" s="4">
        <f t="shared" si="83"/>
        <v>23.599967645365563</v>
      </c>
      <c r="R390" s="4">
        <f t="shared" si="80"/>
        <v>854.37312605856425</v>
      </c>
      <c r="S390" s="4">
        <f t="shared" si="81"/>
        <v>2053.2879741854463</v>
      </c>
      <c r="T390" s="4">
        <f t="shared" si="82"/>
        <v>5441.2131315914321</v>
      </c>
      <c r="U390" s="4">
        <v>23.6</v>
      </c>
      <c r="V390" s="4">
        <v>0.75</v>
      </c>
      <c r="W390" s="4">
        <v>0</v>
      </c>
      <c r="Y390" s="2">
        <f>Y389/2*2.54</f>
        <v>23.604037875</v>
      </c>
      <c r="Z390" s="2" t="s">
        <v>685</v>
      </c>
    </row>
    <row r="391" spans="1:33" x14ac:dyDescent="0.25">
      <c r="A391" s="4" t="s">
        <v>97</v>
      </c>
      <c r="B391" s="4" t="s">
        <v>98</v>
      </c>
      <c r="C391" s="4">
        <v>10</v>
      </c>
      <c r="D391" s="4">
        <v>2</v>
      </c>
      <c r="E391" s="4">
        <f t="shared" si="77"/>
        <v>20</v>
      </c>
      <c r="F391" s="4">
        <v>27189.341339999999</v>
      </c>
      <c r="G391" s="4">
        <v>72051.754549999998</v>
      </c>
      <c r="H391" s="4">
        <v>11313.484930000001</v>
      </c>
      <c r="I391" s="4">
        <v>11.31348493</v>
      </c>
      <c r="J391" s="4">
        <v>1.1313485E-2</v>
      </c>
      <c r="K391" s="4">
        <v>24.941935149999999</v>
      </c>
      <c r="L391" s="2">
        <v>6.5000000000000002E-2</v>
      </c>
      <c r="M391" s="4">
        <v>3</v>
      </c>
      <c r="N391" s="4">
        <v>82.703166069999995</v>
      </c>
      <c r="O391" s="4">
        <f t="shared" si="78"/>
        <v>1.8835740995066796</v>
      </c>
      <c r="P391" s="4">
        <f t="shared" si="79"/>
        <v>9.2913357404351338</v>
      </c>
      <c r="Q391" s="4">
        <f t="shared" si="83"/>
        <v>23.599992780705239</v>
      </c>
      <c r="R391" s="4">
        <f t="shared" si="80"/>
        <v>854.37585593284996</v>
      </c>
      <c r="S391" s="4">
        <f t="shared" si="81"/>
        <v>2053.2945348061762</v>
      </c>
      <c r="T391" s="4">
        <f t="shared" si="82"/>
        <v>5441.2305172363667</v>
      </c>
      <c r="U391" s="4">
        <v>23.6</v>
      </c>
      <c r="V391" s="4">
        <v>0.75</v>
      </c>
      <c r="W391" s="4">
        <v>0</v>
      </c>
    </row>
    <row r="392" spans="1:33" x14ac:dyDescent="0.25">
      <c r="A392" s="4" t="s">
        <v>99</v>
      </c>
      <c r="B392" s="4" t="s">
        <v>100</v>
      </c>
      <c r="C392" s="4">
        <v>1</v>
      </c>
      <c r="D392" s="4">
        <v>2</v>
      </c>
      <c r="E392" s="4">
        <f t="shared" si="77"/>
        <v>2</v>
      </c>
      <c r="F392" s="4">
        <v>127.5414564</v>
      </c>
      <c r="G392" s="4">
        <v>337.98485950000003</v>
      </c>
      <c r="H392" s="4">
        <v>53.070000010000001</v>
      </c>
      <c r="I392" s="4">
        <v>5.3069999999999999E-2</v>
      </c>
      <c r="J392" s="4">
        <v>5.3100000000000003E-5</v>
      </c>
      <c r="K392" s="4">
        <v>0.11699918300000001</v>
      </c>
      <c r="L392" s="4">
        <v>1.4999999999999999E-2</v>
      </c>
      <c r="M392" s="4">
        <v>3.1</v>
      </c>
      <c r="N392" s="4">
        <v>13.955988079999999</v>
      </c>
      <c r="O392" s="4">
        <f t="shared" si="78"/>
        <v>7.7526309958411796E-2</v>
      </c>
      <c r="P392" s="4">
        <f t="shared" si="79"/>
        <v>4.8113930373485632</v>
      </c>
      <c r="Q392" s="4">
        <f t="shared" si="83"/>
        <v>12.22093831486535</v>
      </c>
      <c r="R392" s="4">
        <f t="shared" si="80"/>
        <v>35.165384491845217</v>
      </c>
      <c r="S392" s="4">
        <f t="shared" si="81"/>
        <v>84.511858908544141</v>
      </c>
      <c r="T392" s="4">
        <f t="shared" si="82"/>
        <v>223.95642610764196</v>
      </c>
      <c r="U392" s="4">
        <v>42.4</v>
      </c>
      <c r="V392" s="4">
        <v>0.17</v>
      </c>
      <c r="W392" s="4">
        <v>0</v>
      </c>
      <c r="Y392" s="4" t="s">
        <v>667</v>
      </c>
    </row>
    <row r="393" spans="1:33" x14ac:dyDescent="0.25">
      <c r="A393" s="4" t="s">
        <v>99</v>
      </c>
      <c r="B393" s="4" t="s">
        <v>100</v>
      </c>
      <c r="C393" s="4">
        <v>2</v>
      </c>
      <c r="D393" s="4">
        <v>2</v>
      </c>
      <c r="E393" s="4">
        <f t="shared" si="77"/>
        <v>4</v>
      </c>
      <c r="F393" s="4">
        <v>347.4885845</v>
      </c>
      <c r="G393" s="4">
        <v>920.84474890000001</v>
      </c>
      <c r="H393" s="4">
        <v>144.59</v>
      </c>
      <c r="I393" s="4">
        <v>0.14459</v>
      </c>
      <c r="J393" s="4">
        <v>1.4459E-4</v>
      </c>
      <c r="K393" s="4">
        <v>0.31876600599999999</v>
      </c>
      <c r="L393" s="4">
        <v>1.4999999999999999E-2</v>
      </c>
      <c r="M393" s="4">
        <v>3.1</v>
      </c>
      <c r="N393" s="4">
        <v>19.283082140000001</v>
      </c>
      <c r="O393" s="4">
        <f t="shared" si="78"/>
        <v>0.41032704300266931</v>
      </c>
      <c r="P393" s="4">
        <f t="shared" si="79"/>
        <v>8.2359998124799212</v>
      </c>
      <c r="Q393" s="4">
        <f t="shared" si="83"/>
        <v>20.919439523699001</v>
      </c>
      <c r="R393" s="4">
        <f t="shared" si="80"/>
        <v>186.12143725570363</v>
      </c>
      <c r="S393" s="4">
        <f t="shared" si="81"/>
        <v>447.29977711055909</v>
      </c>
      <c r="T393" s="4">
        <f t="shared" si="82"/>
        <v>1185.3444093429816</v>
      </c>
      <c r="U393" s="4">
        <v>42.4</v>
      </c>
      <c r="V393" s="4">
        <v>0.17</v>
      </c>
      <c r="W393" s="4">
        <v>0</v>
      </c>
    </row>
    <row r="394" spans="1:33" x14ac:dyDescent="0.25">
      <c r="A394" s="4" t="s">
        <v>99</v>
      </c>
      <c r="B394" s="4" t="s">
        <v>100</v>
      </c>
      <c r="C394" s="4">
        <v>3</v>
      </c>
      <c r="D394" s="4">
        <v>2</v>
      </c>
      <c r="E394" s="4">
        <f t="shared" si="77"/>
        <v>6</v>
      </c>
      <c r="F394" s="4">
        <v>732.42009129999997</v>
      </c>
      <c r="G394" s="4">
        <v>1940.9132420000001</v>
      </c>
      <c r="H394" s="4">
        <v>304.76</v>
      </c>
      <c r="I394" s="4">
        <v>0.30475999999999998</v>
      </c>
      <c r="J394" s="4">
        <v>3.0476E-4</v>
      </c>
      <c r="K394" s="4">
        <v>0.67187999099999995</v>
      </c>
      <c r="L394" s="4">
        <v>1.4999999999999999E-2</v>
      </c>
      <c r="M394" s="4">
        <v>3.1</v>
      </c>
      <c r="N394" s="4">
        <v>24.526434699999999</v>
      </c>
      <c r="O394" s="4">
        <f t="shared" si="78"/>
        <v>0.9165685900879792</v>
      </c>
      <c r="P394" s="4">
        <f t="shared" si="79"/>
        <v>10.673533282150188</v>
      </c>
      <c r="Q394" s="4">
        <f t="shared" si="83"/>
        <v>27.110774536661477</v>
      </c>
      <c r="R394" s="4">
        <f t="shared" si="80"/>
        <v>415.7490134753287</v>
      </c>
      <c r="S394" s="4">
        <f t="shared" si="81"/>
        <v>999.1564851606073</v>
      </c>
      <c r="T394" s="4">
        <f t="shared" si="82"/>
        <v>2647.7646856756091</v>
      </c>
      <c r="U394" s="4">
        <v>42.4</v>
      </c>
      <c r="V394" s="4">
        <v>0.17</v>
      </c>
      <c r="W394" s="4">
        <v>0</v>
      </c>
    </row>
    <row r="395" spans="1:33" x14ac:dyDescent="0.25">
      <c r="A395" s="4" t="s">
        <v>99</v>
      </c>
      <c r="B395" s="4" t="s">
        <v>100</v>
      </c>
      <c r="C395" s="4">
        <v>4</v>
      </c>
      <c r="D395" s="4">
        <v>2</v>
      </c>
      <c r="E395" s="4">
        <f t="shared" si="77"/>
        <v>8</v>
      </c>
      <c r="F395" s="4">
        <v>1115.2006730000001</v>
      </c>
      <c r="G395" s="4">
        <v>2955.281782</v>
      </c>
      <c r="H395" s="4">
        <v>464.03500000000003</v>
      </c>
      <c r="I395" s="4">
        <v>0.46403499999999998</v>
      </c>
      <c r="J395" s="4">
        <v>4.6403500000000001E-4</v>
      </c>
      <c r="K395" s="4">
        <v>1.023020842</v>
      </c>
      <c r="L395" s="4">
        <v>1.4999999999999999E-2</v>
      </c>
      <c r="M395" s="4">
        <v>3.1</v>
      </c>
      <c r="N395" s="4">
        <v>28.088937770000001</v>
      </c>
      <c r="O395" s="4">
        <f t="shared" si="78"/>
        <v>1.4619718504402728</v>
      </c>
      <c r="P395" s="4">
        <f t="shared" si="79"/>
        <v>12.40849726660206</v>
      </c>
      <c r="Q395" s="4">
        <f t="shared" si="83"/>
        <v>31.517583057169233</v>
      </c>
      <c r="R395" s="4">
        <f t="shared" si="80"/>
        <v>663.1400651542092</v>
      </c>
      <c r="S395" s="4">
        <f t="shared" si="81"/>
        <v>1593.7035932569313</v>
      </c>
      <c r="T395" s="4">
        <f t="shared" si="82"/>
        <v>4223.3145221308678</v>
      </c>
      <c r="U395" s="4">
        <v>42.4</v>
      </c>
      <c r="V395" s="4">
        <v>0.17</v>
      </c>
      <c r="W395" s="4">
        <v>0</v>
      </c>
    </row>
    <row r="396" spans="1:33" x14ac:dyDescent="0.25">
      <c r="A396" s="4" t="s">
        <v>99</v>
      </c>
      <c r="B396" s="4" t="s">
        <v>100</v>
      </c>
      <c r="C396" s="4">
        <v>5</v>
      </c>
      <c r="D396" s="4">
        <v>2</v>
      </c>
      <c r="E396" s="4">
        <f t="shared" si="77"/>
        <v>10</v>
      </c>
      <c r="F396" s="4">
        <v>1550.4325879999999</v>
      </c>
      <c r="G396" s="4">
        <v>4108.6463590000003</v>
      </c>
      <c r="H396" s="4">
        <v>645.13499990000003</v>
      </c>
      <c r="I396" s="4">
        <v>0.64513500000000001</v>
      </c>
      <c r="J396" s="4">
        <v>6.4513500000000002E-4</v>
      </c>
      <c r="K396" s="4">
        <v>1.422277523</v>
      </c>
      <c r="L396" s="4">
        <v>1.4999999999999999E-2</v>
      </c>
      <c r="M396" s="4">
        <v>3.1</v>
      </c>
      <c r="N396" s="4">
        <v>31.238959699999999</v>
      </c>
      <c r="O396" s="4">
        <f t="shared" si="78"/>
        <v>1.9618642084198317</v>
      </c>
      <c r="P396" s="4">
        <f t="shared" si="79"/>
        <v>13.643393141796873</v>
      </c>
      <c r="Q396" s="4">
        <f t="shared" si="83"/>
        <v>34.654218580164056</v>
      </c>
      <c r="R396" s="4">
        <f t="shared" si="80"/>
        <v>889.88769421479969</v>
      </c>
      <c r="S396" s="4">
        <f t="shared" si="81"/>
        <v>2138.6390151761589</v>
      </c>
      <c r="T396" s="4">
        <f t="shared" si="82"/>
        <v>5667.393390216821</v>
      </c>
      <c r="U396" s="4">
        <v>42.4</v>
      </c>
      <c r="V396" s="4">
        <v>0.17</v>
      </c>
      <c r="W396" s="4">
        <v>0</v>
      </c>
    </row>
    <row r="397" spans="1:33" x14ac:dyDescent="0.25">
      <c r="A397" s="4" t="s">
        <v>99</v>
      </c>
      <c r="B397" s="4" t="s">
        <v>100</v>
      </c>
      <c r="C397" s="4">
        <v>6</v>
      </c>
      <c r="D397" s="4">
        <v>2</v>
      </c>
      <c r="E397" s="4">
        <f t="shared" si="77"/>
        <v>12</v>
      </c>
      <c r="F397" s="4">
        <v>1976.4359529999999</v>
      </c>
      <c r="G397" s="4">
        <v>5237.5552749999997</v>
      </c>
      <c r="H397" s="4">
        <v>822.39499999999998</v>
      </c>
      <c r="I397" s="4">
        <v>0.82239499999999999</v>
      </c>
      <c r="J397" s="4">
        <v>8.2239499999999996E-4</v>
      </c>
      <c r="K397" s="4">
        <v>1.813068465</v>
      </c>
      <c r="L397" s="4">
        <v>1.4999999999999999E-2</v>
      </c>
      <c r="M397" s="4">
        <v>3.1</v>
      </c>
      <c r="N397" s="4">
        <v>33.783620839999998</v>
      </c>
      <c r="O397" s="4">
        <f t="shared" si="78"/>
        <v>2.3808082026159325</v>
      </c>
      <c r="P397" s="4">
        <f t="shared" si="79"/>
        <v>14.522355377462496</v>
      </c>
      <c r="Q397" s="4">
        <f t="shared" si="83"/>
        <v>36.88678265875474</v>
      </c>
      <c r="R397" s="4">
        <f t="shared" si="80"/>
        <v>1079.9177194327967</v>
      </c>
      <c r="S397" s="4">
        <f t="shared" si="81"/>
        <v>2595.3321784013383</v>
      </c>
      <c r="T397" s="4">
        <f t="shared" si="82"/>
        <v>6877.6302727635466</v>
      </c>
      <c r="U397" s="4">
        <v>42.4</v>
      </c>
      <c r="V397" s="4">
        <v>0.17</v>
      </c>
      <c r="W397" s="4">
        <v>0</v>
      </c>
    </row>
    <row r="398" spans="1:33" x14ac:dyDescent="0.25">
      <c r="A398" s="4" t="s">
        <v>99</v>
      </c>
      <c r="B398" s="4" t="s">
        <v>100</v>
      </c>
      <c r="C398" s="4">
        <v>7</v>
      </c>
      <c r="D398" s="4">
        <v>2</v>
      </c>
      <c r="E398" s="4">
        <f t="shared" si="77"/>
        <v>14</v>
      </c>
      <c r="F398" s="4">
        <v>2275.6669069999998</v>
      </c>
      <c r="G398" s="4">
        <v>6030.517304</v>
      </c>
      <c r="H398" s="4">
        <v>946.90499999999997</v>
      </c>
      <c r="I398" s="4">
        <v>0.946905</v>
      </c>
      <c r="J398" s="4">
        <v>9.4690499999999995E-4</v>
      </c>
      <c r="K398" s="4">
        <v>2.0875657009999999</v>
      </c>
      <c r="L398" s="4">
        <v>1.4999999999999999E-2</v>
      </c>
      <c r="M398" s="4">
        <v>3.1</v>
      </c>
      <c r="N398" s="4">
        <v>35.355460659999999</v>
      </c>
      <c r="O398" s="4">
        <f t="shared" si="78"/>
        <v>2.7133679201056804</v>
      </c>
      <c r="P398" s="4">
        <f t="shared" si="79"/>
        <v>15.147974611638366</v>
      </c>
      <c r="Q398" s="4">
        <f t="shared" si="83"/>
        <v>38.475855513561449</v>
      </c>
      <c r="R398" s="4">
        <f t="shared" si="80"/>
        <v>1230.764449250066</v>
      </c>
      <c r="S398" s="4">
        <f t="shared" si="81"/>
        <v>2957.8573642154915</v>
      </c>
      <c r="T398" s="4">
        <f t="shared" si="82"/>
        <v>7838.322015171052</v>
      </c>
      <c r="U398" s="4">
        <v>42.4</v>
      </c>
      <c r="V398" s="4">
        <v>0.17</v>
      </c>
      <c r="W398" s="4">
        <v>0</v>
      </c>
    </row>
    <row r="399" spans="1:33" x14ac:dyDescent="0.25">
      <c r="A399" s="4" t="s">
        <v>99</v>
      </c>
      <c r="B399" s="4" t="s">
        <v>100</v>
      </c>
      <c r="C399" s="4">
        <v>8</v>
      </c>
      <c r="D399" s="4">
        <v>2</v>
      </c>
      <c r="E399" s="4">
        <f t="shared" si="77"/>
        <v>16</v>
      </c>
      <c r="F399" s="4">
        <v>2451.3338140000001</v>
      </c>
      <c r="G399" s="4">
        <v>6496.0346079999999</v>
      </c>
      <c r="H399" s="4">
        <v>1020</v>
      </c>
      <c r="I399" s="4">
        <v>1.02</v>
      </c>
      <c r="J399" s="4">
        <v>1.0200000000000001E-3</v>
      </c>
      <c r="K399" s="4">
        <v>2.2487124000000001</v>
      </c>
      <c r="L399" s="4">
        <v>1.4999999999999999E-2</v>
      </c>
      <c r="M399" s="4">
        <v>3.1</v>
      </c>
      <c r="N399" s="4">
        <v>36.213778660000003</v>
      </c>
      <c r="O399" s="4">
        <f t="shared" si="78"/>
        <v>2.9683492422888915</v>
      </c>
      <c r="P399" s="4">
        <f t="shared" si="79"/>
        <v>15.593271815874219</v>
      </c>
      <c r="Q399" s="4">
        <f t="shared" si="83"/>
        <v>39.606910412320516</v>
      </c>
      <c r="R399" s="4">
        <f t="shared" si="80"/>
        <v>1346.4221690308948</v>
      </c>
      <c r="S399" s="4">
        <f t="shared" si="81"/>
        <v>3235.8139125952775</v>
      </c>
      <c r="T399" s="4">
        <f t="shared" si="82"/>
        <v>8574.9068683774858</v>
      </c>
      <c r="U399" s="4">
        <v>42.4</v>
      </c>
      <c r="V399" s="4">
        <v>0.17</v>
      </c>
      <c r="W399" s="4">
        <v>0</v>
      </c>
    </row>
    <row r="400" spans="1:33" x14ac:dyDescent="0.25">
      <c r="A400" s="4" t="s">
        <v>99</v>
      </c>
      <c r="B400" s="4" t="s">
        <v>100</v>
      </c>
      <c r="C400" s="4">
        <v>9</v>
      </c>
      <c r="D400" s="4">
        <v>2</v>
      </c>
      <c r="E400" s="4">
        <f t="shared" si="77"/>
        <v>18</v>
      </c>
      <c r="F400" s="4">
        <v>2643.5952900000002</v>
      </c>
      <c r="G400" s="4">
        <v>7005.5275179999999</v>
      </c>
      <c r="H400" s="4">
        <v>1100</v>
      </c>
      <c r="I400" s="4">
        <v>1.1000000000000001</v>
      </c>
      <c r="J400" s="4">
        <v>1.1000000000000001E-3</v>
      </c>
      <c r="K400" s="4">
        <v>2.4250820000000002</v>
      </c>
      <c r="L400" s="4">
        <v>1.4999999999999999E-2</v>
      </c>
      <c r="M400" s="4">
        <v>3.1</v>
      </c>
      <c r="N400" s="4">
        <v>37.106677779999998</v>
      </c>
      <c r="O400" s="4">
        <f t="shared" si="78"/>
        <v>3.1594085870510749</v>
      </c>
      <c r="P400" s="4">
        <f t="shared" si="79"/>
        <v>15.91022115065846</v>
      </c>
      <c r="Q400" s="4">
        <f t="shared" si="83"/>
        <v>40.411961722672487</v>
      </c>
      <c r="R400" s="4">
        <f t="shared" si="80"/>
        <v>1433.0853330964405</v>
      </c>
      <c r="S400" s="4">
        <f t="shared" si="81"/>
        <v>3444.088760145255</v>
      </c>
      <c r="T400" s="4">
        <f t="shared" si="82"/>
        <v>9126.8352143849261</v>
      </c>
      <c r="U400" s="4">
        <v>42.4</v>
      </c>
      <c r="V400" s="4">
        <v>0.17</v>
      </c>
      <c r="W400" s="4">
        <v>0</v>
      </c>
    </row>
    <row r="401" spans="1:34" x14ac:dyDescent="0.25">
      <c r="A401" s="4" t="s">
        <v>99</v>
      </c>
      <c r="B401" s="4" t="s">
        <v>100</v>
      </c>
      <c r="C401" s="4">
        <v>10</v>
      </c>
      <c r="D401" s="4">
        <v>2</v>
      </c>
      <c r="E401" s="4">
        <f t="shared" si="77"/>
        <v>20</v>
      </c>
      <c r="F401" s="4">
        <v>3076.18361</v>
      </c>
      <c r="G401" s="4">
        <v>8151.8865660000001</v>
      </c>
      <c r="H401" s="4">
        <v>1280</v>
      </c>
      <c r="I401" s="4">
        <v>1.28</v>
      </c>
      <c r="J401" s="4">
        <v>1.2800000000000001E-3</v>
      </c>
      <c r="K401" s="4">
        <v>2.8219135999999998</v>
      </c>
      <c r="L401" s="4">
        <v>1.4999999999999999E-2</v>
      </c>
      <c r="M401" s="4">
        <v>3.1</v>
      </c>
      <c r="N401" s="4">
        <v>38.965787259999999</v>
      </c>
      <c r="O401" s="4">
        <f t="shared" si="78"/>
        <v>3.3003609426445943</v>
      </c>
      <c r="P401" s="4">
        <f t="shared" si="79"/>
        <v>16.135816280977231</v>
      </c>
      <c r="Q401" s="4">
        <f t="shared" si="83"/>
        <v>40.984973353682172</v>
      </c>
      <c r="R401" s="4">
        <f t="shared" si="80"/>
        <v>1497.020322161912</v>
      </c>
      <c r="S401" s="4">
        <f t="shared" si="81"/>
        <v>3597.7417019031764</v>
      </c>
      <c r="T401" s="4">
        <f t="shared" si="82"/>
        <v>9534.0155100434167</v>
      </c>
      <c r="U401" s="4">
        <v>42.4</v>
      </c>
      <c r="V401" s="4">
        <v>0.17</v>
      </c>
      <c r="W401" s="4">
        <v>0</v>
      </c>
    </row>
    <row r="402" spans="1:34" x14ac:dyDescent="0.25">
      <c r="A402" s="4" t="s">
        <v>101</v>
      </c>
      <c r="B402" s="4" t="s">
        <v>102</v>
      </c>
      <c r="C402" s="4">
        <v>1</v>
      </c>
      <c r="D402" s="4">
        <v>2</v>
      </c>
      <c r="E402" s="4">
        <f t="shared" si="77"/>
        <v>2</v>
      </c>
      <c r="F402" s="4">
        <v>127.5414564</v>
      </c>
      <c r="G402" s="4">
        <v>337.98485950000003</v>
      </c>
      <c r="H402" s="4">
        <v>53.070000010000001</v>
      </c>
      <c r="I402" s="4">
        <v>5.3069999999999999E-2</v>
      </c>
      <c r="J402" s="4">
        <v>5.3100000000000003E-5</v>
      </c>
      <c r="K402" s="4">
        <v>0.11699918300000001</v>
      </c>
      <c r="L402" s="4">
        <v>1.2E-2</v>
      </c>
      <c r="M402" s="4">
        <v>3.1</v>
      </c>
      <c r="N402" s="4">
        <v>14.99760408</v>
      </c>
      <c r="O402" s="4">
        <f t="shared" si="78"/>
        <v>1.048811704075304</v>
      </c>
      <c r="P402" s="4">
        <f t="shared" si="79"/>
        <v>11.979838750679438</v>
      </c>
      <c r="Q402" s="4">
        <f t="shared" si="83"/>
        <v>30.428790426725772</v>
      </c>
      <c r="R402" s="2">
        <f t="shared" si="80"/>
        <v>475.73355230166828</v>
      </c>
      <c r="S402" s="2">
        <f t="shared" si="81"/>
        <v>1143.3154345149444</v>
      </c>
      <c r="T402" s="2">
        <f t="shared" si="82"/>
        <v>3029.7859014646024</v>
      </c>
      <c r="U402" s="4">
        <f t="shared" ref="U402:U411" si="84">$AH$404</f>
        <v>150.03333333333333</v>
      </c>
      <c r="V402" s="4">
        <f t="shared" ref="V402:V411" si="85">$AH$405</f>
        <v>0.11333333333333334</v>
      </c>
      <c r="W402" s="4">
        <v>0</v>
      </c>
      <c r="Y402" s="4" t="s">
        <v>686</v>
      </c>
      <c r="Z402" s="4" t="s">
        <v>687</v>
      </c>
      <c r="AA402" s="4" t="s">
        <v>688</v>
      </c>
      <c r="AB402" s="4" t="s">
        <v>689</v>
      </c>
      <c r="AC402" s="4" t="s">
        <v>690</v>
      </c>
      <c r="AD402" s="4" t="s">
        <v>691</v>
      </c>
      <c r="AE402" s="4" t="s">
        <v>692</v>
      </c>
      <c r="AF402" s="4" t="s">
        <v>693</v>
      </c>
    </row>
    <row r="403" spans="1:34" x14ac:dyDescent="0.25">
      <c r="A403" s="4" t="s">
        <v>101</v>
      </c>
      <c r="B403" s="4" t="s">
        <v>102</v>
      </c>
      <c r="C403" s="4">
        <v>2</v>
      </c>
      <c r="D403" s="4">
        <v>2</v>
      </c>
      <c r="E403" s="4">
        <f t="shared" si="77"/>
        <v>4</v>
      </c>
      <c r="F403" s="4">
        <v>347.4885845</v>
      </c>
      <c r="G403" s="4">
        <v>920.84474890000001</v>
      </c>
      <c r="H403" s="4">
        <v>144.59</v>
      </c>
      <c r="I403" s="4">
        <v>0.14459</v>
      </c>
      <c r="J403" s="4">
        <v>1.4459E-4</v>
      </c>
      <c r="K403" s="4">
        <v>0.31876600599999999</v>
      </c>
      <c r="L403" s="4">
        <v>1.2E-2</v>
      </c>
      <c r="M403" s="4">
        <v>3.1</v>
      </c>
      <c r="N403" s="4">
        <v>20.722289929999999</v>
      </c>
      <c r="O403" s="4">
        <f t="shared" si="78"/>
        <v>3.1180781451313928</v>
      </c>
      <c r="P403" s="4">
        <f t="shared" si="79"/>
        <v>17.025220173825382</v>
      </c>
      <c r="Q403" s="4">
        <f t="shared" si="83"/>
        <v>43.244059241516467</v>
      </c>
      <c r="R403" s="2">
        <f t="shared" si="80"/>
        <v>1414.3381376978314</v>
      </c>
      <c r="S403" s="2">
        <f t="shared" si="81"/>
        <v>3399.0342170099289</v>
      </c>
      <c r="T403" s="2">
        <f t="shared" si="82"/>
        <v>9007.4406750763119</v>
      </c>
      <c r="U403" s="4">
        <f t="shared" si="84"/>
        <v>150.03333333333333</v>
      </c>
      <c r="V403" s="4">
        <f t="shared" si="85"/>
        <v>0.11333333333333334</v>
      </c>
      <c r="W403" s="4">
        <v>1</v>
      </c>
      <c r="X403" s="4" t="s">
        <v>422</v>
      </c>
      <c r="Y403" s="4">
        <v>230</v>
      </c>
      <c r="AB403" s="4">
        <v>152</v>
      </c>
      <c r="AC403" s="4">
        <v>403</v>
      </c>
      <c r="AE403" s="4">
        <v>143</v>
      </c>
      <c r="AF403" s="4">
        <v>100</v>
      </c>
      <c r="AH403" s="4">
        <f>AVERAGE(Y403:AF403)</f>
        <v>205.6</v>
      </c>
    </row>
    <row r="404" spans="1:34" x14ac:dyDescent="0.25">
      <c r="A404" s="4" t="s">
        <v>101</v>
      </c>
      <c r="B404" s="4" t="s">
        <v>102</v>
      </c>
      <c r="C404" s="4">
        <v>3</v>
      </c>
      <c r="D404" s="4">
        <v>2</v>
      </c>
      <c r="E404" s="4">
        <f t="shared" si="77"/>
        <v>6</v>
      </c>
      <c r="F404" s="4">
        <v>732.42009129999997</v>
      </c>
      <c r="G404" s="4">
        <v>1940.9132420000001</v>
      </c>
      <c r="H404" s="4">
        <v>304.76</v>
      </c>
      <c r="I404" s="4">
        <v>0.30475999999999998</v>
      </c>
      <c r="J404" s="4">
        <v>3.0476E-4</v>
      </c>
      <c r="K404" s="4">
        <v>0.67187999099999995</v>
      </c>
      <c r="L404" s="4">
        <v>1.2E-2</v>
      </c>
      <c r="M404" s="4">
        <v>3.1</v>
      </c>
      <c r="N404" s="4">
        <v>26.35698417</v>
      </c>
      <c r="O404" s="4">
        <f t="shared" si="78"/>
        <v>6.4555947235383959</v>
      </c>
      <c r="P404" s="4">
        <f t="shared" si="79"/>
        <v>21.530004077517109</v>
      </c>
      <c r="Q404" s="4">
        <f t="shared" si="83"/>
        <v>54.686210356893454</v>
      </c>
      <c r="R404" s="2">
        <f t="shared" si="80"/>
        <v>2928.2119927871449</v>
      </c>
      <c r="S404" s="2">
        <f t="shared" si="81"/>
        <v>7037.2794827857379</v>
      </c>
      <c r="T404" s="2">
        <f t="shared" si="82"/>
        <v>18648.790629382205</v>
      </c>
      <c r="U404" s="4">
        <f t="shared" si="84"/>
        <v>150.03333333333333</v>
      </c>
      <c r="V404" s="4">
        <f t="shared" si="85"/>
        <v>0.11333333333333334</v>
      </c>
      <c r="W404" s="4">
        <v>2</v>
      </c>
      <c r="X404" s="4" t="s">
        <v>18</v>
      </c>
      <c r="AC404" s="4">
        <v>236</v>
      </c>
      <c r="AE404" s="4">
        <v>144</v>
      </c>
      <c r="AF404" s="4">
        <v>70.099999999999994</v>
      </c>
      <c r="AH404" s="4">
        <f>AVERAGE(Y404:AF404)</f>
        <v>150.03333333333333</v>
      </c>
    </row>
    <row r="405" spans="1:34" x14ac:dyDescent="0.25">
      <c r="A405" s="4" t="s">
        <v>101</v>
      </c>
      <c r="B405" s="4" t="s">
        <v>102</v>
      </c>
      <c r="C405" s="4">
        <v>4</v>
      </c>
      <c r="D405" s="4">
        <v>2</v>
      </c>
      <c r="E405" s="4">
        <f t="shared" si="77"/>
        <v>8</v>
      </c>
      <c r="F405" s="4">
        <v>1115.2006730000001</v>
      </c>
      <c r="G405" s="4">
        <v>2955.281782</v>
      </c>
      <c r="H405" s="4">
        <v>464.03500000000003</v>
      </c>
      <c r="I405" s="4">
        <v>0.46403499999999998</v>
      </c>
      <c r="J405" s="4">
        <v>4.6403500000000001E-4</v>
      </c>
      <c r="K405" s="4">
        <v>1.023020842</v>
      </c>
      <c r="L405" s="4">
        <v>1.2E-2</v>
      </c>
      <c r="M405" s="4">
        <v>3.1</v>
      </c>
      <c r="N405" s="4">
        <v>30.185377429999999</v>
      </c>
      <c r="O405" s="4">
        <f t="shared" si="78"/>
        <v>10.977986601158317</v>
      </c>
      <c r="P405" s="4">
        <f t="shared" si="79"/>
        <v>25.552113868040497</v>
      </c>
      <c r="Q405" s="4">
        <f t="shared" si="83"/>
        <v>64.902369224822863</v>
      </c>
      <c r="R405" s="2">
        <f t="shared" si="80"/>
        <v>4979.5368821648708</v>
      </c>
      <c r="S405" s="2">
        <f t="shared" si="81"/>
        <v>11967.163860045352</v>
      </c>
      <c r="T405" s="2">
        <f t="shared" si="82"/>
        <v>31712.984229120182</v>
      </c>
      <c r="U405" s="4">
        <f t="shared" si="84"/>
        <v>150.03333333333333</v>
      </c>
      <c r="V405" s="4">
        <f t="shared" si="85"/>
        <v>0.11333333333333334</v>
      </c>
      <c r="W405" s="4">
        <v>3</v>
      </c>
      <c r="X405" s="4" t="s">
        <v>19</v>
      </c>
      <c r="AC405" s="4">
        <v>0.1</v>
      </c>
      <c r="AE405" s="4">
        <v>0.04</v>
      </c>
      <c r="AF405" s="4">
        <v>0.2</v>
      </c>
      <c r="AH405" s="4">
        <f>AVERAGE(Y405:AF405)</f>
        <v>0.11333333333333334</v>
      </c>
    </row>
    <row r="406" spans="1:34" x14ac:dyDescent="0.25">
      <c r="A406" s="4" t="s">
        <v>101</v>
      </c>
      <c r="B406" s="4" t="s">
        <v>102</v>
      </c>
      <c r="C406" s="4">
        <v>5</v>
      </c>
      <c r="D406" s="4">
        <v>2</v>
      </c>
      <c r="E406" s="4">
        <f t="shared" si="77"/>
        <v>10</v>
      </c>
      <c r="F406" s="4">
        <v>1550.4325879999999</v>
      </c>
      <c r="G406" s="4">
        <v>4108.6463590000003</v>
      </c>
      <c r="H406" s="4">
        <v>645.13499990000003</v>
      </c>
      <c r="I406" s="4">
        <v>0.64513500000000001</v>
      </c>
      <c r="J406" s="4">
        <v>6.4513500000000002E-4</v>
      </c>
      <c r="K406" s="4">
        <v>1.422277523</v>
      </c>
      <c r="L406" s="4">
        <v>1.2E-2</v>
      </c>
      <c r="M406" s="4">
        <v>3.1</v>
      </c>
      <c r="N406" s="4">
        <v>33.570503690000002</v>
      </c>
      <c r="O406" s="4">
        <f t="shared" si="78"/>
        <v>16.503194668098537</v>
      </c>
      <c r="P406" s="4">
        <f t="shared" si="79"/>
        <v>29.143266632053564</v>
      </c>
      <c r="Q406" s="4">
        <f t="shared" si="83"/>
        <v>74.023897245416052</v>
      </c>
      <c r="R406" s="2">
        <f t="shared" si="80"/>
        <v>7485.7320844855512</v>
      </c>
      <c r="S406" s="2">
        <f t="shared" si="81"/>
        <v>17990.223707006851</v>
      </c>
      <c r="T406" s="2">
        <f t="shared" si="82"/>
        <v>47674.092823568157</v>
      </c>
      <c r="U406" s="4">
        <f t="shared" si="84"/>
        <v>150.03333333333333</v>
      </c>
      <c r="V406" s="4">
        <f t="shared" si="85"/>
        <v>0.11333333333333334</v>
      </c>
      <c r="W406" s="4">
        <v>4</v>
      </c>
      <c r="X406" s="4" t="s">
        <v>477</v>
      </c>
    </row>
    <row r="407" spans="1:34" x14ac:dyDescent="0.25">
      <c r="A407" s="4" t="s">
        <v>101</v>
      </c>
      <c r="B407" s="4" t="s">
        <v>102</v>
      </c>
      <c r="C407" s="4">
        <v>6</v>
      </c>
      <c r="D407" s="4">
        <v>2</v>
      </c>
      <c r="E407" s="4">
        <f t="shared" si="77"/>
        <v>12</v>
      </c>
      <c r="F407" s="4">
        <v>1976.4359529999999</v>
      </c>
      <c r="G407" s="4">
        <v>5237.5552749999997</v>
      </c>
      <c r="H407" s="4">
        <v>822.39499999999998</v>
      </c>
      <c r="I407" s="4">
        <v>0.82239499999999999</v>
      </c>
      <c r="J407" s="4">
        <v>8.2239499999999996E-4</v>
      </c>
      <c r="K407" s="4">
        <v>1.813068465</v>
      </c>
      <c r="L407" s="4">
        <v>1.2E-2</v>
      </c>
      <c r="M407" s="4">
        <v>3.1</v>
      </c>
      <c r="N407" s="4">
        <v>36.305087579999999</v>
      </c>
      <c r="O407" s="4">
        <f t="shared" si="78"/>
        <v>22.808395431515205</v>
      </c>
      <c r="P407" s="4">
        <f t="shared" si="79"/>
        <v>32.349638125160034</v>
      </c>
      <c r="Q407" s="4">
        <f t="shared" si="83"/>
        <v>82.168080837906487</v>
      </c>
      <c r="R407" s="2">
        <f t="shared" si="80"/>
        <v>10345.726443339534</v>
      </c>
      <c r="S407" s="2">
        <f t="shared" si="81"/>
        <v>24863.557902762637</v>
      </c>
      <c r="T407" s="2">
        <f t="shared" si="82"/>
        <v>65888.42844232099</v>
      </c>
      <c r="U407" s="4">
        <f t="shared" si="84"/>
        <v>150.03333333333333</v>
      </c>
      <c r="V407" s="4">
        <f t="shared" si="85"/>
        <v>0.11333333333333334</v>
      </c>
      <c r="W407" s="4">
        <v>5</v>
      </c>
      <c r="X407" s="4" t="s">
        <v>423</v>
      </c>
      <c r="AC407" s="4" t="s">
        <v>428</v>
      </c>
      <c r="AE407" s="4" t="s">
        <v>694</v>
      </c>
      <c r="AF407" s="4" t="s">
        <v>428</v>
      </c>
    </row>
    <row r="408" spans="1:34" x14ac:dyDescent="0.25">
      <c r="A408" s="4" t="s">
        <v>101</v>
      </c>
      <c r="B408" s="4" t="s">
        <v>102</v>
      </c>
      <c r="C408" s="4">
        <v>7</v>
      </c>
      <c r="D408" s="4">
        <v>2</v>
      </c>
      <c r="E408" s="4">
        <f t="shared" si="77"/>
        <v>14</v>
      </c>
      <c r="F408" s="4">
        <v>2275.6669069999998</v>
      </c>
      <c r="G408" s="4">
        <v>6030.517304</v>
      </c>
      <c r="H408" s="4">
        <v>946.90499999999997</v>
      </c>
      <c r="I408" s="4">
        <v>0.946905</v>
      </c>
      <c r="J408" s="4">
        <v>9.4690499999999995E-4</v>
      </c>
      <c r="K408" s="4">
        <v>2.0875657009999999</v>
      </c>
      <c r="L408" s="4">
        <v>1.2E-2</v>
      </c>
      <c r="M408" s="4">
        <v>3.1</v>
      </c>
      <c r="N408" s="4">
        <v>37.994242890000002</v>
      </c>
      <c r="O408" s="4">
        <f t="shared" si="78"/>
        <v>29.665939975959152</v>
      </c>
      <c r="P408" s="4">
        <f t="shared" si="79"/>
        <v>35.212456508947518</v>
      </c>
      <c r="Q408" s="4">
        <f t="shared" si="83"/>
        <v>89.439639532726702</v>
      </c>
      <c r="R408" s="2">
        <f t="shared" si="80"/>
        <v>13456.260024838362</v>
      </c>
      <c r="S408" s="2">
        <f t="shared" si="81"/>
        <v>32339.005106556982</v>
      </c>
      <c r="T408" s="2">
        <f t="shared" si="82"/>
        <v>85698.363532375995</v>
      </c>
      <c r="U408" s="4">
        <f t="shared" si="84"/>
        <v>150.03333333333333</v>
      </c>
      <c r="V408" s="4">
        <f t="shared" si="85"/>
        <v>0.11333333333333334</v>
      </c>
      <c r="W408" s="4">
        <v>6</v>
      </c>
      <c r="X408" s="4" t="s">
        <v>434</v>
      </c>
      <c r="Y408" s="7" t="s">
        <v>695</v>
      </c>
      <c r="AB408" s="7" t="s">
        <v>696</v>
      </c>
      <c r="AC408" s="7" t="s">
        <v>697</v>
      </c>
      <c r="AE408" s="7" t="s">
        <v>698</v>
      </c>
      <c r="AF408" s="7" t="s">
        <v>699</v>
      </c>
    </row>
    <row r="409" spans="1:34" x14ac:dyDescent="0.25">
      <c r="A409" s="4" t="s">
        <v>101</v>
      </c>
      <c r="B409" s="4" t="s">
        <v>102</v>
      </c>
      <c r="C409" s="4">
        <v>8</v>
      </c>
      <c r="D409" s="4">
        <v>2</v>
      </c>
      <c r="E409" s="4">
        <f t="shared" si="77"/>
        <v>16</v>
      </c>
      <c r="F409" s="4">
        <v>2451.3338140000001</v>
      </c>
      <c r="G409" s="4">
        <v>6496.0346079999999</v>
      </c>
      <c r="H409" s="4">
        <v>1020</v>
      </c>
      <c r="I409" s="4">
        <v>1.02</v>
      </c>
      <c r="J409" s="4">
        <v>1.0200000000000001E-3</v>
      </c>
      <c r="K409" s="4">
        <v>2.2487124000000001</v>
      </c>
      <c r="L409" s="4">
        <v>1.2E-2</v>
      </c>
      <c r="M409" s="4">
        <v>3.1</v>
      </c>
      <c r="N409" s="4">
        <v>38.916622109999999</v>
      </c>
      <c r="O409" s="4">
        <f t="shared" si="78"/>
        <v>36.864033523591324</v>
      </c>
      <c r="P409" s="4">
        <f t="shared" si="79"/>
        <v>37.768532470878924</v>
      </c>
      <c r="Q409" s="4">
        <f t="shared" si="83"/>
        <v>95.932072476032474</v>
      </c>
      <c r="R409" s="2">
        <f t="shared" si="80"/>
        <v>16721.264219498746</v>
      </c>
      <c r="S409" s="2">
        <f t="shared" si="81"/>
        <v>40185.686660655476</v>
      </c>
      <c r="T409" s="2">
        <f t="shared" si="82"/>
        <v>106492.069650737</v>
      </c>
      <c r="U409" s="4">
        <f t="shared" si="84"/>
        <v>150.03333333333333</v>
      </c>
      <c r="V409" s="4">
        <f t="shared" si="85"/>
        <v>0.11333333333333334</v>
      </c>
      <c r="W409" s="4">
        <v>7</v>
      </c>
    </row>
    <row r="410" spans="1:34" x14ac:dyDescent="0.25">
      <c r="A410" s="4" t="s">
        <v>101</v>
      </c>
      <c r="B410" s="4" t="s">
        <v>102</v>
      </c>
      <c r="C410" s="4">
        <v>9</v>
      </c>
      <c r="D410" s="4">
        <v>2</v>
      </c>
      <c r="E410" s="4">
        <f t="shared" si="77"/>
        <v>18</v>
      </c>
      <c r="F410" s="4">
        <v>2643.5952900000002</v>
      </c>
      <c r="G410" s="4">
        <v>7005.5275179999999</v>
      </c>
      <c r="H410" s="4">
        <v>1100</v>
      </c>
      <c r="I410" s="4">
        <v>1.1000000000000001</v>
      </c>
      <c r="J410" s="4">
        <v>1.1000000000000001E-3</v>
      </c>
      <c r="K410" s="4">
        <v>2.4250820000000002</v>
      </c>
      <c r="L410" s="4">
        <v>1.2E-2</v>
      </c>
      <c r="M410" s="4">
        <v>3.1</v>
      </c>
      <c r="N410" s="4">
        <v>39.87616345</v>
      </c>
      <c r="O410" s="4">
        <f t="shared" si="78"/>
        <v>44.217272357953462</v>
      </c>
      <c r="P410" s="4">
        <f t="shared" si="79"/>
        <v>40.050732543424154</v>
      </c>
      <c r="Q410" s="4">
        <f t="shared" si="83"/>
        <v>101.72886066029736</v>
      </c>
      <c r="R410" s="2">
        <f t="shared" si="80"/>
        <v>20056.641216152198</v>
      </c>
      <c r="S410" s="2">
        <f t="shared" si="81"/>
        <v>48201.49294917615</v>
      </c>
      <c r="T410" s="2">
        <f t="shared" si="82"/>
        <v>127733.9563153168</v>
      </c>
      <c r="U410" s="4">
        <f t="shared" si="84"/>
        <v>150.03333333333333</v>
      </c>
      <c r="V410" s="4">
        <f t="shared" si="85"/>
        <v>0.11333333333333334</v>
      </c>
      <c r="W410" s="4">
        <v>8</v>
      </c>
    </row>
    <row r="411" spans="1:34" x14ac:dyDescent="0.25">
      <c r="A411" s="4" t="s">
        <v>101</v>
      </c>
      <c r="B411" s="4" t="s">
        <v>102</v>
      </c>
      <c r="C411" s="4">
        <v>10</v>
      </c>
      <c r="D411" s="4">
        <v>2</v>
      </c>
      <c r="E411" s="4">
        <f t="shared" si="77"/>
        <v>20</v>
      </c>
      <c r="F411" s="4">
        <v>3076.18361</v>
      </c>
      <c r="G411" s="4">
        <v>8151.8865660000001</v>
      </c>
      <c r="H411" s="4">
        <v>1280</v>
      </c>
      <c r="I411" s="4">
        <v>1.28</v>
      </c>
      <c r="J411" s="4">
        <v>1.2800000000000001E-3</v>
      </c>
      <c r="K411" s="4">
        <v>2.8219135999999998</v>
      </c>
      <c r="L411" s="4">
        <v>1.2E-2</v>
      </c>
      <c r="M411" s="4">
        <v>3.1</v>
      </c>
      <c r="N411" s="4">
        <v>41.874029010000001</v>
      </c>
      <c r="O411" s="4">
        <f t="shared" si="78"/>
        <v>51.570703466293651</v>
      </c>
      <c r="P411" s="4">
        <f t="shared" si="79"/>
        <v>42.088401708463309</v>
      </c>
      <c r="Q411" s="4">
        <f t="shared" si="83"/>
        <v>106.9045403394968</v>
      </c>
      <c r="R411" s="2">
        <f t="shared" si="80"/>
        <v>23392.105426918766</v>
      </c>
      <c r="S411" s="2">
        <f t="shared" si="81"/>
        <v>56217.508836622837</v>
      </c>
      <c r="T411" s="2">
        <f t="shared" si="82"/>
        <v>148976.39841705051</v>
      </c>
      <c r="U411" s="4">
        <f t="shared" si="84"/>
        <v>150.03333333333333</v>
      </c>
      <c r="V411" s="4">
        <f t="shared" si="85"/>
        <v>0.11333333333333334</v>
      </c>
      <c r="W411" s="4">
        <v>9</v>
      </c>
    </row>
    <row r="412" spans="1:34" x14ac:dyDescent="0.25">
      <c r="A412" s="4" t="s">
        <v>103</v>
      </c>
      <c r="B412" s="4" t="s">
        <v>104</v>
      </c>
      <c r="C412" s="4">
        <v>1</v>
      </c>
      <c r="D412" s="4">
        <v>1</v>
      </c>
      <c r="E412" s="4">
        <f t="shared" si="77"/>
        <v>1</v>
      </c>
      <c r="F412" s="4">
        <v>10.71857726</v>
      </c>
      <c r="G412" s="4">
        <v>28.404229749999999</v>
      </c>
      <c r="H412" s="4">
        <v>4.4599999979999998</v>
      </c>
      <c r="I412" s="4">
        <v>4.4600000000000004E-3</v>
      </c>
      <c r="J412" s="4">
        <v>4.4599999999999996E-6</v>
      </c>
      <c r="K412" s="4">
        <v>9.8326049999999995E-3</v>
      </c>
      <c r="L412" s="4">
        <v>1.2999999999999999E-2</v>
      </c>
      <c r="M412" s="4">
        <v>2.8</v>
      </c>
      <c r="N412" s="4">
        <v>8.0444612959999997</v>
      </c>
      <c r="O412" s="4">
        <f t="shared" si="78"/>
        <v>2.2277004139224565E-2</v>
      </c>
      <c r="P412" s="4">
        <f t="shared" si="79"/>
        <v>4.2414677849223663</v>
      </c>
      <c r="Q412" s="4">
        <f t="shared" si="83"/>
        <v>10.773328173702811</v>
      </c>
      <c r="R412" s="4">
        <f t="shared" si="80"/>
        <v>10.104691121020659</v>
      </c>
      <c r="S412" s="4">
        <f t="shared" si="81"/>
        <v>24.28428531848272</v>
      </c>
      <c r="T412" s="4">
        <f t="shared" si="82"/>
        <v>64.353356093979201</v>
      </c>
      <c r="U412" s="4">
        <v>65.400000000000006</v>
      </c>
      <c r="V412" s="4">
        <v>0.18</v>
      </c>
      <c r="W412" s="4">
        <v>0</v>
      </c>
      <c r="Y412" s="4" t="s">
        <v>667</v>
      </c>
    </row>
    <row r="413" spans="1:34" x14ac:dyDescent="0.25">
      <c r="A413" s="4" t="s">
        <v>103</v>
      </c>
      <c r="B413" s="4" t="s">
        <v>104</v>
      </c>
      <c r="C413" s="4">
        <v>2</v>
      </c>
      <c r="D413" s="4">
        <v>1</v>
      </c>
      <c r="E413" s="4">
        <f t="shared" si="77"/>
        <v>2</v>
      </c>
      <c r="F413" s="4">
        <v>101.2496996</v>
      </c>
      <c r="G413" s="4">
        <v>268.31170400000002</v>
      </c>
      <c r="H413" s="4">
        <v>42.13</v>
      </c>
      <c r="I413" s="4">
        <v>4.2130000000000001E-2</v>
      </c>
      <c r="J413" s="4">
        <v>4.21E-5</v>
      </c>
      <c r="K413" s="4">
        <v>9.2880641E-2</v>
      </c>
      <c r="L413" s="4">
        <v>1.2999999999999999E-2</v>
      </c>
      <c r="M413" s="4">
        <v>2.8</v>
      </c>
      <c r="N413" s="4">
        <v>17.93919271</v>
      </c>
      <c r="O413" s="4">
        <f t="shared" si="78"/>
        <v>0.12195983527165984</v>
      </c>
      <c r="P413" s="4">
        <f t="shared" si="79"/>
        <v>7.7842394783285727</v>
      </c>
      <c r="Q413" s="4">
        <f t="shared" si="83"/>
        <v>19.771968274954574</v>
      </c>
      <c r="R413" s="4">
        <f t="shared" si="80"/>
        <v>55.320116515163534</v>
      </c>
      <c r="S413" s="4">
        <f t="shared" si="81"/>
        <v>132.94909039933557</v>
      </c>
      <c r="T413" s="4">
        <f t="shared" si="82"/>
        <v>352.31508955823926</v>
      </c>
      <c r="U413" s="4">
        <v>65.400000000000006</v>
      </c>
      <c r="V413" s="4">
        <v>0.18</v>
      </c>
      <c r="W413" s="4">
        <v>0</v>
      </c>
    </row>
    <row r="414" spans="1:34" x14ac:dyDescent="0.25">
      <c r="A414" s="4" t="s">
        <v>103</v>
      </c>
      <c r="B414" s="4" t="s">
        <v>104</v>
      </c>
      <c r="C414" s="4">
        <v>3</v>
      </c>
      <c r="D414" s="4">
        <v>1</v>
      </c>
      <c r="E414" s="4">
        <f t="shared" si="77"/>
        <v>3</v>
      </c>
      <c r="F414" s="4">
        <v>233.91011779999999</v>
      </c>
      <c r="G414" s="4">
        <v>619.86181209999995</v>
      </c>
      <c r="H414" s="4">
        <v>97.33000002</v>
      </c>
      <c r="I414" s="4">
        <v>9.733E-2</v>
      </c>
      <c r="J414" s="4">
        <v>9.7299999999999993E-5</v>
      </c>
      <c r="K414" s="4">
        <v>0.214575665</v>
      </c>
      <c r="L414" s="4">
        <v>1.2999999999999999E-2</v>
      </c>
      <c r="M414" s="4">
        <v>2.8</v>
      </c>
      <c r="N414" s="4">
        <v>24.192445729999999</v>
      </c>
      <c r="O414" s="4">
        <f t="shared" si="78"/>
        <v>0.30061431036597802</v>
      </c>
      <c r="P414" s="4">
        <f t="shared" si="79"/>
        <v>10.743411139661841</v>
      </c>
      <c r="Q414" s="4">
        <f t="shared" si="83"/>
        <v>27.288264294741079</v>
      </c>
      <c r="R414" s="4">
        <f t="shared" si="80"/>
        <v>136.35651965689235</v>
      </c>
      <c r="S414" s="4">
        <f t="shared" si="81"/>
        <v>327.70132097306498</v>
      </c>
      <c r="T414" s="4">
        <f t="shared" si="82"/>
        <v>868.40850057862212</v>
      </c>
      <c r="U414" s="4">
        <v>65.400000000000006</v>
      </c>
      <c r="V414" s="4">
        <v>0.18</v>
      </c>
      <c r="W414" s="4">
        <v>0</v>
      </c>
    </row>
    <row r="415" spans="1:34" x14ac:dyDescent="0.25">
      <c r="A415" s="4" t="s">
        <v>103</v>
      </c>
      <c r="B415" s="4" t="s">
        <v>104</v>
      </c>
      <c r="C415" s="4">
        <v>4</v>
      </c>
      <c r="D415" s="4">
        <v>1</v>
      </c>
      <c r="E415" s="4">
        <f t="shared" si="77"/>
        <v>4</v>
      </c>
      <c r="F415" s="4">
        <v>444.0038452</v>
      </c>
      <c r="G415" s="4">
        <v>1176.6101900000001</v>
      </c>
      <c r="H415" s="4">
        <v>184.75</v>
      </c>
      <c r="I415" s="4">
        <v>0.18475</v>
      </c>
      <c r="J415" s="4">
        <v>1.8474999999999999E-4</v>
      </c>
      <c r="K415" s="4">
        <v>0.40730354499999999</v>
      </c>
      <c r="L415" s="4">
        <v>1.2999999999999999E-2</v>
      </c>
      <c r="M415" s="4">
        <v>2.8</v>
      </c>
      <c r="N415" s="4">
        <v>30.414879859999999</v>
      </c>
      <c r="O415" s="4">
        <f t="shared" si="78"/>
        <v>0.53679755384626038</v>
      </c>
      <c r="P415" s="4">
        <f t="shared" si="79"/>
        <v>13.215119078825925</v>
      </c>
      <c r="Q415" s="4">
        <f t="shared" si="83"/>
        <v>33.566402460217851</v>
      </c>
      <c r="R415" s="4">
        <f t="shared" si="80"/>
        <v>243.48756422705969</v>
      </c>
      <c r="S415" s="4">
        <f t="shared" si="81"/>
        <v>585.16597987757677</v>
      </c>
      <c r="T415" s="4">
        <f t="shared" si="82"/>
        <v>1550.6898466755783</v>
      </c>
      <c r="U415" s="4">
        <v>65.400000000000006</v>
      </c>
      <c r="V415" s="4">
        <v>0.18</v>
      </c>
      <c r="W415" s="4">
        <v>0</v>
      </c>
    </row>
    <row r="416" spans="1:34" x14ac:dyDescent="0.25">
      <c r="A416" s="4" t="s">
        <v>103</v>
      </c>
      <c r="B416" s="4" t="s">
        <v>104</v>
      </c>
      <c r="C416" s="4">
        <v>5</v>
      </c>
      <c r="D416" s="4">
        <v>1</v>
      </c>
      <c r="E416" s="4">
        <f t="shared" si="77"/>
        <v>5</v>
      </c>
      <c r="F416" s="4">
        <v>826.58014939999998</v>
      </c>
      <c r="G416" s="4">
        <v>2190.4373959999998</v>
      </c>
      <c r="H416" s="4">
        <v>343.94000019999999</v>
      </c>
      <c r="I416" s="4">
        <v>0.34394000000000002</v>
      </c>
      <c r="J416" s="4">
        <v>3.4393999999999999E-4</v>
      </c>
      <c r="K416" s="4">
        <v>0.75825700299999998</v>
      </c>
      <c r="L416" s="4">
        <v>1.2999999999999999E-2</v>
      </c>
      <c r="M416" s="4">
        <v>2.8</v>
      </c>
      <c r="N416" s="4">
        <v>37.973299429999997</v>
      </c>
      <c r="O416" s="4">
        <f t="shared" si="78"/>
        <v>0.80599079389768036</v>
      </c>
      <c r="P416" s="4">
        <f t="shared" si="79"/>
        <v>15.279663091718431</v>
      </c>
      <c r="Q416" s="4">
        <f t="shared" si="83"/>
        <v>38.810344252964818</v>
      </c>
      <c r="R416" s="4">
        <f t="shared" si="80"/>
        <v>365.59170918238988</v>
      </c>
      <c r="S416" s="4">
        <f t="shared" si="81"/>
        <v>878.61501846284534</v>
      </c>
      <c r="T416" s="4">
        <f t="shared" si="82"/>
        <v>2328.3297989265402</v>
      </c>
      <c r="U416" s="4">
        <v>65.400000000000006</v>
      </c>
      <c r="V416" s="4">
        <v>0.18</v>
      </c>
      <c r="W416" s="4">
        <v>0</v>
      </c>
    </row>
    <row r="417" spans="1:34" x14ac:dyDescent="0.25">
      <c r="A417" s="4" t="s">
        <v>103</v>
      </c>
      <c r="B417" s="4" t="s">
        <v>104</v>
      </c>
      <c r="C417" s="4">
        <v>6</v>
      </c>
      <c r="D417" s="4">
        <v>1</v>
      </c>
      <c r="E417" s="4">
        <f t="shared" si="77"/>
        <v>6</v>
      </c>
      <c r="F417" s="4">
        <v>1622.4465270000001</v>
      </c>
      <c r="G417" s="4">
        <v>4299.4832969999998</v>
      </c>
      <c r="H417" s="4">
        <v>675.09999989999994</v>
      </c>
      <c r="I417" s="4">
        <v>0.67510000000000003</v>
      </c>
      <c r="J417" s="4">
        <v>6.7509999999999998E-4</v>
      </c>
      <c r="K417" s="4">
        <v>1.488338962</v>
      </c>
      <c r="L417" s="4">
        <v>1.2999999999999999E-2</v>
      </c>
      <c r="M417" s="4">
        <v>2.8</v>
      </c>
      <c r="N417" s="4">
        <v>48.314809320000002</v>
      </c>
      <c r="O417" s="4">
        <f t="shared" si="78"/>
        <v>1.0873336043395747</v>
      </c>
      <c r="P417" s="4">
        <f t="shared" si="79"/>
        <v>17.004115205835031</v>
      </c>
      <c r="Q417" s="4">
        <f t="shared" si="83"/>
        <v>43.190452622820985</v>
      </c>
      <c r="R417" s="4">
        <f t="shared" si="80"/>
        <v>493.20681311952842</v>
      </c>
      <c r="S417" s="4">
        <f t="shared" si="81"/>
        <v>1185.3083708712531</v>
      </c>
      <c r="T417" s="4">
        <f t="shared" si="82"/>
        <v>3141.0671828088207</v>
      </c>
      <c r="U417" s="4">
        <v>65.400000000000006</v>
      </c>
      <c r="V417" s="4">
        <v>0.18</v>
      </c>
      <c r="W417" s="4">
        <v>0</v>
      </c>
    </row>
    <row r="418" spans="1:34" x14ac:dyDescent="0.25">
      <c r="A418" s="4" t="s">
        <v>103</v>
      </c>
      <c r="B418" s="4" t="s">
        <v>104</v>
      </c>
      <c r="C418" s="4">
        <v>7</v>
      </c>
      <c r="D418" s="4">
        <v>1</v>
      </c>
      <c r="E418" s="4">
        <f t="shared" si="77"/>
        <v>7</v>
      </c>
      <c r="F418" s="4">
        <v>2838.9569820000002</v>
      </c>
      <c r="G418" s="4">
        <v>7523.2360019999996</v>
      </c>
      <c r="H418" s="4">
        <v>1181.29</v>
      </c>
      <c r="I418" s="4">
        <v>1.18129</v>
      </c>
      <c r="J418" s="4">
        <v>1.18129E-3</v>
      </c>
      <c r="K418" s="4">
        <v>2.6042955600000002</v>
      </c>
      <c r="L418" s="4">
        <v>1.2999999999999999E-2</v>
      </c>
      <c r="M418" s="4">
        <v>2.8</v>
      </c>
      <c r="N418" s="4">
        <v>59.001336350000003</v>
      </c>
      <c r="O418" s="4">
        <f t="shared" si="78"/>
        <v>1.3653333485326657</v>
      </c>
      <c r="P418" s="4">
        <f t="shared" si="79"/>
        <v>18.444498687761818</v>
      </c>
      <c r="Q418" s="4">
        <f t="shared" si="83"/>
        <v>46.849026666915016</v>
      </c>
      <c r="R418" s="4">
        <f t="shared" si="80"/>
        <v>619.30552591043613</v>
      </c>
      <c r="S418" s="4">
        <f t="shared" si="81"/>
        <v>1488.3574282875177</v>
      </c>
      <c r="T418" s="4">
        <f t="shared" si="82"/>
        <v>3944.1471849619215</v>
      </c>
      <c r="U418" s="4">
        <v>65.400000000000006</v>
      </c>
      <c r="V418" s="4">
        <v>0.18</v>
      </c>
      <c r="W418" s="4">
        <v>0</v>
      </c>
    </row>
    <row r="419" spans="1:34" x14ac:dyDescent="0.25">
      <c r="A419" s="4" t="s">
        <v>103</v>
      </c>
      <c r="B419" s="4" t="s">
        <v>104</v>
      </c>
      <c r="C419" s="4">
        <v>8</v>
      </c>
      <c r="D419" s="4">
        <v>1</v>
      </c>
      <c r="E419" s="4">
        <f t="shared" si="77"/>
        <v>8</v>
      </c>
      <c r="F419" s="4">
        <v>3436.6738770000002</v>
      </c>
      <c r="G419" s="4">
        <v>9107.1857729999992</v>
      </c>
      <c r="H419" s="4">
        <v>1430</v>
      </c>
      <c r="I419" s="4">
        <v>1.43</v>
      </c>
      <c r="J419" s="4">
        <v>1.4300000000000001E-3</v>
      </c>
      <c r="K419" s="4">
        <v>3.1526065999999999</v>
      </c>
      <c r="L419" s="4">
        <v>1.2999999999999999E-2</v>
      </c>
      <c r="M419" s="4">
        <v>2.8</v>
      </c>
      <c r="N419" s="4">
        <v>63.168037949999999</v>
      </c>
      <c r="O419" s="4">
        <f t="shared" si="78"/>
        <v>1.629591029664694</v>
      </c>
      <c r="P419" s="4">
        <f t="shared" si="79"/>
        <v>19.647608103224108</v>
      </c>
      <c r="Q419" s="4">
        <f t="shared" si="83"/>
        <v>49.904924582189238</v>
      </c>
      <c r="R419" s="4">
        <f t="shared" si="80"/>
        <v>739.1709363358284</v>
      </c>
      <c r="S419" s="4">
        <f t="shared" si="81"/>
        <v>1776.4261868200635</v>
      </c>
      <c r="T419" s="4">
        <f t="shared" si="82"/>
        <v>4707.5293950731684</v>
      </c>
      <c r="U419" s="4">
        <v>65.400000000000006</v>
      </c>
      <c r="V419" s="4">
        <v>0.18</v>
      </c>
      <c r="W419" s="4">
        <v>0</v>
      </c>
    </row>
    <row r="420" spans="1:34" x14ac:dyDescent="0.25">
      <c r="A420" s="4" t="s">
        <v>103</v>
      </c>
      <c r="B420" s="4" t="s">
        <v>104</v>
      </c>
      <c r="C420" s="4">
        <v>9</v>
      </c>
      <c r="D420" s="4">
        <v>1</v>
      </c>
      <c r="E420" s="4">
        <f t="shared" si="77"/>
        <v>9</v>
      </c>
      <c r="F420" s="4">
        <v>3845.2295119999999</v>
      </c>
      <c r="G420" s="4">
        <v>10189.85821</v>
      </c>
      <c r="H420" s="4">
        <v>1600</v>
      </c>
      <c r="I420" s="4">
        <v>1.6</v>
      </c>
      <c r="J420" s="4">
        <v>1.6000000000000001E-3</v>
      </c>
      <c r="K420" s="4">
        <v>3.5273919999999999</v>
      </c>
      <c r="L420" s="4">
        <v>1.2999999999999999E-2</v>
      </c>
      <c r="M420" s="4">
        <v>2.8</v>
      </c>
      <c r="N420" s="4">
        <v>65.753704429999999</v>
      </c>
      <c r="O420" s="4">
        <f t="shared" si="78"/>
        <v>1.8738577039644053</v>
      </c>
      <c r="P420" s="4">
        <f t="shared" si="79"/>
        <v>20.652529559028189</v>
      </c>
      <c r="Q420" s="4">
        <f t="shared" si="83"/>
        <v>52.457425079931603</v>
      </c>
      <c r="R420" s="4">
        <f t="shared" si="80"/>
        <v>849.96856780960229</v>
      </c>
      <c r="S420" s="4">
        <f t="shared" si="81"/>
        <v>2042.7026383311756</v>
      </c>
      <c r="T420" s="4">
        <f t="shared" si="82"/>
        <v>5413.1619915776155</v>
      </c>
      <c r="U420" s="4">
        <v>65.400000000000006</v>
      </c>
      <c r="V420" s="4">
        <v>0.18</v>
      </c>
      <c r="W420" s="4">
        <v>0</v>
      </c>
    </row>
    <row r="421" spans="1:34" x14ac:dyDescent="0.25">
      <c r="A421" s="4" t="s">
        <v>103</v>
      </c>
      <c r="B421" s="4" t="s">
        <v>104</v>
      </c>
      <c r="C421" s="4">
        <v>10</v>
      </c>
      <c r="D421" s="4">
        <v>1</v>
      </c>
      <c r="E421" s="4">
        <f t="shared" si="77"/>
        <v>10</v>
      </c>
      <c r="F421" s="4">
        <v>4325.8832009999996</v>
      </c>
      <c r="G421" s="4">
        <v>11463.590480000001</v>
      </c>
      <c r="H421" s="4">
        <v>1800</v>
      </c>
      <c r="I421" s="4">
        <v>1.8</v>
      </c>
      <c r="J421" s="4">
        <v>1.8E-3</v>
      </c>
      <c r="K421" s="4">
        <v>3.9683160000000002</v>
      </c>
      <c r="L421" s="4">
        <v>1.2999999999999999E-2</v>
      </c>
      <c r="M421" s="4">
        <v>2.8</v>
      </c>
      <c r="N421" s="4">
        <v>68.578658140000002</v>
      </c>
      <c r="O421" s="4">
        <f t="shared" si="78"/>
        <v>2.0949881368275705</v>
      </c>
      <c r="P421" s="4">
        <f t="shared" si="79"/>
        <v>21.491910515869385</v>
      </c>
      <c r="Q421" s="4">
        <f t="shared" si="83"/>
        <v>54.589452710308244</v>
      </c>
      <c r="R421" s="4">
        <f t="shared" si="80"/>
        <v>950.27176421676768</v>
      </c>
      <c r="S421" s="4">
        <f t="shared" si="81"/>
        <v>2283.7581451977112</v>
      </c>
      <c r="T421" s="4">
        <f t="shared" si="82"/>
        <v>6051.9590847739346</v>
      </c>
      <c r="U421" s="4">
        <v>65.400000000000006</v>
      </c>
      <c r="V421" s="4">
        <v>0.18</v>
      </c>
      <c r="W421" s="4">
        <v>0</v>
      </c>
    </row>
    <row r="422" spans="1:34" x14ac:dyDescent="0.25">
      <c r="A422" s="2" t="s">
        <v>105</v>
      </c>
      <c r="B422" s="4" t="s">
        <v>700</v>
      </c>
      <c r="C422" s="4">
        <v>1</v>
      </c>
      <c r="D422" s="4">
        <v>3</v>
      </c>
      <c r="E422" s="4">
        <f t="shared" si="77"/>
        <v>3</v>
      </c>
      <c r="F422" s="4">
        <v>350</v>
      </c>
      <c r="G422" s="4">
        <v>927.5</v>
      </c>
      <c r="H422" s="4">
        <f t="shared" ref="H422:H431" si="86">F422*3.65*5.7*20/1000</f>
        <v>145.63499999999999</v>
      </c>
      <c r="I422" s="4">
        <f t="shared" ref="I422:J431" si="87">H422/1000</f>
        <v>0.14563499999999999</v>
      </c>
      <c r="J422" s="4">
        <f t="shared" si="87"/>
        <v>1.45635E-4</v>
      </c>
      <c r="K422" s="4">
        <f t="shared" ref="K422:K431" si="88">I422*2.204</f>
        <v>0.32097954000000001</v>
      </c>
      <c r="L422" s="3">
        <v>1.2699999999999999E-2</v>
      </c>
      <c r="M422" s="3">
        <v>3.1</v>
      </c>
      <c r="N422" s="4">
        <f t="shared" ref="N422:N431" si="89">(H422/L422)^(1/M422)</f>
        <v>20.39406896596369</v>
      </c>
      <c r="O422" s="4">
        <f t="shared" si="78"/>
        <v>2.4579573927866227</v>
      </c>
      <c r="P422" s="4">
        <f t="shared" si="79"/>
        <v>15.481867402374458</v>
      </c>
      <c r="Q422" s="4">
        <f t="shared" si="83"/>
        <v>39.323943202031124</v>
      </c>
      <c r="R422" s="2">
        <f t="shared" si="80"/>
        <v>1114.9120450629237</v>
      </c>
      <c r="S422" s="2">
        <f t="shared" si="81"/>
        <v>2679.4329369452626</v>
      </c>
      <c r="T422" s="2">
        <f t="shared" si="82"/>
        <v>7100.4972829049457</v>
      </c>
      <c r="U422" s="4">
        <f t="shared" ref="U422:U431" si="90">$AH$424</f>
        <v>109.97499999999999</v>
      </c>
      <c r="V422" s="4">
        <f t="shared" ref="V422:V431" si="91">$AH$425</f>
        <v>0.14750000000000002</v>
      </c>
      <c r="W422" s="4">
        <v>0</v>
      </c>
      <c r="Y422" s="4" t="s">
        <v>701</v>
      </c>
      <c r="Z422" s="4" t="s">
        <v>702</v>
      </c>
      <c r="AA422" s="4" t="s">
        <v>703</v>
      </c>
      <c r="AB422" s="4" t="s">
        <v>704</v>
      </c>
      <c r="AC422" s="4" t="s">
        <v>705</v>
      </c>
      <c r="AD422" s="4" t="s">
        <v>706</v>
      </c>
      <c r="AE422" s="4" t="s">
        <v>707</v>
      </c>
      <c r="AF422" s="4" t="s">
        <v>708</v>
      </c>
      <c r="AH422" s="4" t="s">
        <v>453</v>
      </c>
    </row>
    <row r="423" spans="1:34" x14ac:dyDescent="0.25">
      <c r="A423" s="2" t="s">
        <v>105</v>
      </c>
      <c r="B423" s="4" t="s">
        <v>700</v>
      </c>
      <c r="C423" s="4">
        <v>2</v>
      </c>
      <c r="D423" s="4">
        <v>3</v>
      </c>
      <c r="E423" s="4">
        <f t="shared" si="77"/>
        <v>6</v>
      </c>
      <c r="F423" s="4">
        <v>1200</v>
      </c>
      <c r="G423" s="4">
        <v>3180</v>
      </c>
      <c r="H423" s="4">
        <f t="shared" si="86"/>
        <v>499.32</v>
      </c>
      <c r="I423" s="4">
        <f t="shared" si="87"/>
        <v>0.49931999999999999</v>
      </c>
      <c r="J423" s="4">
        <f t="shared" si="87"/>
        <v>4.9932000000000004E-4</v>
      </c>
      <c r="K423" s="4">
        <f t="shared" si="88"/>
        <v>1.10050128</v>
      </c>
      <c r="L423" s="3">
        <v>1.2699999999999999E-2</v>
      </c>
      <c r="M423" s="3">
        <v>3.1</v>
      </c>
      <c r="N423" s="4">
        <f t="shared" si="89"/>
        <v>30.347369004339537</v>
      </c>
      <c r="O423" s="4">
        <f t="shared" si="78"/>
        <v>11.444116879836061</v>
      </c>
      <c r="P423" s="4">
        <f t="shared" si="79"/>
        <v>25.427857792770283</v>
      </c>
      <c r="Q423" s="4">
        <f t="shared" si="83"/>
        <v>64.58675879363652</v>
      </c>
      <c r="R423" s="2">
        <f t="shared" si="80"/>
        <v>5190.9702714463538</v>
      </c>
      <c r="S423" s="2">
        <f t="shared" si="81"/>
        <v>12475.29505274298</v>
      </c>
      <c r="T423" s="2">
        <f t="shared" si="82"/>
        <v>33059.531889768899</v>
      </c>
      <c r="U423" s="4">
        <f t="shared" si="90"/>
        <v>109.97499999999999</v>
      </c>
      <c r="V423" s="4">
        <f t="shared" si="91"/>
        <v>0.14750000000000002</v>
      </c>
      <c r="W423" s="4">
        <v>0</v>
      </c>
      <c r="X423" s="4" t="s">
        <v>422</v>
      </c>
      <c r="AA423" s="4">
        <v>180</v>
      </c>
      <c r="AB423" s="4">
        <v>152</v>
      </c>
      <c r="AC423" s="4">
        <v>84</v>
      </c>
      <c r="AD423" s="4">
        <v>26</v>
      </c>
      <c r="AE423" s="4">
        <v>75.400000000000006</v>
      </c>
      <c r="AF423" s="4">
        <v>127</v>
      </c>
      <c r="AH423" s="4">
        <f>AVERAGE(AB423:AF423)</f>
        <v>92.88</v>
      </c>
    </row>
    <row r="424" spans="1:34" x14ac:dyDescent="0.25">
      <c r="A424" s="2" t="s">
        <v>105</v>
      </c>
      <c r="B424" s="4" t="s">
        <v>700</v>
      </c>
      <c r="C424" s="4">
        <v>3</v>
      </c>
      <c r="D424" s="4">
        <v>3</v>
      </c>
      <c r="E424" s="4">
        <f t="shared" si="77"/>
        <v>9</v>
      </c>
      <c r="F424" s="4">
        <v>1800</v>
      </c>
      <c r="G424" s="4">
        <v>4770</v>
      </c>
      <c r="H424" s="4">
        <f t="shared" si="86"/>
        <v>748.98</v>
      </c>
      <c r="I424" s="4">
        <f t="shared" si="87"/>
        <v>0.74897999999999998</v>
      </c>
      <c r="J424" s="4">
        <f t="shared" si="87"/>
        <v>7.4898E-4</v>
      </c>
      <c r="K424" s="4">
        <f t="shared" si="88"/>
        <v>1.65075192</v>
      </c>
      <c r="L424" s="3">
        <v>1.2699999999999999E-2</v>
      </c>
      <c r="M424" s="3">
        <v>3.1</v>
      </c>
      <c r="N424" s="4">
        <f t="shared" si="89"/>
        <v>34.587938444619454</v>
      </c>
      <c r="O424" s="4">
        <f t="shared" si="78"/>
        <v>22.928960978255688</v>
      </c>
      <c r="P424" s="4">
        <f t="shared" si="79"/>
        <v>31.817443898557123</v>
      </c>
      <c r="Q424" s="4">
        <f t="shared" si="83"/>
        <v>80.816307502335093</v>
      </c>
      <c r="R424" s="2">
        <f t="shared" si="80"/>
        <v>10400.414120463249</v>
      </c>
      <c r="S424" s="2">
        <f t="shared" si="81"/>
        <v>24994.987071529078</v>
      </c>
      <c r="T424" s="2">
        <f t="shared" si="82"/>
        <v>66236.715739552048</v>
      </c>
      <c r="U424" s="4">
        <f t="shared" si="90"/>
        <v>109.97499999999999</v>
      </c>
      <c r="V424" s="4">
        <f t="shared" si="91"/>
        <v>0.14750000000000002</v>
      </c>
      <c r="W424" s="4">
        <v>0</v>
      </c>
      <c r="X424" s="4" t="s">
        <v>18</v>
      </c>
      <c r="AB424" s="4">
        <v>166</v>
      </c>
      <c r="AC424" s="4">
        <v>78.5</v>
      </c>
      <c r="AE424" s="4">
        <v>75.400000000000006</v>
      </c>
      <c r="AF424" s="4">
        <v>120</v>
      </c>
      <c r="AH424" s="4">
        <f>AVERAGE(AB424:AF424)</f>
        <v>109.97499999999999</v>
      </c>
    </row>
    <row r="425" spans="1:34" x14ac:dyDescent="0.25">
      <c r="A425" s="2" t="s">
        <v>105</v>
      </c>
      <c r="B425" s="4" t="s">
        <v>700</v>
      </c>
      <c r="C425" s="4">
        <v>4</v>
      </c>
      <c r="D425" s="4">
        <v>3</v>
      </c>
      <c r="E425" s="4">
        <f t="shared" si="77"/>
        <v>12</v>
      </c>
      <c r="F425" s="4">
        <v>3129.99</v>
      </c>
      <c r="G425" s="4">
        <v>8294.48</v>
      </c>
      <c r="H425" s="4">
        <f t="shared" si="86"/>
        <v>1302.388839</v>
      </c>
      <c r="I425" s="4">
        <f t="shared" si="87"/>
        <v>1.302388839</v>
      </c>
      <c r="J425" s="4">
        <f t="shared" si="87"/>
        <v>1.3023888389999999E-3</v>
      </c>
      <c r="K425" s="4">
        <f t="shared" si="88"/>
        <v>2.8704650011560005</v>
      </c>
      <c r="L425" s="3">
        <v>1.2699999999999999E-2</v>
      </c>
      <c r="M425" s="3">
        <v>3.1</v>
      </c>
      <c r="N425" s="4">
        <f t="shared" si="89"/>
        <v>41.345787911509852</v>
      </c>
      <c r="O425" s="4">
        <f t="shared" si="78"/>
        <v>33.400319547634069</v>
      </c>
      <c r="P425" s="4">
        <f t="shared" si="79"/>
        <v>35.922295099970704</v>
      </c>
      <c r="Q425" s="4">
        <f t="shared" si="83"/>
        <v>91.242629553925596</v>
      </c>
      <c r="R425" s="2">
        <f t="shared" si="80"/>
        <v>15150.148119691406</v>
      </c>
      <c r="S425" s="2">
        <f t="shared" si="81"/>
        <v>36409.872914422995</v>
      </c>
      <c r="T425" s="2">
        <f t="shared" si="82"/>
        <v>96486.163223220938</v>
      </c>
      <c r="U425" s="4">
        <f t="shared" si="90"/>
        <v>109.97499999999999</v>
      </c>
      <c r="V425" s="4">
        <f t="shared" si="91"/>
        <v>0.14750000000000002</v>
      </c>
      <c r="W425" s="4">
        <v>0</v>
      </c>
      <c r="X425" s="4" t="s">
        <v>19</v>
      </c>
      <c r="AB425" s="4">
        <v>0.14000000000000001</v>
      </c>
      <c r="AC425" s="4">
        <v>0.2</v>
      </c>
      <c r="AE425" s="4">
        <v>0.12</v>
      </c>
      <c r="AF425" s="4">
        <v>0.13</v>
      </c>
      <c r="AH425" s="4">
        <f>AVERAGE(AB425:AF425)</f>
        <v>0.14750000000000002</v>
      </c>
    </row>
    <row r="426" spans="1:34" x14ac:dyDescent="0.25">
      <c r="A426" s="2" t="s">
        <v>105</v>
      </c>
      <c r="B426" s="4" t="s">
        <v>700</v>
      </c>
      <c r="C426" s="4">
        <v>5</v>
      </c>
      <c r="D426" s="4">
        <v>3</v>
      </c>
      <c r="E426" s="4">
        <f t="shared" si="77"/>
        <v>15</v>
      </c>
      <c r="F426" s="4">
        <v>7000</v>
      </c>
      <c r="G426" s="4">
        <v>18550</v>
      </c>
      <c r="H426" s="4">
        <f t="shared" si="86"/>
        <v>2912.7</v>
      </c>
      <c r="I426" s="4">
        <f t="shared" si="87"/>
        <v>2.9126999999999996</v>
      </c>
      <c r="J426" s="4">
        <f t="shared" si="87"/>
        <v>2.9126999999999998E-3</v>
      </c>
      <c r="K426" s="4">
        <f t="shared" si="88"/>
        <v>6.4195907999999999</v>
      </c>
      <c r="L426" s="3">
        <v>1.2699999999999999E-2</v>
      </c>
      <c r="M426" s="3">
        <v>3.1</v>
      </c>
      <c r="N426" s="4">
        <f t="shared" si="89"/>
        <v>53.603232342129658</v>
      </c>
      <c r="O426" s="4">
        <f t="shared" si="78"/>
        <v>41.603004137939209</v>
      </c>
      <c r="P426" s="4">
        <f t="shared" si="79"/>
        <v>38.559367847215825</v>
      </c>
      <c r="Q426" s="4">
        <f t="shared" si="83"/>
        <v>97.940794331928203</v>
      </c>
      <c r="R426" s="2">
        <f t="shared" si="80"/>
        <v>18870.827688190802</v>
      </c>
      <c r="S426" s="2">
        <f t="shared" si="81"/>
        <v>45351.664715671242</v>
      </c>
      <c r="T426" s="2">
        <f t="shared" si="82"/>
        <v>120181.91149652879</v>
      </c>
      <c r="U426" s="4">
        <f t="shared" si="90"/>
        <v>109.97499999999999</v>
      </c>
      <c r="V426" s="4">
        <f t="shared" si="91"/>
        <v>0.14750000000000002</v>
      </c>
      <c r="W426" s="4">
        <v>0</v>
      </c>
      <c r="X426" s="4" t="s">
        <v>477</v>
      </c>
      <c r="AB426" s="4">
        <v>-1.29</v>
      </c>
      <c r="AC426" s="4">
        <v>-1.78</v>
      </c>
      <c r="AF426" s="4">
        <v>-0.4</v>
      </c>
      <c r="AH426" s="4">
        <f>AVERAGE(AB426:AF426)</f>
        <v>-1.1566666666666667</v>
      </c>
    </row>
    <row r="427" spans="1:34" x14ac:dyDescent="0.25">
      <c r="A427" s="2" t="s">
        <v>105</v>
      </c>
      <c r="B427" s="4" t="s">
        <v>700</v>
      </c>
      <c r="C427" s="4">
        <v>6</v>
      </c>
      <c r="D427" s="4">
        <v>3</v>
      </c>
      <c r="E427" s="4">
        <f t="shared" si="77"/>
        <v>18</v>
      </c>
      <c r="F427" s="4">
        <v>9000</v>
      </c>
      <c r="G427" s="4">
        <v>23850</v>
      </c>
      <c r="H427" s="4">
        <f t="shared" si="86"/>
        <v>3744.9</v>
      </c>
      <c r="I427" s="4">
        <f t="shared" si="87"/>
        <v>3.7448999999999999</v>
      </c>
      <c r="J427" s="4">
        <f t="shared" si="87"/>
        <v>3.7448999999999998E-3</v>
      </c>
      <c r="K427" s="4">
        <f t="shared" si="88"/>
        <v>8.2537596000000004</v>
      </c>
      <c r="L427" s="3">
        <v>1.2699999999999999E-2</v>
      </c>
      <c r="M427" s="3">
        <v>3.1</v>
      </c>
      <c r="N427" s="4">
        <f t="shared" si="89"/>
        <v>58.129805837341053</v>
      </c>
      <c r="O427" s="4">
        <f t="shared" si="78"/>
        <v>47.534970709567283</v>
      </c>
      <c r="P427" s="4">
        <f t="shared" si="79"/>
        <v>40.253498117240746</v>
      </c>
      <c r="Q427" s="4">
        <f t="shared" si="83"/>
        <v>102.2438852177915</v>
      </c>
      <c r="R427" s="2">
        <f t="shared" si="80"/>
        <v>21561.525664090539</v>
      </c>
      <c r="S427" s="2">
        <f t="shared" si="81"/>
        <v>51818.134256406003</v>
      </c>
      <c r="T427" s="2">
        <f t="shared" si="82"/>
        <v>137318.05577947589</v>
      </c>
      <c r="U427" s="4">
        <f t="shared" si="90"/>
        <v>109.97499999999999</v>
      </c>
      <c r="V427" s="4">
        <f t="shared" si="91"/>
        <v>0.14750000000000002</v>
      </c>
      <c r="W427" s="4">
        <v>0</v>
      </c>
      <c r="X427" s="4" t="s">
        <v>423</v>
      </c>
      <c r="AB427" s="4" t="s">
        <v>709</v>
      </c>
      <c r="AC427" s="4" t="s">
        <v>710</v>
      </c>
      <c r="AE427" s="4" t="s">
        <v>711</v>
      </c>
      <c r="AF427" s="4" t="s">
        <v>711</v>
      </c>
    </row>
    <row r="428" spans="1:34" x14ac:dyDescent="0.25">
      <c r="A428" s="2" t="s">
        <v>105</v>
      </c>
      <c r="B428" s="4" t="s">
        <v>700</v>
      </c>
      <c r="C428" s="4">
        <v>7</v>
      </c>
      <c r="D428" s="4">
        <v>3</v>
      </c>
      <c r="E428" s="4">
        <f t="shared" si="77"/>
        <v>21</v>
      </c>
      <c r="F428" s="4">
        <v>13000</v>
      </c>
      <c r="G428" s="4">
        <v>34450</v>
      </c>
      <c r="H428" s="4">
        <f t="shared" si="86"/>
        <v>5409.3</v>
      </c>
      <c r="I428" s="4">
        <f t="shared" si="87"/>
        <v>5.4093</v>
      </c>
      <c r="J428" s="4">
        <f t="shared" si="87"/>
        <v>5.4092999999999997E-3</v>
      </c>
      <c r="K428" s="4">
        <f t="shared" si="88"/>
        <v>11.922097200000001</v>
      </c>
      <c r="L428" s="3">
        <v>1.2699999999999999E-2</v>
      </c>
      <c r="M428" s="3">
        <v>3.1</v>
      </c>
      <c r="N428" s="4">
        <f t="shared" si="89"/>
        <v>65.450847322550857</v>
      </c>
      <c r="O428" s="4">
        <f t="shared" si="78"/>
        <v>51.633417764704696</v>
      </c>
      <c r="P428" s="4">
        <f t="shared" si="79"/>
        <v>41.341855415996733</v>
      </c>
      <c r="Q428" s="4">
        <f t="shared" si="83"/>
        <v>105.0083127566317</v>
      </c>
      <c r="R428" s="2">
        <f t="shared" si="80"/>
        <v>23420.552187998248</v>
      </c>
      <c r="S428" s="2">
        <f t="shared" si="81"/>
        <v>56285.874039890041</v>
      </c>
      <c r="T428" s="2">
        <f t="shared" si="82"/>
        <v>149157.5662057086</v>
      </c>
      <c r="U428" s="4">
        <f t="shared" si="90"/>
        <v>109.97499999999999</v>
      </c>
      <c r="V428" s="4">
        <f t="shared" si="91"/>
        <v>0.14750000000000002</v>
      </c>
      <c r="W428" s="4">
        <v>0</v>
      </c>
      <c r="X428" s="4" t="s">
        <v>434</v>
      </c>
      <c r="AA428" s="7" t="s">
        <v>712</v>
      </c>
      <c r="AB428" s="7" t="s">
        <v>713</v>
      </c>
      <c r="AC428" s="7" t="s">
        <v>714</v>
      </c>
      <c r="AD428" s="7" t="s">
        <v>715</v>
      </c>
      <c r="AE428" s="7" t="s">
        <v>716</v>
      </c>
      <c r="AF428" s="7" t="s">
        <v>717</v>
      </c>
    </row>
    <row r="429" spans="1:34" x14ac:dyDescent="0.25">
      <c r="A429" s="2" t="s">
        <v>105</v>
      </c>
      <c r="B429" s="4" t="s">
        <v>700</v>
      </c>
      <c r="C429" s="4">
        <v>8</v>
      </c>
      <c r="D429" s="4">
        <v>3</v>
      </c>
      <c r="E429" s="4">
        <f t="shared" si="77"/>
        <v>24</v>
      </c>
      <c r="F429" s="4">
        <v>18000</v>
      </c>
      <c r="G429" s="4">
        <v>40770</v>
      </c>
      <c r="H429" s="4">
        <f t="shared" si="86"/>
        <v>7489.8</v>
      </c>
      <c r="I429" s="4">
        <f t="shared" si="87"/>
        <v>7.4897999999999998</v>
      </c>
      <c r="J429" s="4">
        <f t="shared" si="87"/>
        <v>7.4897999999999996E-3</v>
      </c>
      <c r="K429" s="4">
        <f t="shared" si="88"/>
        <v>16.507519200000001</v>
      </c>
      <c r="L429" s="3">
        <v>1.2699999999999999E-2</v>
      </c>
      <c r="M429" s="3">
        <v>3.1</v>
      </c>
      <c r="N429" s="4">
        <f t="shared" si="89"/>
        <v>72.695130842069446</v>
      </c>
      <c r="O429" s="4">
        <f t="shared" si="78"/>
        <v>54.388853887715449</v>
      </c>
      <c r="P429" s="4">
        <f t="shared" si="79"/>
        <v>42.041046989817076</v>
      </c>
      <c r="Q429" s="4">
        <f t="shared" si="83"/>
        <v>106.78425935413537</v>
      </c>
      <c r="R429" s="2">
        <f t="shared" si="80"/>
        <v>24670.398475798753</v>
      </c>
      <c r="S429" s="2">
        <f t="shared" si="81"/>
        <v>59289.590184568013</v>
      </c>
      <c r="T429" s="2">
        <f t="shared" si="82"/>
        <v>157117.41398910523</v>
      </c>
      <c r="U429" s="4">
        <f t="shared" si="90"/>
        <v>109.97499999999999</v>
      </c>
      <c r="V429" s="4">
        <f t="shared" si="91"/>
        <v>0.14750000000000002</v>
      </c>
      <c r="W429" s="4">
        <v>0</v>
      </c>
    </row>
    <row r="430" spans="1:34" x14ac:dyDescent="0.25">
      <c r="A430" s="2" t="s">
        <v>105</v>
      </c>
      <c r="B430" s="4" t="s">
        <v>700</v>
      </c>
      <c r="C430" s="4">
        <v>9</v>
      </c>
      <c r="D430" s="4">
        <v>3</v>
      </c>
      <c r="E430" s="4">
        <f t="shared" si="77"/>
        <v>27</v>
      </c>
      <c r="F430" s="4">
        <v>30000</v>
      </c>
      <c r="G430" s="4">
        <v>79500</v>
      </c>
      <c r="H430" s="4">
        <f t="shared" si="86"/>
        <v>12483</v>
      </c>
      <c r="I430" s="4">
        <f t="shared" si="87"/>
        <v>12.483000000000001</v>
      </c>
      <c r="J430" s="4">
        <f t="shared" si="87"/>
        <v>1.2483000000000001E-2</v>
      </c>
      <c r="K430" s="4">
        <f t="shared" si="88"/>
        <v>27.512532000000004</v>
      </c>
      <c r="L430" s="3">
        <v>1.2699999999999999E-2</v>
      </c>
      <c r="M430" s="3">
        <v>3.1</v>
      </c>
      <c r="N430" s="4">
        <f t="shared" si="89"/>
        <v>85.717488006455042</v>
      </c>
      <c r="O430" s="4">
        <f t="shared" si="78"/>
        <v>56.21057907277568</v>
      </c>
      <c r="P430" s="4">
        <f t="shared" si="79"/>
        <v>42.490227472605369</v>
      </c>
      <c r="Q430" s="4">
        <f t="shared" si="83"/>
        <v>107.92517778041764</v>
      </c>
      <c r="R430" s="2">
        <f t="shared" si="80"/>
        <v>25496.720102682404</v>
      </c>
      <c r="S430" s="2">
        <f t="shared" si="81"/>
        <v>61275.462875949052</v>
      </c>
      <c r="T430" s="2">
        <f t="shared" si="82"/>
        <v>162379.97662126497</v>
      </c>
      <c r="U430" s="4">
        <f t="shared" si="90"/>
        <v>109.97499999999999</v>
      </c>
      <c r="V430" s="4">
        <f t="shared" si="91"/>
        <v>0.14750000000000002</v>
      </c>
      <c r="W430" s="4">
        <v>0</v>
      </c>
    </row>
    <row r="431" spans="1:34" x14ac:dyDescent="0.25">
      <c r="A431" s="2" t="s">
        <v>105</v>
      </c>
      <c r="B431" s="4" t="s">
        <v>700</v>
      </c>
      <c r="C431" s="4">
        <v>10</v>
      </c>
      <c r="D431" s="4">
        <v>3</v>
      </c>
      <c r="E431" s="4">
        <f t="shared" si="77"/>
        <v>30</v>
      </c>
      <c r="F431" s="4">
        <v>32000</v>
      </c>
      <c r="G431" s="4">
        <v>85500</v>
      </c>
      <c r="H431" s="4">
        <f t="shared" si="86"/>
        <v>13315.2</v>
      </c>
      <c r="I431" s="4">
        <f t="shared" si="87"/>
        <v>13.315200000000001</v>
      </c>
      <c r="J431" s="4">
        <f t="shared" si="87"/>
        <v>1.3315200000000001E-2</v>
      </c>
      <c r="K431" s="4">
        <f t="shared" si="88"/>
        <v>29.346700800000004</v>
      </c>
      <c r="L431" s="3">
        <v>1.2699999999999999E-2</v>
      </c>
      <c r="M431" s="3">
        <v>3.1</v>
      </c>
      <c r="N431" s="4">
        <f t="shared" si="89"/>
        <v>87.52073557813911</v>
      </c>
      <c r="O431" s="4">
        <f t="shared" si="78"/>
        <v>57.402451728377855</v>
      </c>
      <c r="P431" s="4">
        <f t="shared" si="79"/>
        <v>42.778793744958321</v>
      </c>
      <c r="Q431" s="4">
        <f t="shared" si="83"/>
        <v>108.65813611219413</v>
      </c>
      <c r="R431" s="2">
        <f t="shared" si="80"/>
        <v>26037.345088213777</v>
      </c>
      <c r="S431" s="2">
        <f t="shared" si="81"/>
        <v>62574.729844301321</v>
      </c>
      <c r="T431" s="2">
        <f t="shared" si="82"/>
        <v>165823.0340873985</v>
      </c>
      <c r="U431" s="4">
        <f t="shared" si="90"/>
        <v>109.97499999999999</v>
      </c>
      <c r="V431" s="4">
        <f t="shared" si="91"/>
        <v>0.14750000000000002</v>
      </c>
      <c r="W431" s="4">
        <v>0</v>
      </c>
    </row>
    <row r="432" spans="1:34" x14ac:dyDescent="0.25">
      <c r="A432" s="4" t="s">
        <v>107</v>
      </c>
      <c r="B432" s="4" t="s">
        <v>108</v>
      </c>
      <c r="C432" s="4">
        <v>1</v>
      </c>
      <c r="D432" s="4">
        <v>5</v>
      </c>
      <c r="E432" s="4">
        <f t="shared" si="77"/>
        <v>5</v>
      </c>
      <c r="F432" s="4">
        <v>819.66597860000002</v>
      </c>
      <c r="G432" s="4">
        <v>2172.1148429999998</v>
      </c>
      <c r="H432" s="4">
        <v>341.0630137</v>
      </c>
      <c r="I432" s="4">
        <v>0.341063014</v>
      </c>
      <c r="J432" s="4">
        <v>3.4106300000000001E-4</v>
      </c>
      <c r="K432" s="4">
        <v>0.75191434099999999</v>
      </c>
      <c r="L432" s="4">
        <v>3.5999999999999999E-3</v>
      </c>
      <c r="M432" s="4">
        <v>3</v>
      </c>
      <c r="N432" s="4">
        <v>45.587317900000002</v>
      </c>
      <c r="O432" s="4">
        <f t="shared" si="78"/>
        <v>7.0948968066073412</v>
      </c>
      <c r="P432" s="4">
        <f t="shared" si="79"/>
        <v>37.925929189604211</v>
      </c>
      <c r="Q432" s="4">
        <f t="shared" si="83"/>
        <v>96.331860141594703</v>
      </c>
      <c r="R432" s="4">
        <f t="shared" si="80"/>
        <v>3218.1948846546529</v>
      </c>
      <c r="S432" s="4">
        <f t="shared" si="81"/>
        <v>7734.1862164255053</v>
      </c>
      <c r="T432" s="4">
        <f t="shared" si="82"/>
        <v>20495.593473527588</v>
      </c>
      <c r="U432" s="4">
        <v>124</v>
      </c>
      <c r="V432" s="4">
        <v>0.3</v>
      </c>
      <c r="W432" s="4">
        <v>0</v>
      </c>
      <c r="Y432" s="4" t="s">
        <v>718</v>
      </c>
    </row>
    <row r="433" spans="1:25" x14ac:dyDescent="0.25">
      <c r="A433" s="4" t="s">
        <v>107</v>
      </c>
      <c r="B433" s="4" t="s">
        <v>108</v>
      </c>
      <c r="C433" s="4">
        <v>2</v>
      </c>
      <c r="D433" s="4">
        <v>5</v>
      </c>
      <c r="E433" s="4">
        <f t="shared" si="77"/>
        <v>10</v>
      </c>
      <c r="F433" s="4">
        <v>3110.5273029999998</v>
      </c>
      <c r="G433" s="4">
        <v>8242.8973540000006</v>
      </c>
      <c r="H433" s="4">
        <v>1294.2904109999999</v>
      </c>
      <c r="I433" s="4">
        <v>1.294290411</v>
      </c>
      <c r="J433" s="4">
        <v>1.29429E-3</v>
      </c>
      <c r="K433" s="4">
        <v>2.8534185249999999</v>
      </c>
      <c r="L433" s="4">
        <v>3.5999999999999999E-3</v>
      </c>
      <c r="M433" s="4">
        <v>3</v>
      </c>
      <c r="N433" s="4">
        <v>71.106572349999993</v>
      </c>
      <c r="O433" s="4">
        <f t="shared" si="78"/>
        <v>12.982672709876262</v>
      </c>
      <c r="P433" s="4">
        <f t="shared" si="79"/>
        <v>46.388347843458611</v>
      </c>
      <c r="Q433" s="4">
        <f t="shared" si="83"/>
        <v>117.82640352238487</v>
      </c>
      <c r="R433" s="4">
        <f t="shared" si="80"/>
        <v>5888.8482867234543</v>
      </c>
      <c r="S433" s="4">
        <f t="shared" si="81"/>
        <v>14152.483265377203</v>
      </c>
      <c r="T433" s="4">
        <f t="shared" si="82"/>
        <v>37504.080653249584</v>
      </c>
      <c r="U433" s="4">
        <v>124</v>
      </c>
      <c r="V433" s="4">
        <v>0.3</v>
      </c>
      <c r="W433" s="4">
        <v>0</v>
      </c>
    </row>
    <row r="434" spans="1:25" x14ac:dyDescent="0.25">
      <c r="A434" s="4" t="s">
        <v>107</v>
      </c>
      <c r="B434" s="4" t="s">
        <v>108</v>
      </c>
      <c r="C434" s="4">
        <v>3</v>
      </c>
      <c r="D434" s="4">
        <v>5</v>
      </c>
      <c r="E434" s="4">
        <f t="shared" si="77"/>
        <v>15</v>
      </c>
      <c r="F434" s="4">
        <v>5086.8830930000004</v>
      </c>
      <c r="G434" s="4">
        <v>13480.2402</v>
      </c>
      <c r="H434" s="4">
        <v>2116.652055</v>
      </c>
      <c r="I434" s="4">
        <v>2.1166520549999999</v>
      </c>
      <c r="J434" s="4">
        <v>2.1166520000000001E-3</v>
      </c>
      <c r="K434" s="4">
        <v>4.6664134529999997</v>
      </c>
      <c r="L434" s="4">
        <v>3.5999999999999999E-3</v>
      </c>
      <c r="M434" s="4">
        <v>3</v>
      </c>
      <c r="N434" s="4">
        <v>83.775235480000006</v>
      </c>
      <c r="O434" s="4">
        <f t="shared" si="78"/>
        <v>14.633444906214649</v>
      </c>
      <c r="P434" s="4">
        <f t="shared" si="79"/>
        <v>48.2765686729362</v>
      </c>
      <c r="Q434" s="4">
        <f t="shared" si="83"/>
        <v>122.62248442925795</v>
      </c>
      <c r="R434" s="4">
        <f t="shared" si="80"/>
        <v>6637.6268500760443</v>
      </c>
      <c r="S434" s="4">
        <f t="shared" si="81"/>
        <v>15951.999159038798</v>
      </c>
      <c r="T434" s="4">
        <f t="shared" si="82"/>
        <v>42272.797771452817</v>
      </c>
      <c r="U434" s="4">
        <v>124</v>
      </c>
      <c r="V434" s="4">
        <v>0.3</v>
      </c>
      <c r="W434" s="4">
        <v>0</v>
      </c>
    </row>
    <row r="435" spans="1:25" x14ac:dyDescent="0.25">
      <c r="A435" s="4" t="s">
        <v>107</v>
      </c>
      <c r="B435" s="4" t="s">
        <v>108</v>
      </c>
      <c r="C435" s="4">
        <v>4</v>
      </c>
      <c r="D435" s="4">
        <v>5</v>
      </c>
      <c r="E435" s="4">
        <f t="shared" si="77"/>
        <v>20</v>
      </c>
      <c r="F435" s="4">
        <v>6322.386939</v>
      </c>
      <c r="G435" s="4">
        <v>16754.325390000002</v>
      </c>
      <c r="H435" s="4">
        <v>2630.7452050000002</v>
      </c>
      <c r="I435" s="4">
        <v>2.6307452050000002</v>
      </c>
      <c r="J435" s="4">
        <v>2.6307449999999999E-3</v>
      </c>
      <c r="K435" s="4">
        <v>5.7997934950000003</v>
      </c>
      <c r="L435" s="4">
        <v>3.5999999999999999E-3</v>
      </c>
      <c r="M435" s="4">
        <v>3</v>
      </c>
      <c r="N435" s="4">
        <v>90.072474830000004</v>
      </c>
      <c r="O435" s="4">
        <f t="shared" si="78"/>
        <v>15.019925025100203</v>
      </c>
      <c r="P435" s="4">
        <f t="shared" si="79"/>
        <v>48.697887689013136</v>
      </c>
      <c r="Q435" s="4">
        <f t="shared" si="83"/>
        <v>123.69263473009337</v>
      </c>
      <c r="R435" s="4">
        <f t="shared" si="80"/>
        <v>6812.9314916403746</v>
      </c>
      <c r="S435" s="4">
        <f t="shared" si="81"/>
        <v>16373.303272387346</v>
      </c>
      <c r="T435" s="4">
        <f t="shared" si="82"/>
        <v>43389.253671826467</v>
      </c>
      <c r="U435" s="4">
        <v>124</v>
      </c>
      <c r="V435" s="4">
        <v>0.3</v>
      </c>
      <c r="W435" s="4">
        <v>0</v>
      </c>
    </row>
    <row r="436" spans="1:25" x14ac:dyDescent="0.25">
      <c r="A436" s="4" t="s">
        <v>107</v>
      </c>
      <c r="B436" s="4" t="s">
        <v>108</v>
      </c>
      <c r="C436" s="4">
        <v>5</v>
      </c>
      <c r="D436" s="4">
        <v>5</v>
      </c>
      <c r="E436" s="4">
        <f t="shared" si="77"/>
        <v>25</v>
      </c>
      <c r="F436" s="4">
        <v>7003.1900919999998</v>
      </c>
      <c r="G436" s="4">
        <v>18558.453740000001</v>
      </c>
      <c r="H436" s="4">
        <v>2914.0273969999998</v>
      </c>
      <c r="I436" s="4">
        <v>2.9140273969999999</v>
      </c>
      <c r="J436" s="4">
        <v>2.914027E-3</v>
      </c>
      <c r="K436" s="4">
        <v>6.4243230809999998</v>
      </c>
      <c r="L436" s="4">
        <v>3.5999999999999999E-3</v>
      </c>
      <c r="M436" s="4">
        <v>3</v>
      </c>
      <c r="N436" s="4">
        <v>93.195950769999996</v>
      </c>
      <c r="O436" s="4">
        <f t="shared" si="78"/>
        <v>15.107078829506749</v>
      </c>
      <c r="P436" s="4">
        <f t="shared" si="79"/>
        <v>48.791896668543963</v>
      </c>
      <c r="Q436" s="4">
        <f t="shared" si="83"/>
        <v>123.93141753810167</v>
      </c>
      <c r="R436" s="4">
        <f t="shared" si="80"/>
        <v>6852.4638393495243</v>
      </c>
      <c r="S436" s="4">
        <f t="shared" si="81"/>
        <v>16468.310116196884</v>
      </c>
      <c r="T436" s="4">
        <f t="shared" si="82"/>
        <v>43641.021807921745</v>
      </c>
      <c r="U436" s="4">
        <v>124</v>
      </c>
      <c r="V436" s="4">
        <v>0.3</v>
      </c>
      <c r="W436" s="4">
        <v>0</v>
      </c>
    </row>
    <row r="437" spans="1:25" x14ac:dyDescent="0.25">
      <c r="A437" s="4" t="s">
        <v>107</v>
      </c>
      <c r="B437" s="4" t="s">
        <v>108</v>
      </c>
      <c r="C437" s="4">
        <v>6</v>
      </c>
      <c r="D437" s="4">
        <v>5</v>
      </c>
      <c r="E437" s="4">
        <f t="shared" ref="E437:E500" si="92">C437*D437</f>
        <v>30</v>
      </c>
      <c r="F437" s="4">
        <v>7359.7297799999997</v>
      </c>
      <c r="G437" s="4">
        <v>19503.283920000002</v>
      </c>
      <c r="H437" s="4">
        <v>3062.3835610000001</v>
      </c>
      <c r="I437" s="4">
        <v>3.0623835609999999</v>
      </c>
      <c r="J437" s="4">
        <v>3.062384E-3</v>
      </c>
      <c r="K437" s="4">
        <v>6.7513920470000004</v>
      </c>
      <c r="L437" s="4">
        <v>3.5999999999999999E-3</v>
      </c>
      <c r="M437" s="4">
        <v>3</v>
      </c>
      <c r="N437" s="4">
        <v>94.751412889999997</v>
      </c>
      <c r="O437" s="4">
        <f t="shared" si="78"/>
        <v>15.126571366192971</v>
      </c>
      <c r="P437" s="4">
        <f t="shared" si="79"/>
        <v>48.81287290720207</v>
      </c>
      <c r="Q437" s="4">
        <f t="shared" si="83"/>
        <v>123.98469718429325</v>
      </c>
      <c r="R437" s="4">
        <f t="shared" si="80"/>
        <v>6861.3055157773088</v>
      </c>
      <c r="S437" s="4">
        <f t="shared" si="81"/>
        <v>16489.559038157433</v>
      </c>
      <c r="T437" s="4">
        <f t="shared" si="82"/>
        <v>43697.331451117199</v>
      </c>
      <c r="U437" s="4">
        <v>124</v>
      </c>
      <c r="V437" s="4">
        <v>0.3</v>
      </c>
      <c r="W437" s="4">
        <v>0</v>
      </c>
    </row>
    <row r="438" spans="1:25" x14ac:dyDescent="0.25">
      <c r="A438" s="4" t="s">
        <v>107</v>
      </c>
      <c r="B438" s="4" t="s">
        <v>108</v>
      </c>
      <c r="C438" s="4">
        <v>7</v>
      </c>
      <c r="D438" s="4">
        <v>5</v>
      </c>
      <c r="E438" s="4">
        <f t="shared" si="92"/>
        <v>35</v>
      </c>
      <c r="F438" s="4">
        <v>7506.0987050000003</v>
      </c>
      <c r="G438" s="4">
        <v>19891.16157</v>
      </c>
      <c r="H438" s="4">
        <v>3123.287671</v>
      </c>
      <c r="I438" s="4">
        <v>3.1232876709999999</v>
      </c>
      <c r="J438" s="4">
        <v>3.1232880000000001E-3</v>
      </c>
      <c r="K438" s="4">
        <v>6.8856624660000003</v>
      </c>
      <c r="L438" s="4">
        <v>3.5999999999999999E-3</v>
      </c>
      <c r="M438" s="4">
        <v>3</v>
      </c>
      <c r="N438" s="4">
        <v>95.375427009999996</v>
      </c>
      <c r="O438" s="4">
        <f t="shared" si="78"/>
        <v>15.130923025839611</v>
      </c>
      <c r="P438" s="4">
        <f t="shared" si="79"/>
        <v>48.817553338693159</v>
      </c>
      <c r="Q438" s="4">
        <f t="shared" si="83"/>
        <v>123.99658548028063</v>
      </c>
      <c r="R438" s="4">
        <f t="shared" si="80"/>
        <v>6863.2793977373021</v>
      </c>
      <c r="S438" s="4">
        <f t="shared" si="81"/>
        <v>16494.302806386208</v>
      </c>
      <c r="T438" s="4">
        <f t="shared" si="82"/>
        <v>43709.902436923447</v>
      </c>
      <c r="U438" s="4">
        <v>124</v>
      </c>
      <c r="V438" s="4">
        <v>0.3</v>
      </c>
      <c r="W438" s="4">
        <v>0</v>
      </c>
    </row>
    <row r="439" spans="1:25" x14ac:dyDescent="0.25">
      <c r="A439" s="4" t="s">
        <v>107</v>
      </c>
      <c r="B439" s="4" t="s">
        <v>108</v>
      </c>
      <c r="C439" s="4">
        <v>8</v>
      </c>
      <c r="D439" s="4">
        <v>5</v>
      </c>
      <c r="E439" s="4">
        <f t="shared" si="92"/>
        <v>40</v>
      </c>
      <c r="F439" s="4">
        <v>7633.7023829999998</v>
      </c>
      <c r="G439" s="4">
        <v>20229.311320000001</v>
      </c>
      <c r="H439" s="4">
        <v>3176.383562</v>
      </c>
      <c r="I439" s="4">
        <v>3.1763835619999998</v>
      </c>
      <c r="J439" s="4">
        <v>3.176384E-3</v>
      </c>
      <c r="K439" s="4">
        <v>7.0027187279999996</v>
      </c>
      <c r="L439" s="4">
        <v>3.5999999999999999E-3</v>
      </c>
      <c r="M439" s="4">
        <v>3</v>
      </c>
      <c r="N439" s="4">
        <v>95.912853749999996</v>
      </c>
      <c r="O439" s="4">
        <f t="shared" si="78"/>
        <v>15.131894126228008</v>
      </c>
      <c r="P439" s="4">
        <f t="shared" si="79"/>
        <v>48.818597684121329</v>
      </c>
      <c r="Q439" s="4">
        <f t="shared" si="83"/>
        <v>123.99923811766818</v>
      </c>
      <c r="R439" s="4">
        <f t="shared" si="80"/>
        <v>6863.7198819878295</v>
      </c>
      <c r="S439" s="4">
        <f t="shared" si="81"/>
        <v>16495.361408286059</v>
      </c>
      <c r="T439" s="4">
        <f t="shared" si="82"/>
        <v>43712.707731958057</v>
      </c>
      <c r="U439" s="4">
        <v>124</v>
      </c>
      <c r="V439" s="4">
        <v>0.3</v>
      </c>
      <c r="W439" s="4">
        <v>0</v>
      </c>
    </row>
    <row r="440" spans="1:25" x14ac:dyDescent="0.25">
      <c r="A440" s="4" t="s">
        <v>107</v>
      </c>
      <c r="B440" s="4" t="s">
        <v>108</v>
      </c>
      <c r="C440" s="4">
        <v>9</v>
      </c>
      <c r="D440" s="4">
        <v>5</v>
      </c>
      <c r="E440" s="4">
        <f t="shared" si="92"/>
        <v>45</v>
      </c>
      <c r="F440" s="4">
        <v>7678.7389750000002</v>
      </c>
      <c r="G440" s="4">
        <v>20348.65828</v>
      </c>
      <c r="H440" s="4">
        <v>3195.1232869999999</v>
      </c>
      <c r="I440" s="4">
        <v>3.1951232869999999</v>
      </c>
      <c r="J440" s="4">
        <v>3.1951229999999998E-3</v>
      </c>
      <c r="K440" s="4">
        <v>7.044032702</v>
      </c>
      <c r="L440" s="4">
        <v>3.5999999999999999E-3</v>
      </c>
      <c r="M440" s="4">
        <v>3</v>
      </c>
      <c r="N440" s="4">
        <v>96.101103210000005</v>
      </c>
      <c r="O440" s="4">
        <f t="shared" si="78"/>
        <v>15.132110813682905</v>
      </c>
      <c r="P440" s="4">
        <f t="shared" si="79"/>
        <v>48.818830709083976</v>
      </c>
      <c r="Q440" s="4">
        <f t="shared" si="83"/>
        <v>123.99983000107329</v>
      </c>
      <c r="R440" s="4">
        <f t="shared" si="80"/>
        <v>6863.818169880934</v>
      </c>
      <c r="S440" s="4">
        <f t="shared" si="81"/>
        <v>16495.597620478093</v>
      </c>
      <c r="T440" s="4">
        <f t="shared" si="82"/>
        <v>43713.333694266941</v>
      </c>
      <c r="U440" s="4">
        <v>124</v>
      </c>
      <c r="V440" s="4">
        <v>0.3</v>
      </c>
      <c r="W440" s="4">
        <v>0</v>
      </c>
    </row>
    <row r="441" spans="1:25" x14ac:dyDescent="0.25">
      <c r="A441" s="4" t="s">
        <v>107</v>
      </c>
      <c r="B441" s="4" t="s">
        <v>108</v>
      </c>
      <c r="C441" s="4">
        <v>10</v>
      </c>
      <c r="D441" s="4">
        <v>5</v>
      </c>
      <c r="E441" s="4">
        <f t="shared" si="92"/>
        <v>50</v>
      </c>
      <c r="F441" s="4">
        <v>7701.2572719999998</v>
      </c>
      <c r="G441" s="4">
        <v>20408.331770000001</v>
      </c>
      <c r="H441" s="4">
        <v>3204.4931510000001</v>
      </c>
      <c r="I441" s="4">
        <v>3.2044931509999999</v>
      </c>
      <c r="J441" s="4">
        <v>3.2044930000000001E-3</v>
      </c>
      <c r="K441" s="4">
        <v>7.0646896899999998</v>
      </c>
      <c r="L441" s="4">
        <v>3.5999999999999999E-3</v>
      </c>
      <c r="M441" s="4">
        <v>3</v>
      </c>
      <c r="N441" s="4">
        <v>96.194952009999994</v>
      </c>
      <c r="O441" s="4">
        <f t="shared" si="78"/>
        <v>15.1321591634717</v>
      </c>
      <c r="P441" s="4">
        <f t="shared" si="79"/>
        <v>48.81888270398121</v>
      </c>
      <c r="Q441" s="4">
        <f t="shared" si="83"/>
        <v>123.99996206811227</v>
      </c>
      <c r="R441" s="4">
        <f t="shared" si="80"/>
        <v>6863.8401010023044</v>
      </c>
      <c r="S441" s="4">
        <f t="shared" si="81"/>
        <v>16495.650326850046</v>
      </c>
      <c r="T441" s="4">
        <f t="shared" si="82"/>
        <v>43713.473366152619</v>
      </c>
      <c r="U441" s="4">
        <v>124</v>
      </c>
      <c r="V441" s="4">
        <v>0.3</v>
      </c>
      <c r="W441" s="4">
        <v>0</v>
      </c>
    </row>
    <row r="442" spans="1:25" x14ac:dyDescent="0.25">
      <c r="A442" s="4" t="s">
        <v>109</v>
      </c>
      <c r="B442" s="4" t="s">
        <v>110</v>
      </c>
      <c r="C442" s="4">
        <v>1</v>
      </c>
      <c r="D442" s="4">
        <v>5</v>
      </c>
      <c r="E442" s="4">
        <f t="shared" si="92"/>
        <v>5</v>
      </c>
      <c r="F442" s="4">
        <v>819.66597860000002</v>
      </c>
      <c r="G442" s="4">
        <v>2172.1148429999998</v>
      </c>
      <c r="H442" s="4">
        <v>341.0630137</v>
      </c>
      <c r="I442" s="4">
        <v>0.341063014</v>
      </c>
      <c r="J442" s="4">
        <v>3.4106300000000001E-4</v>
      </c>
      <c r="K442" s="4">
        <v>0.75191434099999999</v>
      </c>
      <c r="L442" s="4">
        <v>4.3E-3</v>
      </c>
      <c r="M442" s="4">
        <v>3.1</v>
      </c>
      <c r="N442" s="4">
        <v>38.057538889999996</v>
      </c>
      <c r="O442" s="4">
        <f t="shared" si="78"/>
        <v>4.1851394650831351</v>
      </c>
      <c r="P442" s="4">
        <f t="shared" si="79"/>
        <v>26.067792951466473</v>
      </c>
      <c r="Q442" s="4">
        <f t="shared" si="83"/>
        <v>66.212194096724843</v>
      </c>
      <c r="R442" s="4">
        <f t="shared" si="80"/>
        <v>1898.3495863609762</v>
      </c>
      <c r="S442" s="4">
        <f t="shared" si="81"/>
        <v>4562.2436586420963</v>
      </c>
      <c r="T442" s="4">
        <f t="shared" si="82"/>
        <v>12089.945695401555</v>
      </c>
      <c r="U442" s="4">
        <v>267</v>
      </c>
      <c r="V442" s="4">
        <v>5.7000000000000002E-2</v>
      </c>
      <c r="W442" s="4">
        <v>0</v>
      </c>
      <c r="Y442" s="4" t="s">
        <v>719</v>
      </c>
    </row>
    <row r="443" spans="1:25" x14ac:dyDescent="0.25">
      <c r="A443" s="4" t="s">
        <v>109</v>
      </c>
      <c r="B443" s="4" t="s">
        <v>110</v>
      </c>
      <c r="C443" s="4">
        <v>2</v>
      </c>
      <c r="D443" s="4">
        <v>5</v>
      </c>
      <c r="E443" s="4">
        <f t="shared" si="92"/>
        <v>10</v>
      </c>
      <c r="F443" s="4">
        <v>3110.5273029999998</v>
      </c>
      <c r="G443" s="4">
        <v>8242.8973540000006</v>
      </c>
      <c r="H443" s="4">
        <v>1294.2904109999999</v>
      </c>
      <c r="I443" s="4">
        <v>1.294290411</v>
      </c>
      <c r="J443" s="4">
        <v>1.29429E-3</v>
      </c>
      <c r="K443" s="4">
        <v>2.8534185249999999</v>
      </c>
      <c r="L443" s="4">
        <v>4.3E-3</v>
      </c>
      <c r="M443" s="4">
        <v>3.1</v>
      </c>
      <c r="N443" s="4">
        <v>58.516518140000002</v>
      </c>
      <c r="O443" s="4">
        <f t="shared" si="78"/>
        <v>23.805461443090437</v>
      </c>
      <c r="P443" s="4">
        <f t="shared" si="79"/>
        <v>45.671144829615592</v>
      </c>
      <c r="Q443" s="4">
        <f t="shared" si="83"/>
        <v>116.0047078672236</v>
      </c>
      <c r="R443" s="4">
        <f t="shared" si="80"/>
        <v>10797.988516429334</v>
      </c>
      <c r="S443" s="4">
        <f t="shared" si="81"/>
        <v>25950.465071928225</v>
      </c>
      <c r="T443" s="4">
        <f t="shared" si="82"/>
        <v>68768.732440609791</v>
      </c>
      <c r="U443" s="4">
        <v>267</v>
      </c>
      <c r="V443" s="4">
        <v>5.7000000000000002E-2</v>
      </c>
      <c r="W443" s="4">
        <v>0</v>
      </c>
    </row>
    <row r="444" spans="1:25" x14ac:dyDescent="0.25">
      <c r="A444" s="4" t="s">
        <v>109</v>
      </c>
      <c r="B444" s="4" t="s">
        <v>110</v>
      </c>
      <c r="C444" s="4">
        <v>3</v>
      </c>
      <c r="D444" s="4">
        <v>5</v>
      </c>
      <c r="E444" s="4">
        <f t="shared" si="92"/>
        <v>15</v>
      </c>
      <c r="F444" s="4">
        <v>5086.8830930000004</v>
      </c>
      <c r="G444" s="4">
        <v>13480.2402</v>
      </c>
      <c r="H444" s="4">
        <v>2116.652055</v>
      </c>
      <c r="I444" s="4">
        <v>2.1166520549999999</v>
      </c>
      <c r="J444" s="4">
        <v>2.1166520000000001E-3</v>
      </c>
      <c r="K444" s="4">
        <v>4.6664134529999997</v>
      </c>
      <c r="L444" s="4">
        <v>4.3E-3</v>
      </c>
      <c r="M444" s="4">
        <v>3.1</v>
      </c>
      <c r="N444" s="4">
        <v>68.578412069999999</v>
      </c>
      <c r="O444" s="4">
        <f t="shared" si="78"/>
        <v>56.662299651630804</v>
      </c>
      <c r="P444" s="4">
        <f t="shared" si="79"/>
        <v>60.413144874422372</v>
      </c>
      <c r="Q444" s="4">
        <f t="shared" si="83"/>
        <v>153.44938798103283</v>
      </c>
      <c r="R444" s="4">
        <f t="shared" si="80"/>
        <v>25701.61735429725</v>
      </c>
      <c r="S444" s="4">
        <f t="shared" si="81"/>
        <v>61767.885975239726</v>
      </c>
      <c r="T444" s="4">
        <f t="shared" si="82"/>
        <v>163684.89783438528</v>
      </c>
      <c r="U444" s="4">
        <v>267</v>
      </c>
      <c r="V444" s="4">
        <v>5.7000000000000002E-2</v>
      </c>
      <c r="W444" s="4">
        <v>0</v>
      </c>
    </row>
    <row r="445" spans="1:25" x14ac:dyDescent="0.25">
      <c r="A445" s="4" t="s">
        <v>109</v>
      </c>
      <c r="B445" s="4" t="s">
        <v>110</v>
      </c>
      <c r="C445" s="4">
        <v>4</v>
      </c>
      <c r="D445" s="4">
        <v>5</v>
      </c>
      <c r="E445" s="4">
        <f t="shared" si="92"/>
        <v>20</v>
      </c>
      <c r="F445" s="4">
        <v>6322.386939</v>
      </c>
      <c r="G445" s="4">
        <v>16754.325390000002</v>
      </c>
      <c r="H445" s="4">
        <v>2630.7452050000002</v>
      </c>
      <c r="I445" s="4">
        <v>2.6307452050000002</v>
      </c>
      <c r="J445" s="4">
        <v>2.6307449999999999E-3</v>
      </c>
      <c r="K445" s="4">
        <v>5.7997934950000003</v>
      </c>
      <c r="L445" s="4">
        <v>4.3E-3</v>
      </c>
      <c r="M445" s="4">
        <v>3.1</v>
      </c>
      <c r="N445" s="4">
        <v>73.561147309999996</v>
      </c>
      <c r="O445" s="4">
        <f t="shared" si="78"/>
        <v>95.526310440334015</v>
      </c>
      <c r="P445" s="4">
        <f t="shared" si="79"/>
        <v>71.49933904529405</v>
      </c>
      <c r="Q445" s="4">
        <f t="shared" si="83"/>
        <v>181.60832117504688</v>
      </c>
      <c r="R445" s="4">
        <f t="shared" si="80"/>
        <v>43330.05708028323</v>
      </c>
      <c r="S445" s="4">
        <f t="shared" si="81"/>
        <v>104133.75890479027</v>
      </c>
      <c r="T445" s="4">
        <f t="shared" si="82"/>
        <v>275954.46109769423</v>
      </c>
      <c r="U445" s="4">
        <v>267</v>
      </c>
      <c r="V445" s="4">
        <v>5.7000000000000002E-2</v>
      </c>
      <c r="W445" s="4">
        <v>0</v>
      </c>
    </row>
    <row r="446" spans="1:25" x14ac:dyDescent="0.25">
      <c r="A446" s="4" t="s">
        <v>109</v>
      </c>
      <c r="B446" s="4" t="s">
        <v>110</v>
      </c>
      <c r="C446" s="4">
        <v>5</v>
      </c>
      <c r="D446" s="4">
        <v>5</v>
      </c>
      <c r="E446" s="4">
        <f t="shared" si="92"/>
        <v>25</v>
      </c>
      <c r="F446" s="4">
        <v>7003.1900919999998</v>
      </c>
      <c r="G446" s="4">
        <v>18558.453740000001</v>
      </c>
      <c r="H446" s="4">
        <v>2914.0273969999998</v>
      </c>
      <c r="I446" s="4">
        <v>2.9140273969999999</v>
      </c>
      <c r="J446" s="4">
        <v>2.914027E-3</v>
      </c>
      <c r="K446" s="4">
        <v>6.4243230809999998</v>
      </c>
      <c r="L446" s="4">
        <v>4.3E-3</v>
      </c>
      <c r="M446" s="4">
        <v>3.1</v>
      </c>
      <c r="N446" s="4">
        <v>76.02840209</v>
      </c>
      <c r="O446" s="4">
        <f t="shared" si="78"/>
        <v>134.46467885214014</v>
      </c>
      <c r="P446" s="4">
        <f t="shared" si="79"/>
        <v>79.836315087941998</v>
      </c>
      <c r="Q446" s="4">
        <f t="shared" si="83"/>
        <v>202.78424032337267</v>
      </c>
      <c r="R446" s="4">
        <f t="shared" si="80"/>
        <v>60992.224896871179</v>
      </c>
      <c r="S446" s="4">
        <f t="shared" si="81"/>
        <v>146580.68949019746</v>
      </c>
      <c r="T446" s="4">
        <f t="shared" si="82"/>
        <v>388438.82714902324</v>
      </c>
      <c r="U446" s="4">
        <v>267</v>
      </c>
      <c r="V446" s="4">
        <v>5.7000000000000002E-2</v>
      </c>
      <c r="W446" s="4">
        <v>0</v>
      </c>
    </row>
    <row r="447" spans="1:25" x14ac:dyDescent="0.25">
      <c r="A447" s="4" t="s">
        <v>109</v>
      </c>
      <c r="B447" s="4" t="s">
        <v>110</v>
      </c>
      <c r="C447" s="4">
        <v>6</v>
      </c>
      <c r="D447" s="4">
        <v>5</v>
      </c>
      <c r="E447" s="4">
        <f t="shared" si="92"/>
        <v>30</v>
      </c>
      <c r="F447" s="4">
        <v>7359.7297799999997</v>
      </c>
      <c r="G447" s="4">
        <v>19503.283920000002</v>
      </c>
      <c r="H447" s="4">
        <v>3062.3835610000001</v>
      </c>
      <c r="I447" s="4">
        <v>3.0623835609999999</v>
      </c>
      <c r="J447" s="4">
        <v>3.062384E-3</v>
      </c>
      <c r="K447" s="4">
        <v>6.7513920470000004</v>
      </c>
      <c r="L447" s="4">
        <v>4.3E-3</v>
      </c>
      <c r="M447" s="4">
        <v>3.1</v>
      </c>
      <c r="N447" s="4">
        <v>77.256071860000006</v>
      </c>
      <c r="O447" s="4">
        <f t="shared" si="78"/>
        <v>169.97607750313279</v>
      </c>
      <c r="P447" s="4">
        <f t="shared" si="79"/>
        <v>86.105839909932442</v>
      </c>
      <c r="Q447" s="4">
        <f t="shared" si="83"/>
        <v>218.70883337122839</v>
      </c>
      <c r="R447" s="4">
        <f t="shared" si="80"/>
        <v>77099.943529103781</v>
      </c>
      <c r="S447" s="4">
        <f t="shared" si="81"/>
        <v>185291.86140135492</v>
      </c>
      <c r="T447" s="4">
        <f t="shared" si="82"/>
        <v>491023.4327135905</v>
      </c>
      <c r="U447" s="4">
        <v>267</v>
      </c>
      <c r="V447" s="4">
        <v>5.7000000000000002E-2</v>
      </c>
      <c r="W447" s="4">
        <v>0</v>
      </c>
    </row>
    <row r="448" spans="1:25" x14ac:dyDescent="0.25">
      <c r="A448" s="4" t="s">
        <v>109</v>
      </c>
      <c r="B448" s="4" t="s">
        <v>110</v>
      </c>
      <c r="C448" s="4">
        <v>7</v>
      </c>
      <c r="D448" s="4">
        <v>5</v>
      </c>
      <c r="E448" s="4">
        <f t="shared" si="92"/>
        <v>35</v>
      </c>
      <c r="F448" s="4">
        <v>7506.0987050000003</v>
      </c>
      <c r="G448" s="4">
        <v>19891.16157</v>
      </c>
      <c r="H448" s="4">
        <v>3123.287671</v>
      </c>
      <c r="I448" s="4">
        <v>3.1232876709999999</v>
      </c>
      <c r="J448" s="4">
        <v>3.1232880000000001E-3</v>
      </c>
      <c r="K448" s="4">
        <v>6.8856624660000003</v>
      </c>
      <c r="L448" s="4">
        <v>4.3E-3</v>
      </c>
      <c r="M448" s="4">
        <v>3.1</v>
      </c>
      <c r="N448" s="4">
        <v>77.748400239999995</v>
      </c>
      <c r="O448" s="4">
        <f t="shared" si="78"/>
        <v>200.52034073249951</v>
      </c>
      <c r="P448" s="4">
        <f t="shared" si="79"/>
        <v>90.820611943878447</v>
      </c>
      <c r="Q448" s="4">
        <f t="shared" si="83"/>
        <v>230.68435433745125</v>
      </c>
      <c r="R448" s="4">
        <f t="shared" si="80"/>
        <v>90954.604753880267</v>
      </c>
      <c r="S448" s="4">
        <f t="shared" si="81"/>
        <v>218588.33154020732</v>
      </c>
      <c r="T448" s="4">
        <f t="shared" si="82"/>
        <v>579259.07858154934</v>
      </c>
      <c r="U448" s="4">
        <v>267</v>
      </c>
      <c r="V448" s="4">
        <v>5.7000000000000002E-2</v>
      </c>
      <c r="W448" s="4">
        <v>0</v>
      </c>
    </row>
    <row r="449" spans="1:25" x14ac:dyDescent="0.25">
      <c r="A449" s="4" t="s">
        <v>109</v>
      </c>
      <c r="B449" s="4" t="s">
        <v>110</v>
      </c>
      <c r="C449" s="4">
        <v>8</v>
      </c>
      <c r="D449" s="4">
        <v>5</v>
      </c>
      <c r="E449" s="4">
        <f t="shared" si="92"/>
        <v>40</v>
      </c>
      <c r="F449" s="4">
        <v>7633.7023829999998</v>
      </c>
      <c r="G449" s="4">
        <v>20229.311320000001</v>
      </c>
      <c r="H449" s="4">
        <v>3176.383562</v>
      </c>
      <c r="I449" s="4">
        <v>3.1763835619999998</v>
      </c>
      <c r="J449" s="4">
        <v>3.176384E-3</v>
      </c>
      <c r="K449" s="4">
        <v>7.0027187279999996</v>
      </c>
      <c r="L449" s="4">
        <v>4.3E-3</v>
      </c>
      <c r="M449" s="4">
        <v>3.1</v>
      </c>
      <c r="N449" s="4">
        <v>78.172330489999993</v>
      </c>
      <c r="O449" s="4">
        <f t="shared" si="78"/>
        <v>225.79670099887431</v>
      </c>
      <c r="P449" s="4">
        <f t="shared" si="79"/>
        <v>94.366187719272247</v>
      </c>
      <c r="Q449" s="4">
        <f t="shared" si="83"/>
        <v>239.69011680695152</v>
      </c>
      <c r="R449" s="4">
        <f t="shared" si="80"/>
        <v>102419.78254704861</v>
      </c>
      <c r="S449" s="4">
        <f t="shared" si="81"/>
        <v>246142.23154782169</v>
      </c>
      <c r="T449" s="4">
        <f t="shared" si="82"/>
        <v>652276.91360172746</v>
      </c>
      <c r="U449" s="4">
        <v>267</v>
      </c>
      <c r="V449" s="4">
        <v>5.7000000000000002E-2</v>
      </c>
      <c r="W449" s="4">
        <v>0</v>
      </c>
    </row>
    <row r="450" spans="1:25" x14ac:dyDescent="0.25">
      <c r="A450" s="4" t="s">
        <v>109</v>
      </c>
      <c r="B450" s="4" t="s">
        <v>110</v>
      </c>
      <c r="C450" s="4">
        <v>9</v>
      </c>
      <c r="D450" s="4">
        <v>5</v>
      </c>
      <c r="E450" s="4">
        <f t="shared" si="92"/>
        <v>45</v>
      </c>
      <c r="F450" s="4">
        <v>7678.7389750000002</v>
      </c>
      <c r="G450" s="4">
        <v>20348.65828</v>
      </c>
      <c r="H450" s="4">
        <v>3195.1232869999999</v>
      </c>
      <c r="I450" s="4">
        <v>3.1951232869999999</v>
      </c>
      <c r="J450" s="4">
        <v>3.1951229999999998E-3</v>
      </c>
      <c r="K450" s="4">
        <v>7.044032702</v>
      </c>
      <c r="L450" s="4">
        <v>4.3E-3</v>
      </c>
      <c r="M450" s="4">
        <v>3.1</v>
      </c>
      <c r="N450" s="4">
        <v>78.320806329999996</v>
      </c>
      <c r="O450" s="4">
        <f t="shared" ref="O450:O513" si="93">R450*0.00220462</f>
        <v>246.16724255654387</v>
      </c>
      <c r="P450" s="4">
        <f t="shared" ref="P450:P513" si="94">Q450/2.54</f>
        <v>97.032511242137858</v>
      </c>
      <c r="Q450" s="4">
        <f t="shared" si="83"/>
        <v>246.46257855503018</v>
      </c>
      <c r="R450" s="4">
        <f t="shared" ref="R450:R513" si="95">L450*(Q450^M450)</f>
        <v>111659.71575897155</v>
      </c>
      <c r="S450" s="4">
        <f t="shared" ref="S450:S513" si="96">R450/20/5.7/3.65*1000</f>
        <v>268348.27147073188</v>
      </c>
      <c r="T450" s="4">
        <f t="shared" ref="T450:T513" si="97">S450*2.65</f>
        <v>711122.91939743946</v>
      </c>
      <c r="U450" s="4">
        <v>267</v>
      </c>
      <c r="V450" s="4">
        <v>5.7000000000000002E-2</v>
      </c>
      <c r="W450" s="4">
        <v>0</v>
      </c>
    </row>
    <row r="451" spans="1:25" x14ac:dyDescent="0.25">
      <c r="A451" s="4" t="s">
        <v>109</v>
      </c>
      <c r="B451" s="4" t="s">
        <v>110</v>
      </c>
      <c r="C451" s="4">
        <v>10</v>
      </c>
      <c r="D451" s="4">
        <v>5</v>
      </c>
      <c r="E451" s="4">
        <f t="shared" si="92"/>
        <v>50</v>
      </c>
      <c r="F451" s="4">
        <v>7701.2572719999998</v>
      </c>
      <c r="G451" s="4">
        <v>20408.331770000001</v>
      </c>
      <c r="H451" s="4">
        <v>3204.4931510000001</v>
      </c>
      <c r="I451" s="4">
        <v>3.2044931509999999</v>
      </c>
      <c r="J451" s="4">
        <v>3.2044930000000001E-3</v>
      </c>
      <c r="K451" s="4">
        <v>7.0646896899999998</v>
      </c>
      <c r="L451" s="4">
        <v>4.3E-3</v>
      </c>
      <c r="M451" s="4">
        <v>3.1</v>
      </c>
      <c r="N451" s="4">
        <v>78.394823119999998</v>
      </c>
      <c r="O451" s="4">
        <f t="shared" si="93"/>
        <v>262.28133571106258</v>
      </c>
      <c r="P451" s="4">
        <f t="shared" si="94"/>
        <v>99.037624537959886</v>
      </c>
      <c r="Q451" s="4">
        <f t="shared" ref="Q451:Q514" si="98">U451*(1-EXP(-V451*(E451-W451)))</f>
        <v>251.55556632641813</v>
      </c>
      <c r="R451" s="4">
        <f t="shared" si="95"/>
        <v>118968.95415584663</v>
      </c>
      <c r="S451" s="4">
        <f t="shared" si="96"/>
        <v>285914.33346754772</v>
      </c>
      <c r="T451" s="4">
        <f t="shared" si="97"/>
        <v>757672.98368900141</v>
      </c>
      <c r="U451" s="4">
        <v>267</v>
      </c>
      <c r="V451" s="4">
        <v>5.7000000000000002E-2</v>
      </c>
      <c r="W451" s="4">
        <v>0</v>
      </c>
    </row>
    <row r="452" spans="1:25" x14ac:dyDescent="0.25">
      <c r="A452" s="4" t="s">
        <v>111</v>
      </c>
      <c r="B452" s="4" t="s">
        <v>112</v>
      </c>
      <c r="C452" s="4">
        <v>1</v>
      </c>
      <c r="D452" s="4">
        <v>2</v>
      </c>
      <c r="E452" s="4">
        <f t="shared" si="92"/>
        <v>2</v>
      </c>
      <c r="F452" s="4">
        <v>127.5414564</v>
      </c>
      <c r="G452" s="4">
        <v>337.98485950000003</v>
      </c>
      <c r="H452" s="4">
        <v>53.070000010000001</v>
      </c>
      <c r="I452" s="4">
        <v>5.3069999999999999E-2</v>
      </c>
      <c r="J452" s="4">
        <v>5.3100000000000003E-5</v>
      </c>
      <c r="K452" s="4">
        <v>0.11699918300000001</v>
      </c>
      <c r="L452" s="4">
        <v>1.2200000000000001E-2</v>
      </c>
      <c r="M452" s="4">
        <v>2.9</v>
      </c>
      <c r="N452" s="4">
        <v>17.974278559999998</v>
      </c>
      <c r="O452" s="4">
        <f t="shared" si="93"/>
        <v>0.56547375041106485</v>
      </c>
      <c r="P452" s="4">
        <f t="shared" si="94"/>
        <v>12.183133390028711</v>
      </c>
      <c r="Q452" s="4">
        <f t="shared" si="98"/>
        <v>30.945158810672925</v>
      </c>
      <c r="R452" s="4">
        <f t="shared" si="95"/>
        <v>256.49488365843769</v>
      </c>
      <c r="S452" s="4">
        <f t="shared" si="96"/>
        <v>616.4260602221525</v>
      </c>
      <c r="T452" s="4">
        <f t="shared" si="97"/>
        <v>1633.5290595887041</v>
      </c>
      <c r="U452" s="4">
        <v>113</v>
      </c>
      <c r="V452" s="4">
        <v>0.16</v>
      </c>
      <c r="W452" s="4">
        <v>0</v>
      </c>
      <c r="Y452" s="4" t="s">
        <v>720</v>
      </c>
    </row>
    <row r="453" spans="1:25" x14ac:dyDescent="0.25">
      <c r="A453" s="4" t="s">
        <v>111</v>
      </c>
      <c r="B453" s="4" t="s">
        <v>112</v>
      </c>
      <c r="C453" s="4">
        <v>2</v>
      </c>
      <c r="D453" s="4">
        <v>2</v>
      </c>
      <c r="E453" s="4">
        <f t="shared" si="92"/>
        <v>4</v>
      </c>
      <c r="F453" s="4">
        <v>347.4885845</v>
      </c>
      <c r="G453" s="4">
        <v>920.84474890000001</v>
      </c>
      <c r="H453" s="4">
        <v>144.59</v>
      </c>
      <c r="I453" s="4">
        <v>0.14459</v>
      </c>
      <c r="J453" s="4">
        <v>1.4459E-4</v>
      </c>
      <c r="K453" s="4">
        <v>0.31876600599999999</v>
      </c>
      <c r="L453" s="4">
        <v>1.2200000000000001E-2</v>
      </c>
      <c r="M453" s="4">
        <v>2.9</v>
      </c>
      <c r="N453" s="4">
        <v>25.39517335</v>
      </c>
      <c r="O453" s="4">
        <f t="shared" si="93"/>
        <v>2.753844994484147</v>
      </c>
      <c r="P453" s="4">
        <f t="shared" si="94"/>
        <v>21.029903969738392</v>
      </c>
      <c r="Q453" s="4">
        <f t="shared" si="98"/>
        <v>53.415956083135512</v>
      </c>
      <c r="R453" s="4">
        <f t="shared" si="95"/>
        <v>1249.1245631828374</v>
      </c>
      <c r="S453" s="4">
        <f t="shared" si="96"/>
        <v>3001.9816466782922</v>
      </c>
      <c r="T453" s="4">
        <f t="shared" si="97"/>
        <v>7955.2513636974745</v>
      </c>
      <c r="U453" s="4">
        <v>113</v>
      </c>
      <c r="V453" s="4">
        <v>0.16</v>
      </c>
      <c r="W453" s="4">
        <v>0</v>
      </c>
    </row>
    <row r="454" spans="1:25" x14ac:dyDescent="0.25">
      <c r="A454" s="4" t="s">
        <v>111</v>
      </c>
      <c r="B454" s="4" t="s">
        <v>112</v>
      </c>
      <c r="C454" s="4">
        <v>3</v>
      </c>
      <c r="D454" s="4">
        <v>2</v>
      </c>
      <c r="E454" s="4">
        <f t="shared" si="92"/>
        <v>6</v>
      </c>
      <c r="F454" s="4">
        <v>732.42009129999997</v>
      </c>
      <c r="G454" s="4">
        <v>1940.9132420000001</v>
      </c>
      <c r="H454" s="4">
        <v>304.76</v>
      </c>
      <c r="I454" s="4">
        <v>0.30475999999999998</v>
      </c>
      <c r="J454" s="4">
        <v>3.0476E-4</v>
      </c>
      <c r="K454" s="4">
        <v>0.67187999099999995</v>
      </c>
      <c r="L454" s="4">
        <v>1.2200000000000001E-2</v>
      </c>
      <c r="M454" s="4">
        <v>2.9</v>
      </c>
      <c r="N454" s="4">
        <v>32.84075627</v>
      </c>
      <c r="O454" s="4">
        <f t="shared" si="93"/>
        <v>5.9657721643235062</v>
      </c>
      <c r="P454" s="4">
        <f t="shared" si="94"/>
        <v>27.453977907406433</v>
      </c>
      <c r="Q454" s="4">
        <f t="shared" si="98"/>
        <v>69.733103884812337</v>
      </c>
      <c r="R454" s="4">
        <f t="shared" si="95"/>
        <v>2706.0319530456522</v>
      </c>
      <c r="S454" s="4">
        <f t="shared" si="96"/>
        <v>6503.3212041472061</v>
      </c>
      <c r="T454" s="4">
        <f t="shared" si="97"/>
        <v>17233.801190990096</v>
      </c>
      <c r="U454" s="4">
        <v>113</v>
      </c>
      <c r="V454" s="4">
        <v>0.16</v>
      </c>
      <c r="W454" s="4">
        <v>0</v>
      </c>
    </row>
    <row r="455" spans="1:25" x14ac:dyDescent="0.25">
      <c r="A455" s="4" t="s">
        <v>111</v>
      </c>
      <c r="B455" s="4" t="s">
        <v>112</v>
      </c>
      <c r="C455" s="4">
        <v>4</v>
      </c>
      <c r="D455" s="4">
        <v>2</v>
      </c>
      <c r="E455" s="4">
        <f t="shared" si="92"/>
        <v>8</v>
      </c>
      <c r="F455" s="4">
        <v>1115.2006730000001</v>
      </c>
      <c r="G455" s="4">
        <v>2955.281782</v>
      </c>
      <c r="H455" s="4">
        <v>464.03500000000003</v>
      </c>
      <c r="I455" s="4">
        <v>0.46403499999999998</v>
      </c>
      <c r="J455" s="4">
        <v>4.6403500000000001E-4</v>
      </c>
      <c r="K455" s="4">
        <v>1.023020842</v>
      </c>
      <c r="L455" s="4">
        <v>1.2200000000000001E-2</v>
      </c>
      <c r="M455" s="4">
        <v>2.9</v>
      </c>
      <c r="N455" s="4">
        <v>37.964368059999998</v>
      </c>
      <c r="O455" s="4">
        <f t="shared" si="93"/>
        <v>9.4040269322969028</v>
      </c>
      <c r="P455" s="4">
        <f t="shared" si="94"/>
        <v>32.118813011334275</v>
      </c>
      <c r="Q455" s="4">
        <f t="shared" si="98"/>
        <v>81.581785048789058</v>
      </c>
      <c r="R455" s="4">
        <f t="shared" si="95"/>
        <v>4265.5999366316655</v>
      </c>
      <c r="S455" s="4">
        <f t="shared" si="96"/>
        <v>10251.381727064805</v>
      </c>
      <c r="T455" s="4">
        <f t="shared" si="97"/>
        <v>27166.161576721734</v>
      </c>
      <c r="U455" s="4">
        <v>113</v>
      </c>
      <c r="V455" s="4">
        <v>0.16</v>
      </c>
      <c r="W455" s="4">
        <v>0</v>
      </c>
    </row>
    <row r="456" spans="1:25" x14ac:dyDescent="0.25">
      <c r="A456" s="4" t="s">
        <v>111</v>
      </c>
      <c r="B456" s="4" t="s">
        <v>112</v>
      </c>
      <c r="C456" s="4">
        <v>5</v>
      </c>
      <c r="D456" s="4">
        <v>2</v>
      </c>
      <c r="E456" s="4">
        <f t="shared" si="92"/>
        <v>10</v>
      </c>
      <c r="F456" s="4">
        <v>1550.4325879999999</v>
      </c>
      <c r="G456" s="4">
        <v>4108.6463590000003</v>
      </c>
      <c r="H456" s="4">
        <v>645.13499990000003</v>
      </c>
      <c r="I456" s="4">
        <v>0.64513500000000001</v>
      </c>
      <c r="J456" s="4">
        <v>6.4513500000000002E-4</v>
      </c>
      <c r="K456" s="4">
        <v>1.422277523</v>
      </c>
      <c r="L456" s="4">
        <v>1.2200000000000001E-2</v>
      </c>
      <c r="M456" s="4">
        <v>2.9</v>
      </c>
      <c r="N456" s="4">
        <v>42.532504469999999</v>
      </c>
      <c r="O456" s="4">
        <f t="shared" si="93"/>
        <v>12.577454528700933</v>
      </c>
      <c r="P456" s="4">
        <f t="shared" si="94"/>
        <v>35.506178530159033</v>
      </c>
      <c r="Q456" s="4">
        <f t="shared" si="98"/>
        <v>90.185693466603951</v>
      </c>
      <c r="R456" s="4">
        <f t="shared" si="95"/>
        <v>5705.0441929679191</v>
      </c>
      <c r="S456" s="4">
        <f t="shared" si="96"/>
        <v>13710.752686777021</v>
      </c>
      <c r="T456" s="4">
        <f t="shared" si="97"/>
        <v>36333.494619959107</v>
      </c>
      <c r="U456" s="4">
        <v>113</v>
      </c>
      <c r="V456" s="4">
        <v>0.16</v>
      </c>
      <c r="W456" s="4">
        <v>0</v>
      </c>
    </row>
    <row r="457" spans="1:25" x14ac:dyDescent="0.25">
      <c r="A457" s="4" t="s">
        <v>111</v>
      </c>
      <c r="B457" s="4" t="s">
        <v>112</v>
      </c>
      <c r="C457" s="4">
        <v>6</v>
      </c>
      <c r="D457" s="4">
        <v>2</v>
      </c>
      <c r="E457" s="4">
        <f t="shared" si="92"/>
        <v>12</v>
      </c>
      <c r="F457" s="4">
        <v>1976.4359529999999</v>
      </c>
      <c r="G457" s="4">
        <v>5237.5552749999997</v>
      </c>
      <c r="H457" s="4">
        <v>822.39499999999998</v>
      </c>
      <c r="I457" s="4">
        <v>0.82239499999999999</v>
      </c>
      <c r="J457" s="4">
        <v>8.2239499999999996E-4</v>
      </c>
      <c r="K457" s="4">
        <v>1.813068465</v>
      </c>
      <c r="L457" s="4">
        <v>1.2200000000000001E-2</v>
      </c>
      <c r="M457" s="4">
        <v>2.9</v>
      </c>
      <c r="N457" s="4">
        <v>46.246202820000001</v>
      </c>
      <c r="O457" s="4">
        <f t="shared" si="93"/>
        <v>15.274022873534948</v>
      </c>
      <c r="P457" s="4">
        <f t="shared" si="94"/>
        <v>37.965910739870246</v>
      </c>
      <c r="Q457" s="4">
        <f t="shared" si="98"/>
        <v>96.433413279270425</v>
      </c>
      <c r="R457" s="4">
        <f t="shared" si="95"/>
        <v>6928.1884739932266</v>
      </c>
      <c r="S457" s="4">
        <f t="shared" si="96"/>
        <v>16650.296741151709</v>
      </c>
      <c r="T457" s="4">
        <f t="shared" si="97"/>
        <v>44123.28636405203</v>
      </c>
      <c r="U457" s="4">
        <v>113</v>
      </c>
      <c r="V457" s="4">
        <v>0.16</v>
      </c>
      <c r="W457" s="4">
        <v>0</v>
      </c>
    </row>
    <row r="458" spans="1:25" x14ac:dyDescent="0.25">
      <c r="A458" s="4" t="s">
        <v>111</v>
      </c>
      <c r="B458" s="4" t="s">
        <v>112</v>
      </c>
      <c r="C458" s="4">
        <v>7</v>
      </c>
      <c r="D458" s="4">
        <v>2</v>
      </c>
      <c r="E458" s="4">
        <f t="shared" si="92"/>
        <v>14</v>
      </c>
      <c r="F458" s="4">
        <v>2275.6669069999998</v>
      </c>
      <c r="G458" s="4">
        <v>6030.517304</v>
      </c>
      <c r="H458" s="4">
        <v>946.90499999999997</v>
      </c>
      <c r="I458" s="4">
        <v>0.946905</v>
      </c>
      <c r="J458" s="4">
        <v>9.4690499999999995E-4</v>
      </c>
      <c r="K458" s="4">
        <v>2.0875657009999999</v>
      </c>
      <c r="L458" s="4">
        <v>1.2200000000000001E-2</v>
      </c>
      <c r="M458" s="4">
        <v>2.9</v>
      </c>
      <c r="N458" s="4">
        <v>48.54991519</v>
      </c>
      <c r="O458" s="4">
        <f t="shared" si="93"/>
        <v>17.452343985709355</v>
      </c>
      <c r="P458" s="4">
        <f t="shared" si="94"/>
        <v>39.752042915411195</v>
      </c>
      <c r="Q458" s="4">
        <f t="shared" si="98"/>
        <v>100.97018900514443</v>
      </c>
      <c r="R458" s="4">
        <f t="shared" si="95"/>
        <v>7916.2594849494944</v>
      </c>
      <c r="S458" s="4">
        <f t="shared" si="96"/>
        <v>19024.896623286455</v>
      </c>
      <c r="T458" s="4">
        <f t="shared" si="97"/>
        <v>50415.976051709105</v>
      </c>
      <c r="U458" s="4">
        <v>113</v>
      </c>
      <c r="V458" s="4">
        <v>0.16</v>
      </c>
      <c r="W458" s="4">
        <v>0</v>
      </c>
    </row>
    <row r="459" spans="1:25" x14ac:dyDescent="0.25">
      <c r="A459" s="4" t="s">
        <v>111</v>
      </c>
      <c r="B459" s="4" t="s">
        <v>112</v>
      </c>
      <c r="C459" s="4">
        <v>8</v>
      </c>
      <c r="D459" s="4">
        <v>2</v>
      </c>
      <c r="E459" s="4">
        <f t="shared" si="92"/>
        <v>16</v>
      </c>
      <c r="F459" s="4">
        <v>2451.3338140000001</v>
      </c>
      <c r="G459" s="4">
        <v>6496.0346079999999</v>
      </c>
      <c r="H459" s="4">
        <v>1020</v>
      </c>
      <c r="I459" s="4">
        <v>1.02</v>
      </c>
      <c r="J459" s="4">
        <v>1.0200000000000001E-3</v>
      </c>
      <c r="K459" s="4">
        <v>2.2487124000000001</v>
      </c>
      <c r="L459" s="4">
        <v>1.2200000000000001E-2</v>
      </c>
      <c r="M459" s="4">
        <v>2.9</v>
      </c>
      <c r="N459" s="4">
        <v>49.810884719999997</v>
      </c>
      <c r="O459" s="4">
        <f t="shared" si="93"/>
        <v>19.15535032069835</v>
      </c>
      <c r="P459" s="4">
        <f t="shared" si="94"/>
        <v>41.049041074766585</v>
      </c>
      <c r="Q459" s="4">
        <f t="shared" si="98"/>
        <v>104.26456432990713</v>
      </c>
      <c r="R459" s="4">
        <f t="shared" si="95"/>
        <v>8688.7310832244784</v>
      </c>
      <c r="S459" s="4">
        <f t="shared" si="96"/>
        <v>20881.353240145345</v>
      </c>
      <c r="T459" s="4">
        <f t="shared" si="97"/>
        <v>55335.586086385163</v>
      </c>
      <c r="U459" s="4">
        <v>113</v>
      </c>
      <c r="V459" s="4">
        <v>0.16</v>
      </c>
      <c r="W459" s="4">
        <v>0</v>
      </c>
    </row>
    <row r="460" spans="1:25" x14ac:dyDescent="0.25">
      <c r="A460" s="4" t="s">
        <v>111</v>
      </c>
      <c r="B460" s="4" t="s">
        <v>112</v>
      </c>
      <c r="C460" s="4">
        <v>9</v>
      </c>
      <c r="D460" s="4">
        <v>2</v>
      </c>
      <c r="E460" s="4">
        <f t="shared" si="92"/>
        <v>18</v>
      </c>
      <c r="F460" s="4">
        <v>2643.5952900000002</v>
      </c>
      <c r="G460" s="4">
        <v>7005.5275179999999</v>
      </c>
      <c r="H460" s="4">
        <v>1100</v>
      </c>
      <c r="I460" s="4">
        <v>1.1000000000000001</v>
      </c>
      <c r="J460" s="4">
        <v>1.1000000000000001E-3</v>
      </c>
      <c r="K460" s="4">
        <v>2.4250820000000002</v>
      </c>
      <c r="L460" s="4">
        <v>1.2200000000000001E-2</v>
      </c>
      <c r="M460" s="4">
        <v>2.9</v>
      </c>
      <c r="N460" s="4">
        <v>51.12484671</v>
      </c>
      <c r="O460" s="4">
        <f t="shared" si="93"/>
        <v>20.457852082609612</v>
      </c>
      <c r="P460" s="4">
        <f t="shared" si="94"/>
        <v>41.990855039268851</v>
      </c>
      <c r="Q460" s="4">
        <f t="shared" si="98"/>
        <v>106.65677179974288</v>
      </c>
      <c r="R460" s="4">
        <f t="shared" si="95"/>
        <v>9279.5366469548553</v>
      </c>
      <c r="S460" s="4">
        <f t="shared" si="96"/>
        <v>22301.217608639403</v>
      </c>
      <c r="T460" s="4">
        <f t="shared" si="97"/>
        <v>59098.226662894413</v>
      </c>
      <c r="U460" s="4">
        <v>113</v>
      </c>
      <c r="V460" s="4">
        <v>0.16</v>
      </c>
      <c r="W460" s="4">
        <v>0</v>
      </c>
    </row>
    <row r="461" spans="1:25" x14ac:dyDescent="0.25">
      <c r="A461" s="4" t="s">
        <v>111</v>
      </c>
      <c r="B461" s="4" t="s">
        <v>112</v>
      </c>
      <c r="C461" s="4">
        <v>10</v>
      </c>
      <c r="D461" s="4">
        <v>2</v>
      </c>
      <c r="E461" s="4">
        <f t="shared" si="92"/>
        <v>20</v>
      </c>
      <c r="F461" s="4">
        <v>3076.18361</v>
      </c>
      <c r="G461" s="4">
        <v>8151.8865660000001</v>
      </c>
      <c r="H461" s="4">
        <v>1280</v>
      </c>
      <c r="I461" s="4">
        <v>1.28</v>
      </c>
      <c r="J461" s="4">
        <v>1.2800000000000001E-3</v>
      </c>
      <c r="K461" s="4">
        <v>2.8219135999999998</v>
      </c>
      <c r="L461" s="4">
        <v>1.2200000000000001E-2</v>
      </c>
      <c r="M461" s="4">
        <v>2.9</v>
      </c>
      <c r="N461" s="4">
        <v>53.867600940000003</v>
      </c>
      <c r="O461" s="4">
        <f t="shared" si="93"/>
        <v>21.439135995298788</v>
      </c>
      <c r="P461" s="4">
        <f t="shared" si="94"/>
        <v>42.674752342694731</v>
      </c>
      <c r="Q461" s="4">
        <f t="shared" si="98"/>
        <v>108.39387095044462</v>
      </c>
      <c r="R461" s="4">
        <f t="shared" si="95"/>
        <v>9724.6400718939258</v>
      </c>
      <c r="S461" s="4">
        <f t="shared" si="96"/>
        <v>23370.92062459487</v>
      </c>
      <c r="T461" s="4">
        <f t="shared" si="97"/>
        <v>61932.9396551764</v>
      </c>
      <c r="U461" s="4">
        <v>113</v>
      </c>
      <c r="V461" s="4">
        <v>0.16</v>
      </c>
      <c r="W461" s="4">
        <v>0</v>
      </c>
    </row>
    <row r="462" spans="1:25" x14ac:dyDescent="0.25">
      <c r="A462" s="4" t="s">
        <v>113</v>
      </c>
      <c r="B462" s="4" t="s">
        <v>114</v>
      </c>
      <c r="C462" s="4">
        <v>1</v>
      </c>
      <c r="D462" s="4">
        <v>2</v>
      </c>
      <c r="E462" s="4">
        <f t="shared" si="92"/>
        <v>2</v>
      </c>
      <c r="F462" s="4">
        <v>476.02739730000002</v>
      </c>
      <c r="G462" s="4">
        <v>1261.4726029999999</v>
      </c>
      <c r="H462" s="4">
        <v>198.07499999999999</v>
      </c>
      <c r="I462" s="4">
        <v>0.198075</v>
      </c>
      <c r="J462" s="4">
        <v>1.98075E-4</v>
      </c>
      <c r="K462" s="4">
        <v>0.43668010699999998</v>
      </c>
      <c r="L462" s="4">
        <v>1.2E-2</v>
      </c>
      <c r="M462" s="4">
        <v>3.05</v>
      </c>
      <c r="N462" s="4">
        <v>24.145463530000001</v>
      </c>
      <c r="O462" s="4">
        <f t="shared" si="93"/>
        <v>0.84854244029559045</v>
      </c>
      <c r="P462" s="4">
        <f t="shared" si="94"/>
        <v>11.819397150892565</v>
      </c>
      <c r="Q462" s="4">
        <f t="shared" si="98"/>
        <v>30.021268763267113</v>
      </c>
      <c r="R462" s="4">
        <f t="shared" si="95"/>
        <v>384.89283427329445</v>
      </c>
      <c r="S462" s="4">
        <f t="shared" si="96"/>
        <v>925.00080334846052</v>
      </c>
      <c r="T462" s="4">
        <f t="shared" si="97"/>
        <v>2451.2521288734201</v>
      </c>
      <c r="U462" s="4">
        <v>85.9</v>
      </c>
      <c r="V462" s="4">
        <v>0.215</v>
      </c>
      <c r="W462" s="4">
        <v>0</v>
      </c>
      <c r="Y462" s="4" t="s">
        <v>721</v>
      </c>
    </row>
    <row r="463" spans="1:25" x14ac:dyDescent="0.25">
      <c r="A463" s="4" t="s">
        <v>113</v>
      </c>
      <c r="B463" s="4" t="s">
        <v>114</v>
      </c>
      <c r="C463" s="4">
        <v>2</v>
      </c>
      <c r="D463" s="4">
        <v>2</v>
      </c>
      <c r="E463" s="4">
        <f t="shared" si="92"/>
        <v>4</v>
      </c>
      <c r="F463" s="4">
        <v>1129.488104</v>
      </c>
      <c r="G463" s="4">
        <v>2993.143474</v>
      </c>
      <c r="H463" s="4">
        <v>469.98000009999998</v>
      </c>
      <c r="I463" s="4">
        <v>0.46998000000000001</v>
      </c>
      <c r="J463" s="4">
        <v>4.6998E-4</v>
      </c>
      <c r="K463" s="4">
        <v>1.036127308</v>
      </c>
      <c r="L463" s="4">
        <v>1.2E-2</v>
      </c>
      <c r="M463" s="4">
        <v>3.05</v>
      </c>
      <c r="N463" s="4">
        <v>32.052967240000001</v>
      </c>
      <c r="O463" s="4">
        <f t="shared" si="93"/>
        <v>3.912084528136166</v>
      </c>
      <c r="P463" s="4">
        <f t="shared" si="94"/>
        <v>19.50802249169503</v>
      </c>
      <c r="Q463" s="4">
        <f t="shared" si="98"/>
        <v>49.550377128905374</v>
      </c>
      <c r="R463" s="4">
        <f t="shared" si="95"/>
        <v>1774.4938030754352</v>
      </c>
      <c r="S463" s="4">
        <f t="shared" si="96"/>
        <v>4264.5849629306304</v>
      </c>
      <c r="T463" s="4">
        <f t="shared" si="97"/>
        <v>11301.150151766171</v>
      </c>
      <c r="U463" s="4">
        <v>85.9</v>
      </c>
      <c r="V463" s="4">
        <v>0.215</v>
      </c>
      <c r="W463" s="4">
        <v>0</v>
      </c>
    </row>
    <row r="464" spans="1:25" x14ac:dyDescent="0.25">
      <c r="A464" s="4" t="s">
        <v>113</v>
      </c>
      <c r="B464" s="4" t="s">
        <v>114</v>
      </c>
      <c r="C464" s="4">
        <v>3</v>
      </c>
      <c r="D464" s="4">
        <v>2</v>
      </c>
      <c r="E464" s="4">
        <f t="shared" si="92"/>
        <v>6</v>
      </c>
      <c r="F464" s="4">
        <v>1548.9065129999999</v>
      </c>
      <c r="G464" s="4">
        <v>4104.6022599999997</v>
      </c>
      <c r="H464" s="4">
        <v>644.50000009999997</v>
      </c>
      <c r="I464" s="4">
        <v>0.64449999999999996</v>
      </c>
      <c r="J464" s="4">
        <v>6.445E-4</v>
      </c>
      <c r="K464" s="4">
        <v>1.4208775899999999</v>
      </c>
      <c r="L464" s="4">
        <v>1.2E-2</v>
      </c>
      <c r="M464" s="4">
        <v>3.05</v>
      </c>
      <c r="N464" s="4">
        <v>35.549486860000002</v>
      </c>
      <c r="O464" s="4">
        <f t="shared" si="93"/>
        <v>7.8474803509363218</v>
      </c>
      <c r="P464" s="4">
        <f t="shared" si="94"/>
        <v>24.509543201807197</v>
      </c>
      <c r="Q464" s="4">
        <f t="shared" si="98"/>
        <v>62.254239732590285</v>
      </c>
      <c r="R464" s="4">
        <f t="shared" si="95"/>
        <v>3559.561444120221</v>
      </c>
      <c r="S464" s="4">
        <f t="shared" si="96"/>
        <v>8554.5816969964453</v>
      </c>
      <c r="T464" s="4">
        <f t="shared" si="97"/>
        <v>22669.641497040579</v>
      </c>
      <c r="U464" s="4">
        <v>85.9</v>
      </c>
      <c r="V464" s="4">
        <v>0.215</v>
      </c>
      <c r="W464" s="4">
        <v>0</v>
      </c>
    </row>
    <row r="465" spans="1:30" x14ac:dyDescent="0.25">
      <c r="A465" s="4" t="s">
        <v>113</v>
      </c>
      <c r="B465" s="4" t="s">
        <v>114</v>
      </c>
      <c r="C465" s="4">
        <v>4</v>
      </c>
      <c r="D465" s="4">
        <v>2</v>
      </c>
      <c r="E465" s="4">
        <f t="shared" si="92"/>
        <v>8</v>
      </c>
      <c r="F465" s="4">
        <v>2095.4578219999999</v>
      </c>
      <c r="G465" s="4">
        <v>5552.9632300000003</v>
      </c>
      <c r="H465" s="4">
        <v>871.91999969999995</v>
      </c>
      <c r="I465" s="4">
        <v>0.87192000000000003</v>
      </c>
      <c r="J465" s="4">
        <v>8.7191999999999999E-4</v>
      </c>
      <c r="K465" s="4">
        <v>1.92225227</v>
      </c>
      <c r="L465" s="4">
        <v>1.2E-2</v>
      </c>
      <c r="M465" s="4">
        <v>3.05</v>
      </c>
      <c r="N465" s="4">
        <v>39.252501789999997</v>
      </c>
      <c r="O465" s="4">
        <f t="shared" si="93"/>
        <v>11.477149554816396</v>
      </c>
      <c r="P465" s="4">
        <f t="shared" si="94"/>
        <v>27.763077911182179</v>
      </c>
      <c r="Q465" s="4">
        <f t="shared" si="98"/>
        <v>70.518217894402738</v>
      </c>
      <c r="R465" s="4">
        <f t="shared" si="95"/>
        <v>5205.9536585971264</v>
      </c>
      <c r="S465" s="4">
        <f t="shared" si="96"/>
        <v>12511.304154282927</v>
      </c>
      <c r="T465" s="4">
        <f t="shared" si="97"/>
        <v>33154.956008849753</v>
      </c>
      <c r="U465" s="4">
        <v>85.9</v>
      </c>
      <c r="V465" s="4">
        <v>0.215</v>
      </c>
      <c r="W465" s="4">
        <v>0</v>
      </c>
    </row>
    <row r="466" spans="1:30" x14ac:dyDescent="0.25">
      <c r="A466" s="4" t="s">
        <v>113</v>
      </c>
      <c r="B466" s="4" t="s">
        <v>114</v>
      </c>
      <c r="C466" s="4">
        <v>5</v>
      </c>
      <c r="D466" s="4">
        <v>2</v>
      </c>
      <c r="E466" s="4">
        <f t="shared" si="92"/>
        <v>10</v>
      </c>
      <c r="F466" s="4">
        <v>2636.890171</v>
      </c>
      <c r="G466" s="4">
        <v>6987.7589529999996</v>
      </c>
      <c r="H466" s="4">
        <v>1097.21</v>
      </c>
      <c r="I466" s="4">
        <v>1.09721</v>
      </c>
      <c r="J466" s="4">
        <v>1.0972099999999999E-3</v>
      </c>
      <c r="K466" s="4">
        <v>2.418931111</v>
      </c>
      <c r="L466" s="4">
        <v>1.2E-2</v>
      </c>
      <c r="M466" s="4">
        <v>3.05</v>
      </c>
      <c r="N466" s="4">
        <v>42.32460897</v>
      </c>
      <c r="O466" s="4">
        <f t="shared" si="93"/>
        <v>14.359783075897388</v>
      </c>
      <c r="P466" s="4">
        <f t="shared" si="94"/>
        <v>29.879531829628586</v>
      </c>
      <c r="Q466" s="4">
        <f t="shared" si="98"/>
        <v>75.89401084725661</v>
      </c>
      <c r="R466" s="4">
        <f t="shared" si="95"/>
        <v>6513.4957842609556</v>
      </c>
      <c r="S466" s="4">
        <f t="shared" si="96"/>
        <v>15653.678885510588</v>
      </c>
      <c r="T466" s="4">
        <f t="shared" si="97"/>
        <v>41482.249046603058</v>
      </c>
      <c r="U466" s="4">
        <v>85.9</v>
      </c>
      <c r="V466" s="4">
        <v>0.215</v>
      </c>
      <c r="W466" s="4">
        <v>0</v>
      </c>
    </row>
    <row r="467" spans="1:30" x14ac:dyDescent="0.25">
      <c r="A467" s="4" t="s">
        <v>113</v>
      </c>
      <c r="B467" s="4" t="s">
        <v>114</v>
      </c>
      <c r="C467" s="4">
        <v>6</v>
      </c>
      <c r="D467" s="4">
        <v>2</v>
      </c>
      <c r="E467" s="4">
        <f t="shared" si="92"/>
        <v>12</v>
      </c>
      <c r="F467" s="4">
        <v>2919.850997</v>
      </c>
      <c r="G467" s="4">
        <v>7737.6051429999998</v>
      </c>
      <c r="H467" s="4">
        <v>1214.95</v>
      </c>
      <c r="I467" s="4">
        <v>1.21495</v>
      </c>
      <c r="J467" s="4">
        <v>1.21495E-3</v>
      </c>
      <c r="K467" s="4">
        <v>2.678503069</v>
      </c>
      <c r="L467" s="4">
        <v>1.2E-2</v>
      </c>
      <c r="M467" s="4">
        <v>3.05</v>
      </c>
      <c r="N467" s="4">
        <v>43.763018099999996</v>
      </c>
      <c r="O467" s="4">
        <f t="shared" si="93"/>
        <v>16.474702745780608</v>
      </c>
      <c r="P467" s="4">
        <f t="shared" si="94"/>
        <v>31.256304352140777</v>
      </c>
      <c r="Q467" s="4">
        <f t="shared" si="98"/>
        <v>79.391013054437579</v>
      </c>
      <c r="R467" s="4">
        <f t="shared" si="95"/>
        <v>7472.8083505459481</v>
      </c>
      <c r="S467" s="4">
        <f t="shared" si="96"/>
        <v>17959.164505037126</v>
      </c>
      <c r="T467" s="4">
        <f t="shared" si="97"/>
        <v>47591.785938348381</v>
      </c>
      <c r="U467" s="4">
        <v>85.9</v>
      </c>
      <c r="V467" s="4">
        <v>0.215</v>
      </c>
      <c r="W467" s="4">
        <v>0</v>
      </c>
    </row>
    <row r="468" spans="1:30" x14ac:dyDescent="0.25">
      <c r="A468" s="4" t="s">
        <v>113</v>
      </c>
      <c r="B468" s="4" t="s">
        <v>114</v>
      </c>
      <c r="C468" s="4">
        <v>7</v>
      </c>
      <c r="D468" s="4">
        <v>2</v>
      </c>
      <c r="E468" s="4">
        <f t="shared" si="92"/>
        <v>14</v>
      </c>
      <c r="F468" s="4">
        <v>3445.5659700000001</v>
      </c>
      <c r="G468" s="4">
        <v>9130.7498190000006</v>
      </c>
      <c r="H468" s="4">
        <v>1433.7</v>
      </c>
      <c r="I468" s="4">
        <v>1.4337</v>
      </c>
      <c r="J468" s="4">
        <v>1.4337E-3</v>
      </c>
      <c r="K468" s="4">
        <v>3.1607636939999999</v>
      </c>
      <c r="L468" s="4">
        <v>1.2E-2</v>
      </c>
      <c r="M468" s="4">
        <v>3.05</v>
      </c>
      <c r="N468" s="4">
        <v>46.204151209999999</v>
      </c>
      <c r="O468" s="4">
        <f t="shared" si="93"/>
        <v>17.957190459582417</v>
      </c>
      <c r="P468" s="4">
        <f t="shared" si="94"/>
        <v>32.151907399400123</v>
      </c>
      <c r="Q468" s="4">
        <f t="shared" si="98"/>
        <v>81.665844794476314</v>
      </c>
      <c r="R468" s="4">
        <f t="shared" si="95"/>
        <v>8145.2542658519005</v>
      </c>
      <c r="S468" s="4">
        <f t="shared" si="96"/>
        <v>19575.232554318438</v>
      </c>
      <c r="T468" s="4">
        <f t="shared" si="97"/>
        <v>51874.366268943857</v>
      </c>
      <c r="U468" s="4">
        <v>85.9</v>
      </c>
      <c r="V468" s="4">
        <v>0.215</v>
      </c>
      <c r="W468" s="4">
        <v>0</v>
      </c>
    </row>
    <row r="469" spans="1:30" x14ac:dyDescent="0.25">
      <c r="A469" s="4" t="s">
        <v>113</v>
      </c>
      <c r="B469" s="4" t="s">
        <v>114</v>
      </c>
      <c r="C469" s="4">
        <v>8</v>
      </c>
      <c r="D469" s="4">
        <v>2</v>
      </c>
      <c r="E469" s="4">
        <f t="shared" si="92"/>
        <v>16</v>
      </c>
      <c r="F469" s="4">
        <v>3970.9204519999998</v>
      </c>
      <c r="G469" s="4">
        <v>10522.939200000001</v>
      </c>
      <c r="H469" s="4">
        <v>1652.3</v>
      </c>
      <c r="I469" s="4">
        <v>1.6523000000000001</v>
      </c>
      <c r="J469" s="4">
        <v>1.6523E-3</v>
      </c>
      <c r="K469" s="4">
        <v>3.6426936259999998</v>
      </c>
      <c r="L469" s="4">
        <v>1.2E-2</v>
      </c>
      <c r="M469" s="4">
        <v>3.05</v>
      </c>
      <c r="N469" s="4">
        <v>48.404724909999999</v>
      </c>
      <c r="O469" s="4">
        <f t="shared" si="93"/>
        <v>18.968171209230924</v>
      </c>
      <c r="P469" s="4">
        <f t="shared" si="94"/>
        <v>32.734505326904241</v>
      </c>
      <c r="Q469" s="4">
        <f t="shared" si="98"/>
        <v>83.14564353033677</v>
      </c>
      <c r="R469" s="4">
        <f t="shared" si="95"/>
        <v>8603.8279654683902</v>
      </c>
      <c r="S469" s="4">
        <f t="shared" si="96"/>
        <v>20677.308256352779</v>
      </c>
      <c r="T469" s="4">
        <f t="shared" si="97"/>
        <v>54794.866879334862</v>
      </c>
      <c r="U469" s="4">
        <v>85.9</v>
      </c>
      <c r="V469" s="4">
        <v>0.215</v>
      </c>
      <c r="W469" s="4">
        <v>0</v>
      </c>
    </row>
    <row r="470" spans="1:30" x14ac:dyDescent="0.25">
      <c r="A470" s="4" t="s">
        <v>113</v>
      </c>
      <c r="B470" s="4" t="s">
        <v>114</v>
      </c>
      <c r="C470" s="4">
        <v>9</v>
      </c>
      <c r="D470" s="4">
        <v>2</v>
      </c>
      <c r="E470" s="4">
        <f t="shared" si="92"/>
        <v>18</v>
      </c>
      <c r="F470" s="4">
        <v>4109.5890410000002</v>
      </c>
      <c r="G470" s="4">
        <v>10890.410959999999</v>
      </c>
      <c r="H470" s="4">
        <v>1710</v>
      </c>
      <c r="I470" s="4">
        <v>1.71</v>
      </c>
      <c r="J470" s="4">
        <v>1.7099999999999999E-3</v>
      </c>
      <c r="K470" s="4">
        <v>3.7699001999999999</v>
      </c>
      <c r="L470" s="4">
        <v>1.2E-2</v>
      </c>
      <c r="M470" s="4">
        <v>3.05</v>
      </c>
      <c r="N470" s="4">
        <v>48.952555150000002</v>
      </c>
      <c r="O470" s="4">
        <f t="shared" si="93"/>
        <v>19.645946752033446</v>
      </c>
      <c r="P470" s="4">
        <f t="shared" si="94"/>
        <v>33.113490577312625</v>
      </c>
      <c r="Q470" s="4">
        <f t="shared" si="98"/>
        <v>84.108266066374071</v>
      </c>
      <c r="R470" s="4">
        <f t="shared" si="95"/>
        <v>8911.2621458725062</v>
      </c>
      <c r="S470" s="4">
        <f t="shared" si="96"/>
        <v>21416.155121058655</v>
      </c>
      <c r="T470" s="4">
        <f t="shared" si="97"/>
        <v>56752.81107080543</v>
      </c>
      <c r="U470" s="4">
        <v>85.9</v>
      </c>
      <c r="V470" s="4">
        <v>0.215</v>
      </c>
      <c r="W470" s="4">
        <v>0</v>
      </c>
    </row>
    <row r="471" spans="1:30" x14ac:dyDescent="0.25">
      <c r="A471" s="4" t="s">
        <v>113</v>
      </c>
      <c r="B471" s="4" t="s">
        <v>114</v>
      </c>
      <c r="C471" s="4">
        <v>10</v>
      </c>
      <c r="D471" s="4">
        <v>2</v>
      </c>
      <c r="E471" s="4">
        <f t="shared" si="92"/>
        <v>20</v>
      </c>
      <c r="F471" s="4">
        <v>4373.9485699999996</v>
      </c>
      <c r="G471" s="4">
        <v>11590.96371</v>
      </c>
      <c r="H471" s="4">
        <v>1820</v>
      </c>
      <c r="I471" s="4">
        <v>1.82</v>
      </c>
      <c r="J471" s="4">
        <v>1.82E-3</v>
      </c>
      <c r="K471" s="4">
        <v>4.0124084</v>
      </c>
      <c r="L471" s="4">
        <v>1.2E-2</v>
      </c>
      <c r="M471" s="4">
        <v>3.05</v>
      </c>
      <c r="N471" s="4">
        <v>49.963459960000002</v>
      </c>
      <c r="O471" s="4">
        <f t="shared" si="93"/>
        <v>20.095471608124409</v>
      </c>
      <c r="P471" s="4">
        <f t="shared" si="94"/>
        <v>33.360023929469271</v>
      </c>
      <c r="Q471" s="4">
        <f t="shared" si="98"/>
        <v>84.734460780851947</v>
      </c>
      <c r="R471" s="4">
        <f t="shared" si="95"/>
        <v>9115.1634332104441</v>
      </c>
      <c r="S471" s="4">
        <f t="shared" si="96"/>
        <v>21906.184650830193</v>
      </c>
      <c r="T471" s="4">
        <f t="shared" si="97"/>
        <v>58051.389324700009</v>
      </c>
      <c r="U471" s="4">
        <v>85.9</v>
      </c>
      <c r="V471" s="4">
        <v>0.215</v>
      </c>
      <c r="W471" s="4">
        <v>0</v>
      </c>
      <c r="Y471" s="4" t="s">
        <v>722</v>
      </c>
      <c r="Z471" s="4" t="s">
        <v>723</v>
      </c>
      <c r="AA471" s="4" t="s">
        <v>724</v>
      </c>
    </row>
    <row r="472" spans="1:30" x14ac:dyDescent="0.25">
      <c r="A472" s="4" t="s">
        <v>115</v>
      </c>
      <c r="B472" s="4" t="s">
        <v>116</v>
      </c>
      <c r="C472" s="4">
        <v>1</v>
      </c>
      <c r="D472" s="4">
        <v>7</v>
      </c>
      <c r="E472" s="4">
        <f t="shared" si="92"/>
        <v>7</v>
      </c>
      <c r="F472" s="4">
        <v>8511146.557</v>
      </c>
      <c r="G472" s="4">
        <v>22554538.370000001</v>
      </c>
      <c r="H472" s="4">
        <v>3541488.0819999999</v>
      </c>
      <c r="I472" s="4">
        <v>3541.4880819999998</v>
      </c>
      <c r="J472" s="4">
        <v>3.5414880819999999</v>
      </c>
      <c r="K472" s="4">
        <v>7807.635456</v>
      </c>
      <c r="L472" s="2">
        <v>1.4999999999999999E-2</v>
      </c>
      <c r="M472" s="4">
        <v>3</v>
      </c>
      <c r="N472" s="4">
        <v>707.50350370000001</v>
      </c>
      <c r="O472" s="4">
        <f t="shared" si="93"/>
        <v>374.43302480089977</v>
      </c>
      <c r="P472" s="4">
        <f t="shared" si="94"/>
        <v>88.406188050802356</v>
      </c>
      <c r="Q472" s="4">
        <f t="shared" si="98"/>
        <v>224.55171764903798</v>
      </c>
      <c r="R472" s="2">
        <f t="shared" si="95"/>
        <v>169840.16510822717</v>
      </c>
      <c r="S472" s="2">
        <f t="shared" si="96"/>
        <v>408171.50951268239</v>
      </c>
      <c r="T472" s="2">
        <f t="shared" si="97"/>
        <v>1081654.5002086083</v>
      </c>
      <c r="U472" s="4">
        <f>2.7178*100</f>
        <v>271.77999999999997</v>
      </c>
      <c r="V472" s="4">
        <v>0.25</v>
      </c>
      <c r="W472" s="4">
        <v>0</v>
      </c>
      <c r="X472" s="4" t="s">
        <v>459</v>
      </c>
      <c r="Y472" s="4">
        <f>AVERAGE(135,170)*0.453592</f>
        <v>69.172780000000003</v>
      </c>
      <c r="Z472" s="4">
        <f>340*0.453592</f>
        <v>154.22128000000001</v>
      </c>
      <c r="AA472" s="4">
        <f>1400*0.453592</f>
        <v>635.02880000000005</v>
      </c>
      <c r="AC472" s="4">
        <f>AVERAGE(Y472:AA472)</f>
        <v>286.14095333333336</v>
      </c>
      <c r="AD472" s="4">
        <f t="shared" ref="AD472:AD477" si="99">R472*0.001</f>
        <v>169.84016510822718</v>
      </c>
    </row>
    <row r="473" spans="1:30" x14ac:dyDescent="0.25">
      <c r="A473" s="4" t="s">
        <v>115</v>
      </c>
      <c r="B473" s="4" t="s">
        <v>116</v>
      </c>
      <c r="C473" s="4">
        <v>2</v>
      </c>
      <c r="D473" s="4">
        <v>7</v>
      </c>
      <c r="E473" s="4">
        <f t="shared" si="92"/>
        <v>14</v>
      </c>
      <c r="F473" s="4">
        <v>9222421.4670000002</v>
      </c>
      <c r="G473" s="4">
        <v>24439416.890000001</v>
      </c>
      <c r="H473" s="4">
        <v>3837449.5720000002</v>
      </c>
      <c r="I473" s="4">
        <v>3837.449572</v>
      </c>
      <c r="J473" s="4">
        <v>3.8374495720000001</v>
      </c>
      <c r="K473" s="4">
        <v>8460.1180760000007</v>
      </c>
      <c r="L473" s="2">
        <v>1.4999999999999999E-2</v>
      </c>
      <c r="M473" s="4">
        <v>3</v>
      </c>
      <c r="N473" s="4">
        <v>726.6872836</v>
      </c>
      <c r="O473" s="4">
        <f t="shared" si="93"/>
        <v>605.51867166866964</v>
      </c>
      <c r="P473" s="4">
        <f t="shared" si="94"/>
        <v>103.76887997381191</v>
      </c>
      <c r="Q473" s="4">
        <f t="shared" si="98"/>
        <v>263.57295513348225</v>
      </c>
      <c r="R473" s="2">
        <f t="shared" si="95"/>
        <v>274658.97599979572</v>
      </c>
      <c r="S473" s="2">
        <f t="shared" si="96"/>
        <v>660079.2501797541</v>
      </c>
      <c r="T473" s="2">
        <f t="shared" si="97"/>
        <v>1749210.0129763484</v>
      </c>
      <c r="U473" s="4">
        <f t="shared" ref="U473:U481" si="100">2.7178*100</f>
        <v>271.77999999999997</v>
      </c>
      <c r="V473" s="4">
        <v>0.25</v>
      </c>
      <c r="W473" s="4">
        <v>0</v>
      </c>
      <c r="X473" s="4" t="s">
        <v>460</v>
      </c>
      <c r="Y473" s="4">
        <f>5.25*0.3048</f>
        <v>1.6002000000000001</v>
      </c>
      <c r="Z473" s="4">
        <f>8.5*0.3048</f>
        <v>2.5908000000000002</v>
      </c>
      <c r="AA473" s="4">
        <f>13*0.3048</f>
        <v>3.9624000000000001</v>
      </c>
      <c r="AC473" s="4">
        <f>AVERAGE(Y473:AA473)</f>
        <v>2.7178000000000004</v>
      </c>
      <c r="AD473" s="4">
        <f t="shared" si="99"/>
        <v>274.6589759997957</v>
      </c>
    </row>
    <row r="474" spans="1:30" x14ac:dyDescent="0.25">
      <c r="A474" s="4" t="s">
        <v>115</v>
      </c>
      <c r="B474" s="4" t="s">
        <v>116</v>
      </c>
      <c r="C474" s="4">
        <v>3</v>
      </c>
      <c r="D474" s="4">
        <v>7</v>
      </c>
      <c r="E474" s="4">
        <f t="shared" si="92"/>
        <v>21</v>
      </c>
      <c r="F474" s="4">
        <v>9235805.5920000002</v>
      </c>
      <c r="G474" s="4">
        <v>24474884.82</v>
      </c>
      <c r="H474" s="4">
        <v>3843018.7069999999</v>
      </c>
      <c r="I474" s="4">
        <v>3843.0187070000002</v>
      </c>
      <c r="J474" s="4">
        <v>3.8430187070000001</v>
      </c>
      <c r="K474" s="4">
        <v>8472.3959009999999</v>
      </c>
      <c r="L474" s="2">
        <v>1.4999999999999999E-2</v>
      </c>
      <c r="M474" s="4">
        <v>3</v>
      </c>
      <c r="N474" s="4">
        <v>727.03865089999999</v>
      </c>
      <c r="O474" s="4">
        <f t="shared" si="93"/>
        <v>653.46537198936403</v>
      </c>
      <c r="P474" s="4">
        <f t="shared" si="94"/>
        <v>106.43851553128759</v>
      </c>
      <c r="Q474" s="4">
        <f t="shared" si="98"/>
        <v>270.35382944947048</v>
      </c>
      <c r="R474" s="2">
        <f t="shared" si="95"/>
        <v>296407.2592960982</v>
      </c>
      <c r="S474" s="2">
        <f t="shared" si="96"/>
        <v>712346.21316053404</v>
      </c>
      <c r="T474" s="2">
        <f t="shared" si="97"/>
        <v>1887717.4648754152</v>
      </c>
      <c r="U474" s="4">
        <f t="shared" si="100"/>
        <v>271.77999999999997</v>
      </c>
      <c r="V474" s="4">
        <v>0.25</v>
      </c>
      <c r="W474" s="4">
        <v>0</v>
      </c>
      <c r="X474" s="4" t="s">
        <v>461</v>
      </c>
      <c r="Y474" s="4">
        <v>25</v>
      </c>
      <c r="Z474" s="4">
        <v>60</v>
      </c>
      <c r="AA474" s="4">
        <v>60</v>
      </c>
      <c r="AD474" s="4">
        <f t="shared" si="99"/>
        <v>296.40725929609823</v>
      </c>
    </row>
    <row r="475" spans="1:30" x14ac:dyDescent="0.25">
      <c r="A475" s="4" t="s">
        <v>115</v>
      </c>
      <c r="B475" s="4" t="s">
        <v>116</v>
      </c>
      <c r="C475" s="4">
        <v>4</v>
      </c>
      <c r="D475" s="4">
        <v>7</v>
      </c>
      <c r="E475" s="4">
        <f t="shared" si="92"/>
        <v>28</v>
      </c>
      <c r="F475" s="4">
        <v>9236050.2909999993</v>
      </c>
      <c r="G475" s="4">
        <v>24475533.27</v>
      </c>
      <c r="H475" s="4">
        <v>3843120.5260000001</v>
      </c>
      <c r="I475" s="4">
        <v>3843.1205260000002</v>
      </c>
      <c r="J475" s="4">
        <v>3.8431205259999999</v>
      </c>
      <c r="K475" s="4">
        <v>8472.6203740000001</v>
      </c>
      <c r="L475" s="2">
        <v>1.4999999999999999E-2</v>
      </c>
      <c r="M475" s="4">
        <v>3</v>
      </c>
      <c r="N475" s="4">
        <v>727.04507169999999</v>
      </c>
      <c r="O475" s="4">
        <f t="shared" si="93"/>
        <v>662.04706866566141</v>
      </c>
      <c r="P475" s="4">
        <f t="shared" si="94"/>
        <v>106.90242862968566</v>
      </c>
      <c r="Q475" s="4">
        <f t="shared" si="98"/>
        <v>271.53216871940157</v>
      </c>
      <c r="R475" s="2">
        <f t="shared" si="95"/>
        <v>300299.85605939408</v>
      </c>
      <c r="S475" s="2">
        <f t="shared" si="96"/>
        <v>721701.16813120421</v>
      </c>
      <c r="T475" s="2">
        <f t="shared" si="97"/>
        <v>1912508.095547691</v>
      </c>
      <c r="U475" s="4">
        <f t="shared" si="100"/>
        <v>271.77999999999997</v>
      </c>
      <c r="V475" s="4">
        <v>0.25</v>
      </c>
      <c r="W475" s="4">
        <v>0</v>
      </c>
      <c r="X475" s="4" t="s">
        <v>462</v>
      </c>
      <c r="AA475" s="4">
        <f>300*0.453592</f>
        <v>136.07759999999999</v>
      </c>
      <c r="AD475" s="4">
        <f t="shared" si="99"/>
        <v>300.29985605939407</v>
      </c>
    </row>
    <row r="476" spans="1:30" x14ac:dyDescent="0.25">
      <c r="A476" s="4" t="s">
        <v>115</v>
      </c>
      <c r="B476" s="4" t="s">
        <v>116</v>
      </c>
      <c r="C476" s="4">
        <v>5</v>
      </c>
      <c r="D476" s="4">
        <v>7</v>
      </c>
      <c r="E476" s="4">
        <f t="shared" si="92"/>
        <v>35</v>
      </c>
      <c r="F476" s="4">
        <v>9236054.7949999999</v>
      </c>
      <c r="G476" s="4">
        <v>24475545.210000001</v>
      </c>
      <c r="H476" s="4">
        <v>3843122.4</v>
      </c>
      <c r="I476" s="4">
        <v>3843.1224000000002</v>
      </c>
      <c r="J476" s="4">
        <v>3.8431223999999999</v>
      </c>
      <c r="K476" s="4">
        <v>8472.6245060000001</v>
      </c>
      <c r="L476" s="2">
        <v>1.4999999999999999E-2</v>
      </c>
      <c r="M476" s="4">
        <v>3</v>
      </c>
      <c r="N476" s="4">
        <v>727.04518989999997</v>
      </c>
      <c r="O476" s="4">
        <f t="shared" si="93"/>
        <v>663.54596399184982</v>
      </c>
      <c r="P476" s="4">
        <f t="shared" si="94"/>
        <v>106.98304463821259</v>
      </c>
      <c r="Q476" s="4">
        <f t="shared" si="98"/>
        <v>271.73693338106</v>
      </c>
      <c r="R476" s="2">
        <f t="shared" si="95"/>
        <v>300979.74435133935</v>
      </c>
      <c r="S476" s="2">
        <f t="shared" si="96"/>
        <v>723335.12220941915</v>
      </c>
      <c r="T476" s="2">
        <f t="shared" si="97"/>
        <v>1916838.0738549607</v>
      </c>
      <c r="U476" s="4">
        <f t="shared" si="100"/>
        <v>271.77999999999997</v>
      </c>
      <c r="V476" s="4">
        <v>0.25</v>
      </c>
      <c r="W476" s="4">
        <v>0</v>
      </c>
      <c r="X476" s="4" t="s">
        <v>463</v>
      </c>
      <c r="Z476" s="4">
        <f>3*0.3048</f>
        <v>0.9144000000000001</v>
      </c>
      <c r="AA476" s="4">
        <f>6*0.3048</f>
        <v>1.8288000000000002</v>
      </c>
      <c r="AD476" s="4">
        <f t="shared" si="99"/>
        <v>300.97974435133938</v>
      </c>
    </row>
    <row r="477" spans="1:30" x14ac:dyDescent="0.25">
      <c r="A477" s="4" t="s">
        <v>115</v>
      </c>
      <c r="B477" s="4" t="s">
        <v>116</v>
      </c>
      <c r="C477" s="4">
        <v>6</v>
      </c>
      <c r="D477" s="4">
        <v>7</v>
      </c>
      <c r="E477" s="4">
        <f t="shared" si="92"/>
        <v>42</v>
      </c>
      <c r="F477" s="4">
        <v>9236055.5449999999</v>
      </c>
      <c r="G477" s="4">
        <v>24475547.190000001</v>
      </c>
      <c r="H477" s="4">
        <v>3843122.7119999998</v>
      </c>
      <c r="I477" s="4">
        <v>3843.1227119999999</v>
      </c>
      <c r="J477" s="4">
        <v>3.843122712</v>
      </c>
      <c r="K477" s="4">
        <v>8472.6251940000002</v>
      </c>
      <c r="L477" s="2">
        <v>1.4999999999999999E-2</v>
      </c>
      <c r="M477" s="4">
        <v>3</v>
      </c>
      <c r="N477" s="4">
        <v>727.04520960000002</v>
      </c>
      <c r="O477" s="4">
        <f t="shared" si="93"/>
        <v>663.80666345039845</v>
      </c>
      <c r="P477" s="4">
        <f t="shared" si="94"/>
        <v>106.99705359991957</v>
      </c>
      <c r="Q477" s="4">
        <f t="shared" si="98"/>
        <v>271.77251614379571</v>
      </c>
      <c r="R477" s="2">
        <f t="shared" si="95"/>
        <v>301097.99577723077</v>
      </c>
      <c r="S477" s="2">
        <f t="shared" si="96"/>
        <v>723619.31212985038</v>
      </c>
      <c r="T477" s="2">
        <f t="shared" si="97"/>
        <v>1917591.1771441035</v>
      </c>
      <c r="U477" s="4">
        <f t="shared" si="100"/>
        <v>271.77999999999997</v>
      </c>
      <c r="V477" s="4">
        <v>0.25</v>
      </c>
      <c r="W477" s="4">
        <v>0</v>
      </c>
      <c r="X477" s="4" t="s">
        <v>464</v>
      </c>
      <c r="AD477" s="4">
        <f t="shared" si="99"/>
        <v>301.09799577723078</v>
      </c>
    </row>
    <row r="478" spans="1:30" x14ac:dyDescent="0.25">
      <c r="A478" s="4" t="s">
        <v>115</v>
      </c>
      <c r="B478" s="4" t="s">
        <v>116</v>
      </c>
      <c r="C478" s="4">
        <v>7</v>
      </c>
      <c r="D478" s="4">
        <v>7</v>
      </c>
      <c r="E478" s="4">
        <f t="shared" si="92"/>
        <v>49</v>
      </c>
      <c r="F478" s="4">
        <v>9236056.2960000001</v>
      </c>
      <c r="G478" s="4">
        <v>24475549.18</v>
      </c>
      <c r="H478" s="4">
        <v>3843123.0249999999</v>
      </c>
      <c r="I478" s="4">
        <v>3843.1230249999999</v>
      </c>
      <c r="J478" s="4">
        <v>3.8431230250000001</v>
      </c>
      <c r="K478" s="4">
        <v>8472.6258830000006</v>
      </c>
      <c r="L478" s="2">
        <v>1.4999999999999999E-2</v>
      </c>
      <c r="M478" s="4">
        <v>3</v>
      </c>
      <c r="N478" s="4">
        <v>727.04522929999996</v>
      </c>
      <c r="O478" s="4">
        <f t="shared" si="93"/>
        <v>663.85197318617622</v>
      </c>
      <c r="P478" s="4">
        <f t="shared" si="94"/>
        <v>106.99948799243903</v>
      </c>
      <c r="Q478" s="4">
        <f t="shared" si="98"/>
        <v>271.77869950079514</v>
      </c>
      <c r="R478" s="2">
        <f t="shared" si="95"/>
        <v>301118.54795210797</v>
      </c>
      <c r="S478" s="2">
        <f t="shared" si="96"/>
        <v>723668.70452321065</v>
      </c>
      <c r="T478" s="2">
        <f t="shared" si="97"/>
        <v>1917722.0669865082</v>
      </c>
      <c r="U478" s="4">
        <f t="shared" si="100"/>
        <v>271.77999999999997</v>
      </c>
      <c r="V478" s="4">
        <v>0.25</v>
      </c>
      <c r="W478" s="4">
        <v>0</v>
      </c>
      <c r="X478" s="4" t="s">
        <v>434</v>
      </c>
      <c r="Y478" s="7" t="s">
        <v>725</v>
      </c>
      <c r="Z478" s="7" t="s">
        <v>726</v>
      </c>
      <c r="AA478" s="7" t="s">
        <v>727</v>
      </c>
    </row>
    <row r="479" spans="1:30" x14ac:dyDescent="0.25">
      <c r="A479" s="4" t="s">
        <v>115</v>
      </c>
      <c r="B479" s="4" t="s">
        <v>116</v>
      </c>
      <c r="C479" s="4">
        <v>8</v>
      </c>
      <c r="D479" s="4">
        <v>7</v>
      </c>
      <c r="E479" s="4">
        <f t="shared" si="92"/>
        <v>56</v>
      </c>
      <c r="F479" s="4">
        <v>9236057.0460000001</v>
      </c>
      <c r="G479" s="4">
        <v>24475551.170000002</v>
      </c>
      <c r="H479" s="4">
        <v>3843123.3369999998</v>
      </c>
      <c r="I479" s="4">
        <v>3843.123337</v>
      </c>
      <c r="J479" s="4">
        <v>3.8431233370000002</v>
      </c>
      <c r="K479" s="4">
        <v>8472.6265710000007</v>
      </c>
      <c r="L479" s="2">
        <v>1.4999999999999999E-2</v>
      </c>
      <c r="M479" s="4">
        <v>3</v>
      </c>
      <c r="N479" s="4">
        <v>727.04524900000001</v>
      </c>
      <c r="O479" s="4">
        <f t="shared" si="93"/>
        <v>663.85984704790872</v>
      </c>
      <c r="P479" s="4">
        <f t="shared" si="94"/>
        <v>106.99991102642703</v>
      </c>
      <c r="Q479" s="4">
        <f t="shared" si="98"/>
        <v>271.77977400712467</v>
      </c>
      <c r="R479" s="2">
        <f t="shared" si="95"/>
        <v>301122.11947995966</v>
      </c>
      <c r="S479" s="2">
        <f t="shared" si="96"/>
        <v>723677.28786339739</v>
      </c>
      <c r="T479" s="2">
        <f t="shared" si="97"/>
        <v>1917744.812838003</v>
      </c>
      <c r="U479" s="4">
        <f t="shared" si="100"/>
        <v>271.77999999999997</v>
      </c>
      <c r="V479" s="4">
        <v>0.25</v>
      </c>
      <c r="W479" s="4">
        <v>0</v>
      </c>
      <c r="X479" s="4" t="s">
        <v>469</v>
      </c>
      <c r="Y479" s="4">
        <v>11</v>
      </c>
      <c r="Z479" s="4">
        <v>12</v>
      </c>
      <c r="AA479" s="4">
        <v>12</v>
      </c>
    </row>
    <row r="480" spans="1:30" x14ac:dyDescent="0.25">
      <c r="A480" s="4" t="s">
        <v>115</v>
      </c>
      <c r="B480" s="4" t="s">
        <v>116</v>
      </c>
      <c r="C480" s="4">
        <v>9</v>
      </c>
      <c r="D480" s="4">
        <v>7</v>
      </c>
      <c r="E480" s="4">
        <f t="shared" si="92"/>
        <v>63</v>
      </c>
      <c r="F480" s="4">
        <v>9236057.7970000003</v>
      </c>
      <c r="G480" s="4">
        <v>24475553.16</v>
      </c>
      <c r="H480" s="4">
        <v>3843123.6490000002</v>
      </c>
      <c r="I480" s="4">
        <v>3843.1236490000001</v>
      </c>
      <c r="J480" s="4">
        <v>3.8431236489999998</v>
      </c>
      <c r="K480" s="4">
        <v>8472.6272599999993</v>
      </c>
      <c r="L480" s="2">
        <v>1.4999999999999999E-2</v>
      </c>
      <c r="M480" s="4">
        <v>3</v>
      </c>
      <c r="N480" s="4">
        <v>727.04526869999995</v>
      </c>
      <c r="O480" s="4">
        <f t="shared" si="93"/>
        <v>663.86121532626191</v>
      </c>
      <c r="P480" s="4">
        <f t="shared" si="94"/>
        <v>106.99998453871136</v>
      </c>
      <c r="Q480" s="4">
        <f t="shared" si="98"/>
        <v>271.77996072832684</v>
      </c>
      <c r="R480" s="2">
        <f t="shared" si="95"/>
        <v>301122.74012131884</v>
      </c>
      <c r="S480" s="2">
        <f t="shared" si="96"/>
        <v>723678.77943119162</v>
      </c>
      <c r="T480" s="2">
        <f t="shared" si="97"/>
        <v>1917748.7654926577</v>
      </c>
      <c r="U480" s="4">
        <f t="shared" si="100"/>
        <v>271.77999999999997</v>
      </c>
      <c r="V480" s="4">
        <v>0.25</v>
      </c>
      <c r="W480" s="4">
        <v>0</v>
      </c>
      <c r="X480" s="4" t="s">
        <v>470</v>
      </c>
      <c r="Z480" s="4">
        <v>7</v>
      </c>
      <c r="AA480" s="4">
        <v>10</v>
      </c>
    </row>
    <row r="481" spans="1:34" x14ac:dyDescent="0.25">
      <c r="A481" s="4" t="s">
        <v>115</v>
      </c>
      <c r="B481" s="4" t="s">
        <v>116</v>
      </c>
      <c r="C481" s="4">
        <v>10</v>
      </c>
      <c r="D481" s="4">
        <v>7</v>
      </c>
      <c r="E481" s="4">
        <f t="shared" si="92"/>
        <v>70</v>
      </c>
      <c r="F481" s="4">
        <v>9236059.2980000004</v>
      </c>
      <c r="G481" s="4">
        <v>24475557.140000001</v>
      </c>
      <c r="H481" s="4">
        <v>3843124.2740000002</v>
      </c>
      <c r="I481" s="4">
        <v>3843.1242739999998</v>
      </c>
      <c r="J481" s="4">
        <v>3.843124274</v>
      </c>
      <c r="K481" s="4">
        <v>8472.6286369999998</v>
      </c>
      <c r="L481" s="2">
        <v>1.4999999999999999E-2</v>
      </c>
      <c r="M481" s="4">
        <v>3</v>
      </c>
      <c r="N481" s="4">
        <v>727.04530810000006</v>
      </c>
      <c r="O481" s="4">
        <f t="shared" si="93"/>
        <v>663.86145309757899</v>
      </c>
      <c r="P481" s="4">
        <f t="shared" si="94"/>
        <v>106.99999731323089</v>
      </c>
      <c r="Q481" s="4">
        <f t="shared" si="98"/>
        <v>271.77999317560648</v>
      </c>
      <c r="R481" s="2">
        <f t="shared" si="95"/>
        <v>301122.84797270229</v>
      </c>
      <c r="S481" s="2">
        <f t="shared" si="96"/>
        <v>723679.03862701822</v>
      </c>
      <c r="T481" s="2">
        <f t="shared" si="97"/>
        <v>1917749.4523615981</v>
      </c>
      <c r="U481" s="4">
        <f t="shared" si="100"/>
        <v>271.77999999999997</v>
      </c>
      <c r="V481" s="4">
        <v>0.25</v>
      </c>
      <c r="W481" s="4">
        <v>0</v>
      </c>
      <c r="X481" s="4" t="s">
        <v>471</v>
      </c>
      <c r="Z481" s="4">
        <v>1.5</v>
      </c>
      <c r="AA481" s="4">
        <f>20/12</f>
        <v>1.6666666666666667</v>
      </c>
    </row>
    <row r="482" spans="1:34" x14ac:dyDescent="0.25">
      <c r="A482" s="4" t="s">
        <v>117</v>
      </c>
      <c r="B482" s="4" t="s">
        <v>118</v>
      </c>
      <c r="C482" s="4">
        <v>1</v>
      </c>
      <c r="D482" s="4">
        <v>2</v>
      </c>
      <c r="E482" s="4">
        <f t="shared" si="92"/>
        <v>2</v>
      </c>
      <c r="F482" s="4">
        <v>127.5414564</v>
      </c>
      <c r="G482" s="4">
        <v>337.98485950000003</v>
      </c>
      <c r="H482" s="4">
        <v>53.070000010000001</v>
      </c>
      <c r="I482" s="4">
        <v>5.3069999999999999E-2</v>
      </c>
      <c r="J482" s="4">
        <v>5.3100000000000003E-5</v>
      </c>
      <c r="K482" s="4">
        <v>0.11699918300000001</v>
      </c>
      <c r="L482" s="4">
        <v>1.4999999999999999E-2</v>
      </c>
      <c r="M482" s="4">
        <v>3</v>
      </c>
      <c r="N482" s="4">
        <v>15.23769499</v>
      </c>
      <c r="O482" s="4">
        <f t="shared" si="93"/>
        <v>7.7255718625825365E-2</v>
      </c>
      <c r="P482" s="4">
        <f t="shared" si="94"/>
        <v>5.223979871925879</v>
      </c>
      <c r="Q482" s="4">
        <f t="shared" si="98"/>
        <v>13.268908874691732</v>
      </c>
      <c r="R482" s="4">
        <f t="shared" si="95"/>
        <v>35.042646182029266</v>
      </c>
      <c r="S482" s="4">
        <f t="shared" si="96"/>
        <v>84.216885801560352</v>
      </c>
      <c r="T482" s="4">
        <f t="shared" si="97"/>
        <v>223.17474737413494</v>
      </c>
      <c r="U482" s="4">
        <v>73.2</v>
      </c>
      <c r="V482" s="4">
        <v>0.1</v>
      </c>
      <c r="W482" s="4">
        <v>0</v>
      </c>
      <c r="Y482" s="4" t="s">
        <v>728</v>
      </c>
    </row>
    <row r="483" spans="1:34" x14ac:dyDescent="0.25">
      <c r="A483" s="4" t="s">
        <v>117</v>
      </c>
      <c r="B483" s="4" t="s">
        <v>118</v>
      </c>
      <c r="C483" s="4">
        <v>2</v>
      </c>
      <c r="D483" s="4">
        <v>2</v>
      </c>
      <c r="E483" s="4">
        <f t="shared" si="92"/>
        <v>4</v>
      </c>
      <c r="F483" s="4">
        <v>347.4885845</v>
      </c>
      <c r="G483" s="4">
        <v>920.84474890000001</v>
      </c>
      <c r="H483" s="4">
        <v>144.59</v>
      </c>
      <c r="I483" s="4">
        <v>0.14459</v>
      </c>
      <c r="J483" s="4">
        <v>1.4459E-4</v>
      </c>
      <c r="K483" s="4">
        <v>0.31876600599999999</v>
      </c>
      <c r="L483" s="4">
        <v>1.4999999999999999E-2</v>
      </c>
      <c r="M483" s="4">
        <v>3</v>
      </c>
      <c r="N483" s="4">
        <v>21.282158150000001</v>
      </c>
      <c r="O483" s="4">
        <f t="shared" si="93"/>
        <v>0.46476762463013077</v>
      </c>
      <c r="P483" s="4">
        <f t="shared" si="94"/>
        <v>9.5010128465319692</v>
      </c>
      <c r="Q483" s="4">
        <f t="shared" si="98"/>
        <v>24.132572630191202</v>
      </c>
      <c r="R483" s="4">
        <f t="shared" si="95"/>
        <v>210.8152990674723</v>
      </c>
      <c r="S483" s="4">
        <f t="shared" si="96"/>
        <v>506.64575599007998</v>
      </c>
      <c r="T483" s="4">
        <f t="shared" si="97"/>
        <v>1342.6112533737119</v>
      </c>
      <c r="U483" s="4">
        <v>73.2</v>
      </c>
      <c r="V483" s="4">
        <v>0.1</v>
      </c>
      <c r="W483" s="4">
        <v>0</v>
      </c>
    </row>
    <row r="484" spans="1:34" x14ac:dyDescent="0.25">
      <c r="A484" s="4" t="s">
        <v>117</v>
      </c>
      <c r="B484" s="4" t="s">
        <v>118</v>
      </c>
      <c r="C484" s="4">
        <v>3</v>
      </c>
      <c r="D484" s="4">
        <v>2</v>
      </c>
      <c r="E484" s="4">
        <f t="shared" si="92"/>
        <v>6</v>
      </c>
      <c r="F484" s="4">
        <v>732.42009129999997</v>
      </c>
      <c r="G484" s="4">
        <v>1940.9132420000001</v>
      </c>
      <c r="H484" s="4">
        <v>304.76</v>
      </c>
      <c r="I484" s="4">
        <v>0.30475999999999998</v>
      </c>
      <c r="J484" s="4">
        <v>3.0476E-4</v>
      </c>
      <c r="K484" s="4">
        <v>0.67187999099999995</v>
      </c>
      <c r="L484" s="4">
        <v>1.4999999999999999E-2</v>
      </c>
      <c r="M484" s="4">
        <v>3</v>
      </c>
      <c r="N484" s="4">
        <v>27.286986030000001</v>
      </c>
      <c r="O484" s="4">
        <f t="shared" si="93"/>
        <v>1.1913295584543824</v>
      </c>
      <c r="P484" s="4">
        <f t="shared" si="94"/>
        <v>13.00275127477058</v>
      </c>
      <c r="Q484" s="4">
        <f t="shared" si="98"/>
        <v>33.026988237917273</v>
      </c>
      <c r="R484" s="4">
        <f t="shared" si="95"/>
        <v>540.37864051599934</v>
      </c>
      <c r="S484" s="4">
        <f t="shared" si="96"/>
        <v>1298.6749351502026</v>
      </c>
      <c r="T484" s="4">
        <f t="shared" si="97"/>
        <v>3441.4885781480366</v>
      </c>
      <c r="U484" s="4">
        <v>73.2</v>
      </c>
      <c r="V484" s="4">
        <v>0.1</v>
      </c>
      <c r="W484" s="4">
        <v>0</v>
      </c>
    </row>
    <row r="485" spans="1:34" x14ac:dyDescent="0.25">
      <c r="A485" s="4" t="s">
        <v>117</v>
      </c>
      <c r="B485" s="4" t="s">
        <v>118</v>
      </c>
      <c r="C485" s="4">
        <v>4</v>
      </c>
      <c r="D485" s="4">
        <v>2</v>
      </c>
      <c r="E485" s="4">
        <f t="shared" si="92"/>
        <v>8</v>
      </c>
      <c r="F485" s="4">
        <v>1115.2006730000001</v>
      </c>
      <c r="G485" s="4">
        <v>2955.281782</v>
      </c>
      <c r="H485" s="4">
        <v>464.03500000000003</v>
      </c>
      <c r="I485" s="4">
        <v>0.46403499999999998</v>
      </c>
      <c r="J485" s="4">
        <v>4.6403500000000001E-4</v>
      </c>
      <c r="K485" s="4">
        <v>1.023020842</v>
      </c>
      <c r="L485" s="4">
        <v>1.4999999999999999E-2</v>
      </c>
      <c r="M485" s="4">
        <v>3</v>
      </c>
      <c r="N485" s="4">
        <v>31.392060780000001</v>
      </c>
      <c r="O485" s="4">
        <f t="shared" si="93"/>
        <v>2.1658827756575767</v>
      </c>
      <c r="P485" s="4">
        <f t="shared" si="94"/>
        <v>15.869732215204481</v>
      </c>
      <c r="Q485" s="4">
        <f t="shared" si="98"/>
        <v>40.30911982661938</v>
      </c>
      <c r="R485" s="4">
        <f t="shared" si="95"/>
        <v>982.42906970705906</v>
      </c>
      <c r="S485" s="4">
        <f t="shared" si="96"/>
        <v>2361.0407827614972</v>
      </c>
      <c r="T485" s="4">
        <f t="shared" si="97"/>
        <v>6256.7580743179678</v>
      </c>
      <c r="U485" s="4">
        <v>73.2</v>
      </c>
      <c r="V485" s="4">
        <v>0.1</v>
      </c>
      <c r="W485" s="4">
        <v>0</v>
      </c>
    </row>
    <row r="486" spans="1:34" x14ac:dyDescent="0.25">
      <c r="A486" s="4" t="s">
        <v>117</v>
      </c>
      <c r="B486" s="4" t="s">
        <v>118</v>
      </c>
      <c r="C486" s="4">
        <v>5</v>
      </c>
      <c r="D486" s="4">
        <v>2</v>
      </c>
      <c r="E486" s="4">
        <f t="shared" si="92"/>
        <v>10</v>
      </c>
      <c r="F486" s="4">
        <v>1550.4325879999999</v>
      </c>
      <c r="G486" s="4">
        <v>4108.6463590000003</v>
      </c>
      <c r="H486" s="4">
        <v>645.13499990000003</v>
      </c>
      <c r="I486" s="4">
        <v>0.64513500000000001</v>
      </c>
      <c r="J486" s="4">
        <v>6.4513500000000002E-4</v>
      </c>
      <c r="K486" s="4">
        <v>1.422277523</v>
      </c>
      <c r="L486" s="4">
        <v>1.4999999999999999E-2</v>
      </c>
      <c r="M486" s="4">
        <v>3</v>
      </c>
      <c r="N486" s="4">
        <v>35.036424660000002</v>
      </c>
      <c r="O486" s="4">
        <f t="shared" si="93"/>
        <v>3.2761063483325983</v>
      </c>
      <c r="P486" s="4">
        <f t="shared" si="94"/>
        <v>18.217017679626149</v>
      </c>
      <c r="Q486" s="4">
        <f t="shared" si="98"/>
        <v>46.271224906250424</v>
      </c>
      <c r="R486" s="4">
        <f t="shared" si="95"/>
        <v>1486.0186101607526</v>
      </c>
      <c r="S486" s="4">
        <f t="shared" si="96"/>
        <v>3571.3016346088743</v>
      </c>
      <c r="T486" s="4">
        <f t="shared" si="97"/>
        <v>9463.9493317135166</v>
      </c>
      <c r="U486" s="4">
        <v>73.2</v>
      </c>
      <c r="V486" s="4">
        <v>0.1</v>
      </c>
      <c r="W486" s="4">
        <v>0</v>
      </c>
    </row>
    <row r="487" spans="1:34" x14ac:dyDescent="0.25">
      <c r="A487" s="4" t="s">
        <v>117</v>
      </c>
      <c r="B487" s="4" t="s">
        <v>118</v>
      </c>
      <c r="C487" s="4">
        <v>6</v>
      </c>
      <c r="D487" s="4">
        <v>2</v>
      </c>
      <c r="E487" s="4">
        <f t="shared" si="92"/>
        <v>12</v>
      </c>
      <c r="F487" s="4">
        <v>1976.4359529999999</v>
      </c>
      <c r="G487" s="4">
        <v>5237.5552749999997</v>
      </c>
      <c r="H487" s="4">
        <v>822.39499999999998</v>
      </c>
      <c r="I487" s="4">
        <v>0.82239499999999999</v>
      </c>
      <c r="J487" s="4">
        <v>8.2239499999999996E-4</v>
      </c>
      <c r="K487" s="4">
        <v>1.813068465</v>
      </c>
      <c r="L487" s="4">
        <v>1.4999999999999999E-2</v>
      </c>
      <c r="M487" s="4">
        <v>3</v>
      </c>
      <c r="N487" s="4">
        <v>37.989455370000002</v>
      </c>
      <c r="O487" s="4">
        <f t="shared" si="93"/>
        <v>4.4261662847391143</v>
      </c>
      <c r="P487" s="4">
        <f t="shared" si="94"/>
        <v>20.138812475601107</v>
      </c>
      <c r="Q487" s="4">
        <f t="shared" si="98"/>
        <v>51.152583688026816</v>
      </c>
      <c r="R487" s="4">
        <f t="shared" si="95"/>
        <v>2007.677642740751</v>
      </c>
      <c r="S487" s="4">
        <f t="shared" si="96"/>
        <v>4824.9883267021169</v>
      </c>
      <c r="T487" s="4">
        <f t="shared" si="97"/>
        <v>12786.21906576061</v>
      </c>
      <c r="U487" s="4">
        <v>73.2</v>
      </c>
      <c r="V487" s="4">
        <v>0.1</v>
      </c>
      <c r="W487" s="4">
        <v>0</v>
      </c>
    </row>
    <row r="488" spans="1:34" x14ac:dyDescent="0.25">
      <c r="A488" s="4" t="s">
        <v>117</v>
      </c>
      <c r="B488" s="4" t="s">
        <v>118</v>
      </c>
      <c r="C488" s="4">
        <v>7</v>
      </c>
      <c r="D488" s="4">
        <v>2</v>
      </c>
      <c r="E488" s="4">
        <f t="shared" si="92"/>
        <v>14</v>
      </c>
      <c r="F488" s="4">
        <v>2275.6669069999998</v>
      </c>
      <c r="G488" s="4">
        <v>6030.517304</v>
      </c>
      <c r="H488" s="4">
        <v>946.90499999999997</v>
      </c>
      <c r="I488" s="4">
        <v>0.946905</v>
      </c>
      <c r="J488" s="4">
        <v>9.4690499999999995E-4</v>
      </c>
      <c r="K488" s="4">
        <v>2.0875657009999999</v>
      </c>
      <c r="L488" s="4">
        <v>1.4999999999999999E-2</v>
      </c>
      <c r="M488" s="4">
        <v>3</v>
      </c>
      <c r="N488" s="4">
        <v>39.817291709999999</v>
      </c>
      <c r="O488" s="4">
        <f t="shared" si="93"/>
        <v>5.5467723649116873</v>
      </c>
      <c r="P488" s="4">
        <f t="shared" si="94"/>
        <v>21.712244976171029</v>
      </c>
      <c r="Q488" s="4">
        <f t="shared" si="98"/>
        <v>55.149102239474409</v>
      </c>
      <c r="R488" s="4">
        <f t="shared" si="95"/>
        <v>2515.976614977496</v>
      </c>
      <c r="S488" s="4">
        <f t="shared" si="96"/>
        <v>6046.5672073479836</v>
      </c>
      <c r="T488" s="4">
        <f t="shared" si="97"/>
        <v>16023.403099472156</v>
      </c>
      <c r="U488" s="4">
        <v>73.2</v>
      </c>
      <c r="V488" s="4">
        <v>0.1</v>
      </c>
      <c r="W488" s="4">
        <v>0</v>
      </c>
    </row>
    <row r="489" spans="1:34" x14ac:dyDescent="0.25">
      <c r="A489" s="4" t="s">
        <v>117</v>
      </c>
      <c r="B489" s="4" t="s">
        <v>118</v>
      </c>
      <c r="C489" s="4">
        <v>8</v>
      </c>
      <c r="D489" s="4">
        <v>2</v>
      </c>
      <c r="E489" s="4">
        <f t="shared" si="92"/>
        <v>16</v>
      </c>
      <c r="F489" s="4">
        <v>2451.3338140000001</v>
      </c>
      <c r="G489" s="4">
        <v>6496.0346079999999</v>
      </c>
      <c r="H489" s="4">
        <v>1020</v>
      </c>
      <c r="I489" s="4">
        <v>1.02</v>
      </c>
      <c r="J489" s="4">
        <v>1.0200000000000001E-3</v>
      </c>
      <c r="K489" s="4">
        <v>2.2487124000000001</v>
      </c>
      <c r="L489" s="4">
        <v>1.4999999999999999E-2</v>
      </c>
      <c r="M489" s="4">
        <v>3</v>
      </c>
      <c r="N489" s="4">
        <v>40.816551019999999</v>
      </c>
      <c r="O489" s="4">
        <f t="shared" si="93"/>
        <v>6.5938013924562711</v>
      </c>
      <c r="P489" s="4">
        <f t="shared" si="94"/>
        <v>23.000462552280009</v>
      </c>
      <c r="Q489" s="4">
        <f t="shared" si="98"/>
        <v>58.421174882791227</v>
      </c>
      <c r="R489" s="4">
        <f t="shared" si="95"/>
        <v>2990.9015578450121</v>
      </c>
      <c r="S489" s="4">
        <f t="shared" si="96"/>
        <v>7187.9393363254312</v>
      </c>
      <c r="T489" s="4">
        <f t="shared" si="97"/>
        <v>19048.039241262391</v>
      </c>
      <c r="U489" s="4">
        <v>73.2</v>
      </c>
      <c r="V489" s="4">
        <v>0.1</v>
      </c>
      <c r="W489" s="4">
        <v>0</v>
      </c>
    </row>
    <row r="490" spans="1:34" x14ac:dyDescent="0.25">
      <c r="A490" s="4" t="s">
        <v>117</v>
      </c>
      <c r="B490" s="4" t="s">
        <v>118</v>
      </c>
      <c r="C490" s="4">
        <v>9</v>
      </c>
      <c r="D490" s="4">
        <v>2</v>
      </c>
      <c r="E490" s="4">
        <f t="shared" si="92"/>
        <v>18</v>
      </c>
      <c r="F490" s="4">
        <v>2643.5952900000002</v>
      </c>
      <c r="G490" s="4">
        <v>7005.5275179999999</v>
      </c>
      <c r="H490" s="4">
        <v>1100</v>
      </c>
      <c r="I490" s="4">
        <v>1.1000000000000001</v>
      </c>
      <c r="J490" s="4">
        <v>1.1000000000000001E-3</v>
      </c>
      <c r="K490" s="4">
        <v>2.4250820000000002</v>
      </c>
      <c r="L490" s="4">
        <v>1.4999999999999999E-2</v>
      </c>
      <c r="M490" s="4">
        <v>3</v>
      </c>
      <c r="N490" s="4">
        <v>41.85690786</v>
      </c>
      <c r="O490" s="4">
        <f t="shared" si="93"/>
        <v>7.5431235484480901</v>
      </c>
      <c r="P490" s="4">
        <f t="shared" si="94"/>
        <v>24.055165898496011</v>
      </c>
      <c r="Q490" s="4">
        <f t="shared" si="98"/>
        <v>61.100121382179864</v>
      </c>
      <c r="R490" s="4">
        <f t="shared" si="95"/>
        <v>3421.5073565730559</v>
      </c>
      <c r="S490" s="4">
        <f t="shared" si="96"/>
        <v>8222.8006646792983</v>
      </c>
      <c r="T490" s="4">
        <f t="shared" si="97"/>
        <v>21790.421761400139</v>
      </c>
      <c r="U490" s="4">
        <v>73.2</v>
      </c>
      <c r="V490" s="4">
        <v>0.1</v>
      </c>
      <c r="W490" s="4">
        <v>0</v>
      </c>
    </row>
    <row r="491" spans="1:34" x14ac:dyDescent="0.25">
      <c r="A491" s="4" t="s">
        <v>117</v>
      </c>
      <c r="B491" s="4" t="s">
        <v>118</v>
      </c>
      <c r="C491" s="4">
        <v>10</v>
      </c>
      <c r="D491" s="4">
        <v>2</v>
      </c>
      <c r="E491" s="4">
        <f t="shared" si="92"/>
        <v>20</v>
      </c>
      <c r="F491" s="4">
        <v>3076.18361</v>
      </c>
      <c r="G491" s="4">
        <v>8151.8865660000001</v>
      </c>
      <c r="H491" s="4">
        <v>1280</v>
      </c>
      <c r="I491" s="4">
        <v>1.28</v>
      </c>
      <c r="J491" s="4">
        <v>1.2800000000000001E-3</v>
      </c>
      <c r="K491" s="4">
        <v>2.8219135999999998</v>
      </c>
      <c r="L491" s="4">
        <v>1.4999999999999999E-2</v>
      </c>
      <c r="M491" s="4">
        <v>3</v>
      </c>
      <c r="N491" s="4">
        <v>44.02569665</v>
      </c>
      <c r="O491" s="4">
        <f t="shared" si="93"/>
        <v>8.38496893870043</v>
      </c>
      <c r="P491" s="4">
        <f t="shared" si="94"/>
        <v>24.918683963417305</v>
      </c>
      <c r="Q491" s="4">
        <f t="shared" si="98"/>
        <v>63.293457267079951</v>
      </c>
      <c r="R491" s="4">
        <f t="shared" si="95"/>
        <v>3803.362456432596</v>
      </c>
      <c r="S491" s="4">
        <f t="shared" si="96"/>
        <v>9140.5009767666306</v>
      </c>
      <c r="T491" s="4">
        <f t="shared" si="97"/>
        <v>24222.32758843157</v>
      </c>
      <c r="U491" s="4">
        <v>73.2</v>
      </c>
      <c r="V491" s="4">
        <v>0.1</v>
      </c>
      <c r="W491" s="4">
        <v>0</v>
      </c>
    </row>
    <row r="492" spans="1:34" x14ac:dyDescent="0.25">
      <c r="A492" s="4" t="s">
        <v>119</v>
      </c>
      <c r="B492" s="4" t="s">
        <v>120</v>
      </c>
      <c r="C492" s="4">
        <v>1</v>
      </c>
      <c r="D492" s="4">
        <v>3</v>
      </c>
      <c r="E492" s="4">
        <f t="shared" si="92"/>
        <v>3</v>
      </c>
      <c r="F492" s="4">
        <v>829.48845900000003</v>
      </c>
      <c r="G492" s="4">
        <v>2197.74442</v>
      </c>
      <c r="H492" s="4">
        <v>345.15014780000001</v>
      </c>
      <c r="I492" s="4">
        <v>0.34515014799999999</v>
      </c>
      <c r="J492" s="4">
        <v>3.4515000000000001E-4</v>
      </c>
      <c r="K492" s="4">
        <v>0.76092491900000003</v>
      </c>
      <c r="L492" s="4">
        <v>2.1399999999999999E-2</v>
      </c>
      <c r="M492" s="4">
        <v>2.96</v>
      </c>
      <c r="N492" s="4">
        <v>26.392744749999999</v>
      </c>
      <c r="O492" s="4">
        <f t="shared" si="93"/>
        <v>19.811244841264621</v>
      </c>
      <c r="P492" s="4">
        <f t="shared" si="94"/>
        <v>31.252440360380255</v>
      </c>
      <c r="Q492" s="4">
        <f t="shared" si="98"/>
        <v>79.381198515365853</v>
      </c>
      <c r="R492" s="2">
        <f t="shared" si="95"/>
        <v>8986.2401870910271</v>
      </c>
      <c r="S492" s="2">
        <f t="shared" si="96"/>
        <v>21596.347481593435</v>
      </c>
      <c r="T492" s="2">
        <f t="shared" si="97"/>
        <v>57230.320826222604</v>
      </c>
      <c r="U492" s="4">
        <f t="shared" ref="U492:U501" si="101">$AH$494</f>
        <v>133.76666666666668</v>
      </c>
      <c r="V492" s="4">
        <f t="shared" ref="V492:V501" si="102">$AH$495</f>
        <v>0.3</v>
      </c>
      <c r="W492" s="4">
        <v>0</v>
      </c>
      <c r="Y492" s="4" t="s">
        <v>729</v>
      </c>
      <c r="Z492" s="4" t="s">
        <v>730</v>
      </c>
      <c r="AA492" s="4" t="s">
        <v>731</v>
      </c>
      <c r="AB492" s="4" t="s">
        <v>732</v>
      </c>
      <c r="AC492" s="4" t="s">
        <v>733</v>
      </c>
      <c r="AD492" s="4" t="s">
        <v>734</v>
      </c>
      <c r="AE492" s="4" t="s">
        <v>735</v>
      </c>
      <c r="AF492" s="4" t="s">
        <v>736</v>
      </c>
    </row>
    <row r="493" spans="1:34" x14ac:dyDescent="0.25">
      <c r="A493" s="4" t="s">
        <v>119</v>
      </c>
      <c r="B493" s="4" t="s">
        <v>120</v>
      </c>
      <c r="C493" s="4">
        <v>2</v>
      </c>
      <c r="D493" s="4">
        <v>3</v>
      </c>
      <c r="E493" s="4">
        <f t="shared" si="92"/>
        <v>6</v>
      </c>
      <c r="F493" s="4">
        <v>67705.010320000001</v>
      </c>
      <c r="G493" s="4">
        <v>179418.27739999999</v>
      </c>
      <c r="H493" s="4">
        <v>28172.054789999998</v>
      </c>
      <c r="I493" s="4">
        <v>28.172054790000001</v>
      </c>
      <c r="J493" s="4">
        <v>2.8172055000000001E-2</v>
      </c>
      <c r="K493" s="4">
        <v>62.108675439999999</v>
      </c>
      <c r="L493" s="4">
        <v>2.1399999999999999E-2</v>
      </c>
      <c r="M493" s="4">
        <v>2.96</v>
      </c>
      <c r="N493" s="4">
        <v>116.779462</v>
      </c>
      <c r="O493" s="4">
        <f t="shared" si="93"/>
        <v>43.971184882940634</v>
      </c>
      <c r="P493" s="4">
        <f t="shared" si="94"/>
        <v>40.913105870398311</v>
      </c>
      <c r="Q493" s="4">
        <f t="shared" si="98"/>
        <v>103.91928891081172</v>
      </c>
      <c r="R493" s="2">
        <f t="shared" si="95"/>
        <v>19945.01768238546</v>
      </c>
      <c r="S493" s="2">
        <f t="shared" si="96"/>
        <v>47933.231632745636</v>
      </c>
      <c r="T493" s="2">
        <f t="shared" si="97"/>
        <v>127023.06382677594</v>
      </c>
      <c r="U493" s="4">
        <f t="shared" si="101"/>
        <v>133.76666666666668</v>
      </c>
      <c r="V493" s="4">
        <f t="shared" si="102"/>
        <v>0.3</v>
      </c>
      <c r="W493" s="4">
        <v>1</v>
      </c>
      <c r="X493" s="4" t="s">
        <v>422</v>
      </c>
      <c r="Y493" s="4">
        <v>108</v>
      </c>
      <c r="AA493" s="4">
        <v>110</v>
      </c>
      <c r="AB493" s="4">
        <v>122</v>
      </c>
      <c r="AC493" s="4">
        <v>250</v>
      </c>
      <c r="AD493" s="4">
        <v>140</v>
      </c>
      <c r="AE493" s="4">
        <v>239</v>
      </c>
      <c r="AH493" s="4">
        <f>AVERAGE(Y493:AE493)</f>
        <v>161.5</v>
      </c>
    </row>
    <row r="494" spans="1:34" x14ac:dyDescent="0.25">
      <c r="A494" s="4" t="s">
        <v>119</v>
      </c>
      <c r="B494" s="4" t="s">
        <v>120</v>
      </c>
      <c r="C494" s="4">
        <v>3</v>
      </c>
      <c r="D494" s="4">
        <v>3</v>
      </c>
      <c r="E494" s="4">
        <f t="shared" si="92"/>
        <v>9</v>
      </c>
      <c r="F494" s="4">
        <v>124433.10189999999</v>
      </c>
      <c r="G494" s="4">
        <v>329747.71999999997</v>
      </c>
      <c r="H494" s="4">
        <v>51776.613700000002</v>
      </c>
      <c r="I494" s="4">
        <v>51.776613699999999</v>
      </c>
      <c r="J494" s="4">
        <v>5.1776613999999999E-2</v>
      </c>
      <c r="K494" s="4">
        <v>114.1477581</v>
      </c>
      <c r="L494" s="4">
        <v>2.1399999999999999E-2</v>
      </c>
      <c r="M494" s="4">
        <v>2.96</v>
      </c>
      <c r="N494" s="4">
        <v>143.43730550000001</v>
      </c>
      <c r="O494" s="4">
        <f t="shared" si="93"/>
        <v>63.068519356800429</v>
      </c>
      <c r="P494" s="4">
        <f t="shared" si="94"/>
        <v>46.214991514708451</v>
      </c>
      <c r="Q494" s="4">
        <f t="shared" si="98"/>
        <v>117.38607844735947</v>
      </c>
      <c r="R494" s="2">
        <f t="shared" si="95"/>
        <v>28607.433188849067</v>
      </c>
      <c r="S494" s="2">
        <f t="shared" si="96"/>
        <v>68751.341477647366</v>
      </c>
      <c r="T494" s="2">
        <f t="shared" si="97"/>
        <v>182191.0549157655</v>
      </c>
      <c r="U494" s="4">
        <f t="shared" si="101"/>
        <v>133.76666666666668</v>
      </c>
      <c r="V494" s="4">
        <f t="shared" si="102"/>
        <v>0.3</v>
      </c>
      <c r="W494" s="4">
        <v>2</v>
      </c>
      <c r="X494" s="4" t="s">
        <v>18</v>
      </c>
      <c r="Y494" s="4">
        <v>88.6</v>
      </c>
      <c r="AA494" s="4">
        <v>82</v>
      </c>
      <c r="AB494" s="4">
        <v>112</v>
      </c>
      <c r="AC494" s="4">
        <v>203</v>
      </c>
      <c r="AD494" s="4">
        <v>134</v>
      </c>
      <c r="AE494" s="4">
        <v>183</v>
      </c>
      <c r="AH494" s="4">
        <f>AVERAGE(Y494:AE494)</f>
        <v>133.76666666666668</v>
      </c>
    </row>
    <row r="495" spans="1:34" x14ac:dyDescent="0.25">
      <c r="A495" s="4" t="s">
        <v>119</v>
      </c>
      <c r="B495" s="4" t="s">
        <v>120</v>
      </c>
      <c r="C495" s="4">
        <v>4</v>
      </c>
      <c r="D495" s="4">
        <v>3</v>
      </c>
      <c r="E495" s="4">
        <f t="shared" si="92"/>
        <v>12</v>
      </c>
      <c r="F495" s="4">
        <v>157775.1923</v>
      </c>
      <c r="G495" s="4">
        <v>418104.2597</v>
      </c>
      <c r="H495" s="4">
        <v>65650.257519999999</v>
      </c>
      <c r="I495" s="4">
        <v>65.650257519999997</v>
      </c>
      <c r="J495" s="4">
        <v>6.5650258000000003E-2</v>
      </c>
      <c r="K495" s="4">
        <v>144.73387070000001</v>
      </c>
      <c r="L495" s="4">
        <v>2.1399999999999999E-2</v>
      </c>
      <c r="M495" s="4">
        <v>2.96</v>
      </c>
      <c r="N495" s="4">
        <v>155.41543279999999</v>
      </c>
      <c r="O495" s="4">
        <f t="shared" si="93"/>
        <v>75.562059885577497</v>
      </c>
      <c r="P495" s="4">
        <f t="shared" si="94"/>
        <v>49.12472804954573</v>
      </c>
      <c r="Q495" s="4">
        <f t="shared" si="98"/>
        <v>124.77680924584615</v>
      </c>
      <c r="R495" s="2">
        <f t="shared" si="95"/>
        <v>34274.414586449137</v>
      </c>
      <c r="S495" s="2">
        <f t="shared" si="96"/>
        <v>82370.619049385103</v>
      </c>
      <c r="T495" s="2">
        <f t="shared" si="97"/>
        <v>218282.14048087053</v>
      </c>
      <c r="U495" s="4">
        <f t="shared" si="101"/>
        <v>133.76666666666668</v>
      </c>
      <c r="V495" s="4">
        <f t="shared" si="102"/>
        <v>0.3</v>
      </c>
      <c r="W495" s="4">
        <v>3</v>
      </c>
      <c r="X495" s="4" t="s">
        <v>19</v>
      </c>
      <c r="Y495" s="4">
        <v>0.3</v>
      </c>
      <c r="AA495" s="4">
        <v>0.5</v>
      </c>
      <c r="AB495" s="4">
        <v>0.1</v>
      </c>
      <c r="AC495" s="4">
        <v>0.2</v>
      </c>
      <c r="AD495" s="4">
        <v>0.2</v>
      </c>
      <c r="AE495" s="4">
        <v>0.5</v>
      </c>
      <c r="AH495" s="4">
        <f>AVERAGE(Y495:AE495)</f>
        <v>0.3</v>
      </c>
    </row>
    <row r="496" spans="1:34" x14ac:dyDescent="0.25">
      <c r="A496" s="4" t="s">
        <v>119</v>
      </c>
      <c r="B496" s="4" t="s">
        <v>120</v>
      </c>
      <c r="C496" s="4">
        <v>5</v>
      </c>
      <c r="D496" s="4">
        <v>3</v>
      </c>
      <c r="E496" s="4">
        <f t="shared" si="92"/>
        <v>15</v>
      </c>
      <c r="F496" s="4">
        <v>174502.53330000001</v>
      </c>
      <c r="G496" s="4">
        <v>462431.7133</v>
      </c>
      <c r="H496" s="4">
        <v>72610.504109999994</v>
      </c>
      <c r="I496" s="4">
        <v>72.610504109999994</v>
      </c>
      <c r="J496" s="4">
        <v>7.2610504000000006E-2</v>
      </c>
      <c r="K496" s="4">
        <v>160.07856960000001</v>
      </c>
      <c r="L496" s="4">
        <v>2.1399999999999999E-2</v>
      </c>
      <c r="M496" s="4">
        <v>2.96</v>
      </c>
      <c r="N496" s="4">
        <v>160.79737159999999</v>
      </c>
      <c r="O496" s="4">
        <f t="shared" si="93"/>
        <v>83.066722612942684</v>
      </c>
      <c r="P496" s="4">
        <f t="shared" si="94"/>
        <v>50.721625317832334</v>
      </c>
      <c r="Q496" s="4">
        <f t="shared" si="98"/>
        <v>128.83292830729414</v>
      </c>
      <c r="R496" s="2">
        <f t="shared" si="95"/>
        <v>37678.476387287912</v>
      </c>
      <c r="S496" s="2">
        <f t="shared" si="96"/>
        <v>90551.493360461202</v>
      </c>
      <c r="T496" s="2">
        <f t="shared" si="97"/>
        <v>239961.45740522217</v>
      </c>
      <c r="U496" s="4">
        <f t="shared" si="101"/>
        <v>133.76666666666668</v>
      </c>
      <c r="V496" s="4">
        <f t="shared" si="102"/>
        <v>0.3</v>
      </c>
      <c r="W496" s="4">
        <v>4</v>
      </c>
      <c r="X496" s="4" t="s">
        <v>477</v>
      </c>
    </row>
    <row r="497" spans="1:31" x14ac:dyDescent="0.25">
      <c r="A497" s="4" t="s">
        <v>119</v>
      </c>
      <c r="B497" s="4" t="s">
        <v>120</v>
      </c>
      <c r="C497" s="4">
        <v>6</v>
      </c>
      <c r="D497" s="4">
        <v>3</v>
      </c>
      <c r="E497" s="4">
        <f t="shared" si="92"/>
        <v>18</v>
      </c>
      <c r="F497" s="4">
        <v>182386.1888</v>
      </c>
      <c r="G497" s="4">
        <v>483323.40029999998</v>
      </c>
      <c r="H497" s="4">
        <v>75890.893160000007</v>
      </c>
      <c r="I497" s="4">
        <v>75.890893160000005</v>
      </c>
      <c r="J497" s="4">
        <v>7.5890893000000001E-2</v>
      </c>
      <c r="K497" s="4">
        <v>167.31058089999999</v>
      </c>
      <c r="L497" s="4">
        <v>2.1399999999999999E-2</v>
      </c>
      <c r="M497" s="4">
        <v>2.96</v>
      </c>
      <c r="N497" s="4">
        <v>163.21577260000001</v>
      </c>
      <c r="O497" s="4">
        <f t="shared" si="93"/>
        <v>87.387463452721377</v>
      </c>
      <c r="P497" s="4">
        <f t="shared" si="94"/>
        <v>51.598021120314797</v>
      </c>
      <c r="Q497" s="4">
        <f t="shared" si="98"/>
        <v>131.05897364559959</v>
      </c>
      <c r="R497" s="2">
        <f t="shared" si="95"/>
        <v>39638.333795720522</v>
      </c>
      <c r="S497" s="2">
        <f t="shared" si="96"/>
        <v>95261.556827013992</v>
      </c>
      <c r="T497" s="2">
        <f t="shared" si="97"/>
        <v>252443.12559158707</v>
      </c>
      <c r="U497" s="4">
        <f t="shared" si="101"/>
        <v>133.76666666666668</v>
      </c>
      <c r="V497" s="4">
        <f t="shared" si="102"/>
        <v>0.3</v>
      </c>
      <c r="W497" s="4">
        <v>5</v>
      </c>
      <c r="X497" s="4" t="s">
        <v>423</v>
      </c>
      <c r="Y497" s="4" t="s">
        <v>428</v>
      </c>
      <c r="AA497" s="4" t="s">
        <v>428</v>
      </c>
      <c r="AB497" s="4" t="s">
        <v>428</v>
      </c>
      <c r="AC497" s="4" t="s">
        <v>428</v>
      </c>
      <c r="AD497" s="4" t="s">
        <v>428</v>
      </c>
      <c r="AE497" s="4" t="s">
        <v>428</v>
      </c>
    </row>
    <row r="498" spans="1:31" x14ac:dyDescent="0.25">
      <c r="A498" s="4" t="s">
        <v>119</v>
      </c>
      <c r="B498" s="4" t="s">
        <v>120</v>
      </c>
      <c r="C498" s="4">
        <v>7</v>
      </c>
      <c r="D498" s="4">
        <v>3</v>
      </c>
      <c r="E498" s="4">
        <f t="shared" si="92"/>
        <v>21</v>
      </c>
      <c r="F498" s="4">
        <v>186004.12839999999</v>
      </c>
      <c r="G498" s="4">
        <v>492910.94010000001</v>
      </c>
      <c r="H498" s="4">
        <v>77396.31783</v>
      </c>
      <c r="I498" s="4">
        <v>77.396317830000001</v>
      </c>
      <c r="J498" s="4">
        <v>7.7396318000000006E-2</v>
      </c>
      <c r="K498" s="4">
        <v>170.62947019999999</v>
      </c>
      <c r="L498" s="4">
        <v>2.1399999999999999E-2</v>
      </c>
      <c r="M498" s="4">
        <v>2.96</v>
      </c>
      <c r="N498" s="4">
        <v>164.30247159999999</v>
      </c>
      <c r="O498" s="4">
        <f t="shared" si="93"/>
        <v>89.820745581515325</v>
      </c>
      <c r="P498" s="4">
        <f t="shared" si="94"/>
        <v>52.078997334541128</v>
      </c>
      <c r="Q498" s="4">
        <f t="shared" si="98"/>
        <v>132.28065322973447</v>
      </c>
      <c r="R498" s="2">
        <f t="shared" si="95"/>
        <v>40742.053315997917</v>
      </c>
      <c r="S498" s="2">
        <f t="shared" si="96"/>
        <v>97914.091122321362</v>
      </c>
      <c r="T498" s="2">
        <f t="shared" si="97"/>
        <v>259472.34147415159</v>
      </c>
      <c r="U498" s="4">
        <f t="shared" si="101"/>
        <v>133.76666666666668</v>
      </c>
      <c r="V498" s="4">
        <f t="shared" si="102"/>
        <v>0.3</v>
      </c>
      <c r="W498" s="4">
        <v>6</v>
      </c>
      <c r="X498" s="4" t="s">
        <v>434</v>
      </c>
      <c r="Y498" s="7" t="s">
        <v>737</v>
      </c>
      <c r="AA498" s="7" t="s">
        <v>738</v>
      </c>
      <c r="AB498" s="7" t="s">
        <v>739</v>
      </c>
      <c r="AD498" s="7" t="s">
        <v>740</v>
      </c>
      <c r="AE498" s="7" t="s">
        <v>741</v>
      </c>
    </row>
    <row r="499" spans="1:31" x14ac:dyDescent="0.25">
      <c r="A499" s="4" t="s">
        <v>119</v>
      </c>
      <c r="B499" s="4" t="s">
        <v>120</v>
      </c>
      <c r="C499" s="4">
        <v>8</v>
      </c>
      <c r="D499" s="4">
        <v>3</v>
      </c>
      <c r="E499" s="4">
        <f t="shared" si="92"/>
        <v>24</v>
      </c>
      <c r="F499" s="4">
        <v>187644.9615</v>
      </c>
      <c r="G499" s="4">
        <v>497259.14809999999</v>
      </c>
      <c r="H499" s="4">
        <v>78079.068480000002</v>
      </c>
      <c r="I499" s="4">
        <v>78.079068480000004</v>
      </c>
      <c r="J499" s="4">
        <v>7.8079068000000001E-2</v>
      </c>
      <c r="K499" s="4">
        <v>172.13467600000001</v>
      </c>
      <c r="L499" s="4">
        <v>2.1399999999999999E-2</v>
      </c>
      <c r="M499" s="4">
        <v>2.96</v>
      </c>
      <c r="N499" s="4">
        <v>164.790708</v>
      </c>
      <c r="O499" s="4">
        <f t="shared" si="93"/>
        <v>91.17502421205873</v>
      </c>
      <c r="P499" s="4">
        <f t="shared" si="94"/>
        <v>52.342962677592993</v>
      </c>
      <c r="Q499" s="4">
        <f t="shared" si="98"/>
        <v>132.9511252010862</v>
      </c>
      <c r="R499" s="2">
        <f t="shared" si="95"/>
        <v>41356.34450021261</v>
      </c>
      <c r="S499" s="2">
        <f t="shared" si="96"/>
        <v>99390.397741438603</v>
      </c>
      <c r="T499" s="2">
        <f t="shared" si="97"/>
        <v>263384.55401481228</v>
      </c>
      <c r="U499" s="4">
        <f t="shared" si="101"/>
        <v>133.76666666666668</v>
      </c>
      <c r="V499" s="4">
        <f t="shared" si="102"/>
        <v>0.3</v>
      </c>
      <c r="W499" s="4">
        <v>7</v>
      </c>
    </row>
    <row r="500" spans="1:31" x14ac:dyDescent="0.25">
      <c r="A500" s="4" t="s">
        <v>119</v>
      </c>
      <c r="B500" s="4" t="s">
        <v>120</v>
      </c>
      <c r="C500" s="4">
        <v>9</v>
      </c>
      <c r="D500" s="4">
        <v>3</v>
      </c>
      <c r="E500" s="4">
        <f t="shared" si="92"/>
        <v>27</v>
      </c>
      <c r="F500" s="4">
        <v>188385.81349999999</v>
      </c>
      <c r="G500" s="4">
        <v>499222.4057</v>
      </c>
      <c r="H500" s="4">
        <v>78387.337</v>
      </c>
      <c r="I500" s="4">
        <v>78.387337000000002</v>
      </c>
      <c r="J500" s="4">
        <v>7.8387337000000001E-2</v>
      </c>
      <c r="K500" s="4">
        <v>172.8142909</v>
      </c>
      <c r="L500" s="4">
        <v>2.1399999999999999E-2</v>
      </c>
      <c r="M500" s="4">
        <v>2.96</v>
      </c>
      <c r="N500" s="4">
        <v>165.0102253</v>
      </c>
      <c r="O500" s="4">
        <f t="shared" si="93"/>
        <v>91.92398124387114</v>
      </c>
      <c r="P500" s="4">
        <f t="shared" si="94"/>
        <v>52.487829929385413</v>
      </c>
      <c r="Q500" s="4">
        <f t="shared" si="98"/>
        <v>133.31908802063896</v>
      </c>
      <c r="R500" s="2">
        <f t="shared" si="95"/>
        <v>41696.066099314681</v>
      </c>
      <c r="S500" s="2">
        <f t="shared" si="96"/>
        <v>100206.83994067456</v>
      </c>
      <c r="T500" s="2">
        <f t="shared" si="97"/>
        <v>265548.12584278756</v>
      </c>
      <c r="U500" s="4">
        <f t="shared" si="101"/>
        <v>133.76666666666668</v>
      </c>
      <c r="V500" s="4">
        <f t="shared" si="102"/>
        <v>0.3</v>
      </c>
      <c r="W500" s="4">
        <v>8</v>
      </c>
    </row>
    <row r="501" spans="1:31" x14ac:dyDescent="0.25">
      <c r="A501" s="4" t="s">
        <v>119</v>
      </c>
      <c r="B501" s="4" t="s">
        <v>120</v>
      </c>
      <c r="C501" s="4">
        <v>10</v>
      </c>
      <c r="D501" s="4">
        <v>3</v>
      </c>
      <c r="E501" s="4">
        <f t="shared" ref="E501:E564" si="103">C501*D501</f>
        <v>30</v>
      </c>
      <c r="F501" s="4">
        <v>188718.33360000001</v>
      </c>
      <c r="G501" s="4">
        <v>500103.58419999998</v>
      </c>
      <c r="H501" s="4">
        <v>78525.698610000007</v>
      </c>
      <c r="I501" s="4">
        <v>78.525698610000006</v>
      </c>
      <c r="J501" s="4">
        <v>7.8525699000000004E-2</v>
      </c>
      <c r="K501" s="4">
        <v>173.11932569999999</v>
      </c>
      <c r="L501" s="4">
        <v>2.1399999999999999E-2</v>
      </c>
      <c r="M501" s="4">
        <v>2.96</v>
      </c>
      <c r="N501" s="4">
        <v>165.1085664</v>
      </c>
      <c r="O501" s="4">
        <f t="shared" si="93"/>
        <v>92.336743489784439</v>
      </c>
      <c r="P501" s="4">
        <f t="shared" si="94"/>
        <v>52.567334762858053</v>
      </c>
      <c r="Q501" s="4">
        <f t="shared" si="98"/>
        <v>133.52103029765945</v>
      </c>
      <c r="R501" s="2">
        <f t="shared" si="95"/>
        <v>41883.292127343688</v>
      </c>
      <c r="S501" s="2">
        <f t="shared" si="96"/>
        <v>100656.79434593531</v>
      </c>
      <c r="T501" s="2">
        <f t="shared" si="97"/>
        <v>266740.5050167286</v>
      </c>
      <c r="U501" s="4">
        <f t="shared" si="101"/>
        <v>133.76666666666668</v>
      </c>
      <c r="V501" s="4">
        <f t="shared" si="102"/>
        <v>0.3</v>
      </c>
      <c r="W501" s="4">
        <v>9</v>
      </c>
      <c r="Y501" s="4" t="s">
        <v>742</v>
      </c>
      <c r="Z501" s="4" t="s">
        <v>743</v>
      </c>
      <c r="AA501" s="4" t="s">
        <v>744</v>
      </c>
      <c r="AB501" s="4" t="s">
        <v>745</v>
      </c>
    </row>
    <row r="502" spans="1:31" x14ac:dyDescent="0.25">
      <c r="A502" s="4" t="s">
        <v>121</v>
      </c>
      <c r="B502" s="4" t="s">
        <v>122</v>
      </c>
      <c r="C502" s="4">
        <v>1</v>
      </c>
      <c r="D502" s="4">
        <v>7</v>
      </c>
      <c r="E502" s="4">
        <f t="shared" si="103"/>
        <v>7</v>
      </c>
      <c r="F502" s="4">
        <v>8511146.557</v>
      </c>
      <c r="G502" s="4">
        <v>22554538.370000001</v>
      </c>
      <c r="H502" s="4">
        <v>3541488.0819999999</v>
      </c>
      <c r="I502" s="4">
        <v>3541.4880819999998</v>
      </c>
      <c r="J502" s="4">
        <v>3.5414880819999999</v>
      </c>
      <c r="K502" s="4">
        <v>7807.635456</v>
      </c>
      <c r="L502" s="2">
        <v>1E-3</v>
      </c>
      <c r="M502" s="4">
        <v>3</v>
      </c>
      <c r="N502" s="4">
        <v>707.50350370000001</v>
      </c>
      <c r="O502" s="4">
        <f t="shared" si="93"/>
        <v>22254.820062354665</v>
      </c>
      <c r="P502" s="4">
        <f t="shared" si="94"/>
        <v>850.86971247246606</v>
      </c>
      <c r="Q502" s="4">
        <f t="shared" si="98"/>
        <v>2161.2090696800637</v>
      </c>
      <c r="R502" s="2">
        <f t="shared" si="95"/>
        <v>10094628.581050098</v>
      </c>
      <c r="S502" s="2">
        <f t="shared" si="96"/>
        <v>24260102.333694059</v>
      </c>
      <c r="T502" s="2">
        <f t="shared" si="97"/>
        <v>64289271.184289254</v>
      </c>
      <c r="U502" s="4">
        <f t="shared" ref="U502:U511" si="104">$AC$503*100</f>
        <v>2615.7600000000002</v>
      </c>
      <c r="V502" s="4">
        <v>0.25</v>
      </c>
      <c r="W502" s="4">
        <v>0</v>
      </c>
      <c r="X502" s="4" t="s">
        <v>459</v>
      </c>
      <c r="Y502" s="4">
        <f>30*2000*0.453592</f>
        <v>27215.52</v>
      </c>
      <c r="AA502" s="4">
        <f>6600*0.453592</f>
        <v>2993.7071999999998</v>
      </c>
      <c r="AC502" s="4">
        <f>AVERAGE(Y502:AA502)</f>
        <v>15104.613600000001</v>
      </c>
      <c r="AD502" s="4">
        <f>AC502*0.001</f>
        <v>15.1046136</v>
      </c>
      <c r="AE502" s="4">
        <f t="shared" ref="AE502:AE508" si="105">R502*0.000001</f>
        <v>10.094628581050097</v>
      </c>
    </row>
    <row r="503" spans="1:31" x14ac:dyDescent="0.25">
      <c r="A503" s="4" t="s">
        <v>121</v>
      </c>
      <c r="B503" s="4" t="s">
        <v>122</v>
      </c>
      <c r="C503" s="4">
        <v>2</v>
      </c>
      <c r="D503" s="4">
        <v>7</v>
      </c>
      <c r="E503" s="4">
        <f t="shared" si="103"/>
        <v>14</v>
      </c>
      <c r="F503" s="4">
        <v>9222421.4670000002</v>
      </c>
      <c r="G503" s="4">
        <v>24439416.890000001</v>
      </c>
      <c r="H503" s="4">
        <v>3837449.5720000002</v>
      </c>
      <c r="I503" s="4">
        <v>3837.449572</v>
      </c>
      <c r="J503" s="4">
        <v>3.8374495720000001</v>
      </c>
      <c r="K503" s="4">
        <v>8460.1180760000007</v>
      </c>
      <c r="L503" s="2">
        <v>1E-3</v>
      </c>
      <c r="M503" s="4">
        <v>3</v>
      </c>
      <c r="N503" s="4">
        <v>726.6872836</v>
      </c>
      <c r="O503" s="4">
        <f t="shared" si="93"/>
        <v>35989.638172401603</v>
      </c>
      <c r="P503" s="4">
        <f t="shared" si="94"/>
        <v>998.72869777135293</v>
      </c>
      <c r="Q503" s="4">
        <f t="shared" si="98"/>
        <v>2536.7708923392365</v>
      </c>
      <c r="R503" s="2">
        <f t="shared" si="95"/>
        <v>16324644.688155601</v>
      </c>
      <c r="S503" s="2">
        <f t="shared" si="96"/>
        <v>39232503.456273966</v>
      </c>
      <c r="T503" s="2">
        <f t="shared" si="97"/>
        <v>103966134.159126</v>
      </c>
      <c r="U503" s="4">
        <f t="shared" si="104"/>
        <v>2615.7600000000002</v>
      </c>
      <c r="V503" s="4">
        <v>0.25</v>
      </c>
      <c r="W503" s="4">
        <v>0</v>
      </c>
      <c r="X503" s="4" t="s">
        <v>460</v>
      </c>
      <c r="Y503" s="4">
        <v>45</v>
      </c>
      <c r="AA503" s="4">
        <f>24*0.3048</f>
        <v>7.3152000000000008</v>
      </c>
      <c r="AC503" s="4">
        <f>AVERAGE(Y503:AA503)</f>
        <v>26.157600000000002</v>
      </c>
      <c r="AE503" s="4">
        <f t="shared" si="105"/>
        <v>16.324644688155601</v>
      </c>
    </row>
    <row r="504" spans="1:31" x14ac:dyDescent="0.25">
      <c r="A504" s="4" t="s">
        <v>121</v>
      </c>
      <c r="B504" s="4" t="s">
        <v>122</v>
      </c>
      <c r="C504" s="4">
        <v>3</v>
      </c>
      <c r="D504" s="4">
        <v>7</v>
      </c>
      <c r="E504" s="4">
        <f t="shared" si="103"/>
        <v>21</v>
      </c>
      <c r="F504" s="4">
        <v>9235805.5920000002</v>
      </c>
      <c r="G504" s="4">
        <v>24474884.82</v>
      </c>
      <c r="H504" s="4">
        <v>3843018.7069999999</v>
      </c>
      <c r="I504" s="4">
        <v>3843.0187070000002</v>
      </c>
      <c r="J504" s="4">
        <v>3.8430187070000001</v>
      </c>
      <c r="K504" s="4">
        <v>8472.3959009999999</v>
      </c>
      <c r="L504" s="2">
        <v>1E-3</v>
      </c>
      <c r="M504" s="4">
        <v>3</v>
      </c>
      <c r="N504" s="4">
        <v>727.03865089999999</v>
      </c>
      <c r="O504" s="4">
        <f t="shared" si="93"/>
        <v>38839.400660066996</v>
      </c>
      <c r="P504" s="4">
        <f t="shared" si="94"/>
        <v>1024.4227367213218</v>
      </c>
      <c r="Q504" s="4">
        <f t="shared" si="98"/>
        <v>2602.0337512721576</v>
      </c>
      <c r="R504" s="2">
        <f t="shared" si="95"/>
        <v>17617276.746136293</v>
      </c>
      <c r="S504" s="2">
        <f t="shared" si="96"/>
        <v>42339045.292324662</v>
      </c>
      <c r="T504" s="2">
        <f t="shared" si="97"/>
        <v>112198470.02466035</v>
      </c>
      <c r="U504" s="4">
        <f t="shared" si="104"/>
        <v>2615.7600000000002</v>
      </c>
      <c r="V504" s="4">
        <v>0.25</v>
      </c>
      <c r="W504" s="4">
        <v>0</v>
      </c>
      <c r="X504" s="4" t="s">
        <v>461</v>
      </c>
      <c r="Y504" s="4">
        <v>60</v>
      </c>
      <c r="AA504" s="4">
        <f>2200*0.453592</f>
        <v>997.90239999999994</v>
      </c>
      <c r="AE504" s="4">
        <f t="shared" si="105"/>
        <v>17.617276746136291</v>
      </c>
    </row>
    <row r="505" spans="1:31" x14ac:dyDescent="0.25">
      <c r="A505" s="4" t="s">
        <v>121</v>
      </c>
      <c r="B505" s="4" t="s">
        <v>122</v>
      </c>
      <c r="C505" s="4">
        <v>4</v>
      </c>
      <c r="D505" s="4">
        <v>7</v>
      </c>
      <c r="E505" s="4">
        <f t="shared" si="103"/>
        <v>28</v>
      </c>
      <c r="F505" s="4">
        <v>9236050.2909999993</v>
      </c>
      <c r="G505" s="4">
        <v>24475533.27</v>
      </c>
      <c r="H505" s="4">
        <v>3843120.5260000001</v>
      </c>
      <c r="I505" s="4">
        <v>3843.1205260000002</v>
      </c>
      <c r="J505" s="4">
        <v>3.8431205259999999</v>
      </c>
      <c r="K505" s="4">
        <v>8472.6203740000001</v>
      </c>
      <c r="L505" s="2">
        <v>1E-3</v>
      </c>
      <c r="M505" s="4">
        <v>3</v>
      </c>
      <c r="N505" s="4">
        <v>727.04507169999999</v>
      </c>
      <c r="O505" s="4">
        <f t="shared" si="93"/>
        <v>39349.462814606537</v>
      </c>
      <c r="P505" s="4">
        <f t="shared" si="94"/>
        <v>1028.8876911928273</v>
      </c>
      <c r="Q505" s="4">
        <f t="shared" si="98"/>
        <v>2613.3747356297813</v>
      </c>
      <c r="R505" s="2">
        <f t="shared" si="95"/>
        <v>17848637.322806895</v>
      </c>
      <c r="S505" s="2">
        <f t="shared" si="96"/>
        <v>42895066.865673862</v>
      </c>
      <c r="T505" s="2">
        <f t="shared" si="97"/>
        <v>113671927.19403574</v>
      </c>
      <c r="U505" s="4">
        <f t="shared" si="104"/>
        <v>2615.7600000000002</v>
      </c>
      <c r="V505" s="4">
        <v>0.25</v>
      </c>
      <c r="W505" s="4">
        <v>0</v>
      </c>
      <c r="X505" s="4" t="s">
        <v>462</v>
      </c>
      <c r="AE505" s="4">
        <f t="shared" si="105"/>
        <v>17.848637322806894</v>
      </c>
    </row>
    <row r="506" spans="1:31" x14ac:dyDescent="0.25">
      <c r="A506" s="4" t="s">
        <v>121</v>
      </c>
      <c r="B506" s="4" t="s">
        <v>122</v>
      </c>
      <c r="C506" s="4">
        <v>5</v>
      </c>
      <c r="D506" s="4">
        <v>7</v>
      </c>
      <c r="E506" s="4">
        <f t="shared" si="103"/>
        <v>35</v>
      </c>
      <c r="F506" s="4">
        <v>9236054.7949999999</v>
      </c>
      <c r="G506" s="4">
        <v>24475545.210000001</v>
      </c>
      <c r="H506" s="4">
        <v>3843122.4</v>
      </c>
      <c r="I506" s="4">
        <v>3843.1224000000002</v>
      </c>
      <c r="J506" s="4">
        <v>3.8431223999999999</v>
      </c>
      <c r="K506" s="4">
        <v>8472.6245060000001</v>
      </c>
      <c r="L506" s="2">
        <v>1E-3</v>
      </c>
      <c r="M506" s="4">
        <v>3</v>
      </c>
      <c r="N506" s="4">
        <v>727.04518989999997</v>
      </c>
      <c r="O506" s="4">
        <f t="shared" si="93"/>
        <v>39438.55123247343</v>
      </c>
      <c r="P506" s="4">
        <f t="shared" si="94"/>
        <v>1029.6635839386674</v>
      </c>
      <c r="Q506" s="4">
        <f t="shared" si="98"/>
        <v>2615.3455032042152</v>
      </c>
      <c r="R506" s="2">
        <f t="shared" si="95"/>
        <v>17889047.197464157</v>
      </c>
      <c r="S506" s="2">
        <f t="shared" si="96"/>
        <v>42992182.64230752</v>
      </c>
      <c r="T506" s="2">
        <f t="shared" si="97"/>
        <v>113929284.00211492</v>
      </c>
      <c r="U506" s="4">
        <f t="shared" si="104"/>
        <v>2615.7600000000002</v>
      </c>
      <c r="V506" s="4">
        <v>0.25</v>
      </c>
      <c r="W506" s="4">
        <v>0</v>
      </c>
      <c r="X506" s="4" t="s">
        <v>463</v>
      </c>
      <c r="Y506" s="4">
        <f>13*0.3048</f>
        <v>3.9624000000000001</v>
      </c>
      <c r="AA506" s="4">
        <f>12*0.3048</f>
        <v>3.6576000000000004</v>
      </c>
      <c r="AE506" s="4">
        <f t="shared" si="105"/>
        <v>17.889047197464155</v>
      </c>
    </row>
    <row r="507" spans="1:31" x14ac:dyDescent="0.25">
      <c r="A507" s="4" t="s">
        <v>121</v>
      </c>
      <c r="B507" s="4" t="s">
        <v>122</v>
      </c>
      <c r="C507" s="4">
        <v>6</v>
      </c>
      <c r="D507" s="4">
        <v>7</v>
      </c>
      <c r="E507" s="4">
        <f t="shared" si="103"/>
        <v>42</v>
      </c>
      <c r="F507" s="4">
        <v>9236055.5449999999</v>
      </c>
      <c r="G507" s="4">
        <v>24475547.190000001</v>
      </c>
      <c r="H507" s="4">
        <v>3843122.7119999998</v>
      </c>
      <c r="I507" s="4">
        <v>3843.1227119999999</v>
      </c>
      <c r="J507" s="4">
        <v>3.843122712</v>
      </c>
      <c r="K507" s="4">
        <v>8472.6251940000002</v>
      </c>
      <c r="L507" s="2">
        <v>1E-3</v>
      </c>
      <c r="M507" s="4">
        <v>3</v>
      </c>
      <c r="N507" s="4">
        <v>727.04520960000002</v>
      </c>
      <c r="O507" s="4">
        <f t="shared" si="93"/>
        <v>39454.046178581448</v>
      </c>
      <c r="P507" s="4">
        <f t="shared" si="94"/>
        <v>1029.7984138808067</v>
      </c>
      <c r="Q507" s="4">
        <f t="shared" si="98"/>
        <v>2615.687971257249</v>
      </c>
      <c r="R507" s="2">
        <f t="shared" si="95"/>
        <v>17896075.59515084</v>
      </c>
      <c r="S507" s="2">
        <f t="shared" si="96"/>
        <v>43009073.768687427</v>
      </c>
      <c r="T507" s="2">
        <f t="shared" si="97"/>
        <v>113974045.48702168</v>
      </c>
      <c r="U507" s="4">
        <f t="shared" si="104"/>
        <v>2615.7600000000002</v>
      </c>
      <c r="V507" s="4">
        <v>0.25</v>
      </c>
      <c r="W507" s="4">
        <v>0</v>
      </c>
      <c r="X507" s="4" t="s">
        <v>464</v>
      </c>
      <c r="AE507" s="4">
        <f t="shared" si="105"/>
        <v>17.89607559515084</v>
      </c>
    </row>
    <row r="508" spans="1:31" x14ac:dyDescent="0.25">
      <c r="A508" s="4" t="s">
        <v>121</v>
      </c>
      <c r="B508" s="4" t="s">
        <v>122</v>
      </c>
      <c r="C508" s="4">
        <v>7</v>
      </c>
      <c r="D508" s="4">
        <v>7</v>
      </c>
      <c r="E508" s="4">
        <f t="shared" si="103"/>
        <v>49</v>
      </c>
      <c r="F508" s="4">
        <v>9236056.2960000001</v>
      </c>
      <c r="G508" s="4">
        <v>24475549.18</v>
      </c>
      <c r="H508" s="4">
        <v>3843123.0249999999</v>
      </c>
      <c r="I508" s="4">
        <v>3843.1230249999999</v>
      </c>
      <c r="J508" s="4">
        <v>3.8431230250000001</v>
      </c>
      <c r="K508" s="4">
        <v>8472.6258830000006</v>
      </c>
      <c r="L508" s="2">
        <v>1E-3</v>
      </c>
      <c r="M508" s="4">
        <v>3</v>
      </c>
      <c r="N508" s="4">
        <v>727.04522929999996</v>
      </c>
      <c r="O508" s="4">
        <f t="shared" si="93"/>
        <v>39456.739210312153</v>
      </c>
      <c r="P508" s="4">
        <f t="shared" si="94"/>
        <v>1029.8218438115475</v>
      </c>
      <c r="Q508" s="4">
        <f t="shared" si="98"/>
        <v>2615.7474832813305</v>
      </c>
      <c r="R508" s="2">
        <f t="shared" si="95"/>
        <v>17897297.135248773</v>
      </c>
      <c r="S508" s="2">
        <f t="shared" si="96"/>
        <v>43012009.457459204</v>
      </c>
      <c r="T508" s="2">
        <f t="shared" si="97"/>
        <v>113981825.06226689</v>
      </c>
      <c r="U508" s="4">
        <f t="shared" si="104"/>
        <v>2615.7600000000002</v>
      </c>
      <c r="V508" s="4">
        <v>0.25</v>
      </c>
      <c r="W508" s="4">
        <v>0</v>
      </c>
      <c r="X508" s="4" t="s">
        <v>434</v>
      </c>
      <c r="Y508" s="7" t="s">
        <v>746</v>
      </c>
      <c r="AE508" s="4">
        <f t="shared" si="105"/>
        <v>17.89729713524877</v>
      </c>
    </row>
    <row r="509" spans="1:31" x14ac:dyDescent="0.25">
      <c r="A509" s="4" t="s">
        <v>121</v>
      </c>
      <c r="B509" s="4" t="s">
        <v>122</v>
      </c>
      <c r="C509" s="4">
        <v>8</v>
      </c>
      <c r="D509" s="4">
        <v>7</v>
      </c>
      <c r="E509" s="4">
        <f t="shared" si="103"/>
        <v>56</v>
      </c>
      <c r="F509" s="4">
        <v>9236057.0460000001</v>
      </c>
      <c r="G509" s="4">
        <v>24475551.170000002</v>
      </c>
      <c r="H509" s="4">
        <v>3843123.3369999998</v>
      </c>
      <c r="I509" s="4">
        <v>3843.123337</v>
      </c>
      <c r="J509" s="4">
        <v>3.8431233370000002</v>
      </c>
      <c r="K509" s="4">
        <v>8472.6265710000007</v>
      </c>
      <c r="L509" s="2">
        <v>1E-3</v>
      </c>
      <c r="M509" s="4">
        <v>3</v>
      </c>
      <c r="N509" s="4">
        <v>727.04524900000001</v>
      </c>
      <c r="O509" s="4">
        <f t="shared" si="93"/>
        <v>39457.207201553443</v>
      </c>
      <c r="P509" s="4">
        <f t="shared" si="94"/>
        <v>1029.8259153230072</v>
      </c>
      <c r="Q509" s="4">
        <f t="shared" si="98"/>
        <v>2615.757824920438</v>
      </c>
      <c r="R509" s="2">
        <f t="shared" si="95"/>
        <v>17897509.412757501</v>
      </c>
      <c r="S509" s="2">
        <f t="shared" si="96"/>
        <v>43012519.61729753</v>
      </c>
      <c r="T509" s="2">
        <f t="shared" si="97"/>
        <v>113983176.98583846</v>
      </c>
      <c r="U509" s="4">
        <f t="shared" si="104"/>
        <v>2615.7600000000002</v>
      </c>
      <c r="V509" s="4">
        <v>0.25</v>
      </c>
      <c r="W509" s="4">
        <v>0</v>
      </c>
      <c r="X509" s="4" t="s">
        <v>469</v>
      </c>
      <c r="Y509" s="4">
        <v>15</v>
      </c>
      <c r="AA509" s="4">
        <v>15</v>
      </c>
    </row>
    <row r="510" spans="1:31" x14ac:dyDescent="0.25">
      <c r="A510" s="4" t="s">
        <v>121</v>
      </c>
      <c r="B510" s="4" t="s">
        <v>122</v>
      </c>
      <c r="C510" s="4">
        <v>9</v>
      </c>
      <c r="D510" s="4">
        <v>7</v>
      </c>
      <c r="E510" s="4">
        <f t="shared" si="103"/>
        <v>63</v>
      </c>
      <c r="F510" s="4">
        <v>9236057.7970000003</v>
      </c>
      <c r="G510" s="4">
        <v>24475553.16</v>
      </c>
      <c r="H510" s="4">
        <v>3843123.6490000002</v>
      </c>
      <c r="I510" s="4">
        <v>3843.1236490000001</v>
      </c>
      <c r="J510" s="4">
        <v>3.8431236489999998</v>
      </c>
      <c r="K510" s="4">
        <v>8472.6272599999993</v>
      </c>
      <c r="L510" s="2">
        <v>1E-3</v>
      </c>
      <c r="M510" s="4">
        <v>3</v>
      </c>
      <c r="N510" s="4">
        <v>727.04526869999995</v>
      </c>
      <c r="O510" s="4">
        <f t="shared" si="93"/>
        <v>39457.288526614335</v>
      </c>
      <c r="P510" s="4">
        <f t="shared" si="94"/>
        <v>1029.8266228456091</v>
      </c>
      <c r="Q510" s="4">
        <f t="shared" si="98"/>
        <v>2615.7596220278474</v>
      </c>
      <c r="R510" s="2">
        <f t="shared" si="95"/>
        <v>17897546.301228482</v>
      </c>
      <c r="S510" s="2">
        <f t="shared" si="96"/>
        <v>43012608.270195827</v>
      </c>
      <c r="T510" s="2">
        <f t="shared" si="97"/>
        <v>113983411.91601893</v>
      </c>
      <c r="U510" s="4">
        <f t="shared" si="104"/>
        <v>2615.7600000000002</v>
      </c>
      <c r="V510" s="4">
        <v>0.25</v>
      </c>
      <c r="W510" s="4">
        <v>0</v>
      </c>
      <c r="X510" s="4" t="s">
        <v>470</v>
      </c>
      <c r="Y510" s="4">
        <v>9</v>
      </c>
      <c r="AA510" s="4">
        <v>10</v>
      </c>
    </row>
    <row r="511" spans="1:31" x14ac:dyDescent="0.25">
      <c r="A511" s="4" t="s">
        <v>121</v>
      </c>
      <c r="B511" s="4" t="s">
        <v>122</v>
      </c>
      <c r="C511" s="4">
        <v>10</v>
      </c>
      <c r="D511" s="4">
        <v>7</v>
      </c>
      <c r="E511" s="4">
        <f t="shared" si="103"/>
        <v>70</v>
      </c>
      <c r="F511" s="4">
        <v>9236059.2980000004</v>
      </c>
      <c r="G511" s="4">
        <v>24475557.140000001</v>
      </c>
      <c r="H511" s="4">
        <v>3843124.2740000002</v>
      </c>
      <c r="I511" s="4">
        <v>3843.1242739999998</v>
      </c>
      <c r="J511" s="4">
        <v>3.843124274</v>
      </c>
      <c r="K511" s="4">
        <v>8472.6286369999998</v>
      </c>
      <c r="L511" s="2">
        <v>1E-3</v>
      </c>
      <c r="M511" s="4">
        <v>3</v>
      </c>
      <c r="N511" s="4">
        <v>727.04530810000006</v>
      </c>
      <c r="O511" s="4">
        <f t="shared" si="93"/>
        <v>39457.302658802262</v>
      </c>
      <c r="P511" s="4">
        <f t="shared" si="94"/>
        <v>1029.8267457946019</v>
      </c>
      <c r="Q511" s="4">
        <f t="shared" si="98"/>
        <v>2615.7599343182887</v>
      </c>
      <c r="R511" s="2">
        <f t="shared" si="95"/>
        <v>17897552.71148872</v>
      </c>
      <c r="S511" s="2">
        <f t="shared" si="96"/>
        <v>43012623.675771981</v>
      </c>
      <c r="T511" s="2">
        <f t="shared" si="97"/>
        <v>113983452.74079575</v>
      </c>
      <c r="U511" s="4">
        <f t="shared" si="104"/>
        <v>2615.7600000000002</v>
      </c>
      <c r="V511" s="4">
        <v>0.25</v>
      </c>
      <c r="W511" s="4">
        <v>0</v>
      </c>
      <c r="X511" s="4" t="s">
        <v>471</v>
      </c>
      <c r="Y511" s="4">
        <v>1</v>
      </c>
      <c r="AA511" s="4">
        <v>2</v>
      </c>
    </row>
    <row r="512" spans="1:31" x14ac:dyDescent="0.25">
      <c r="A512" s="4" t="s">
        <v>123</v>
      </c>
      <c r="B512" s="4" t="s">
        <v>124</v>
      </c>
      <c r="C512" s="4">
        <v>1</v>
      </c>
      <c r="D512" s="4">
        <v>2</v>
      </c>
      <c r="E512" s="4">
        <f t="shared" si="103"/>
        <v>2</v>
      </c>
      <c r="F512" s="4">
        <v>127.5414564</v>
      </c>
      <c r="G512" s="4">
        <v>337.98485950000003</v>
      </c>
      <c r="H512" s="4">
        <v>53.070000010000001</v>
      </c>
      <c r="I512" s="4">
        <v>5.3069999999999999E-2</v>
      </c>
      <c r="J512" s="4">
        <v>5.3100000000000003E-5</v>
      </c>
      <c r="K512" s="4">
        <v>0.11699918300000001</v>
      </c>
      <c r="L512" s="4">
        <v>9.4999999999999998E-3</v>
      </c>
      <c r="M512" s="4">
        <v>3.1</v>
      </c>
      <c r="N512" s="4">
        <v>16.171494429999999</v>
      </c>
      <c r="O512" s="4">
        <f t="shared" si="93"/>
        <v>0.34539732900927694</v>
      </c>
      <c r="P512" s="4">
        <f t="shared" si="94"/>
        <v>9.0276197853989171</v>
      </c>
      <c r="Q512" s="4">
        <f t="shared" si="98"/>
        <v>22.930154254913251</v>
      </c>
      <c r="R512" s="4">
        <f t="shared" si="95"/>
        <v>156.66977937661682</v>
      </c>
      <c r="S512" s="4">
        <f t="shared" si="96"/>
        <v>376.51953707430141</v>
      </c>
      <c r="T512" s="4">
        <f t="shared" si="97"/>
        <v>997.77677324689876</v>
      </c>
      <c r="U512" s="4">
        <v>111</v>
      </c>
      <c r="V512" s="4">
        <v>0.13</v>
      </c>
      <c r="W512" s="4">
        <v>0.22</v>
      </c>
      <c r="Y512" s="4" t="s">
        <v>747</v>
      </c>
    </row>
    <row r="513" spans="1:25" x14ac:dyDescent="0.25">
      <c r="A513" s="4" t="s">
        <v>123</v>
      </c>
      <c r="B513" s="4" t="s">
        <v>124</v>
      </c>
      <c r="C513" s="4">
        <v>2</v>
      </c>
      <c r="D513" s="4">
        <v>2</v>
      </c>
      <c r="E513" s="4">
        <f t="shared" si="103"/>
        <v>4</v>
      </c>
      <c r="F513" s="4">
        <v>347.4885845</v>
      </c>
      <c r="G513" s="4">
        <v>920.84474890000001</v>
      </c>
      <c r="H513" s="4">
        <v>144.59</v>
      </c>
      <c r="I513" s="4">
        <v>0.14459</v>
      </c>
      <c r="J513" s="4">
        <v>1.4459E-4</v>
      </c>
      <c r="K513" s="4">
        <v>0.31876600599999999</v>
      </c>
      <c r="L513" s="4">
        <v>9.4999999999999998E-3</v>
      </c>
      <c r="M513" s="4">
        <v>3.1</v>
      </c>
      <c r="N513" s="4">
        <v>22.344262090000001</v>
      </c>
      <c r="O513" s="4">
        <f t="shared" si="93"/>
        <v>2.4419520664382528</v>
      </c>
      <c r="P513" s="4">
        <f t="shared" si="94"/>
        <v>16.965986526289527</v>
      </c>
      <c r="Q513" s="4">
        <f t="shared" si="98"/>
        <v>43.093605776775398</v>
      </c>
      <c r="R513" s="4">
        <f t="shared" si="95"/>
        <v>1107.6521425180997</v>
      </c>
      <c r="S513" s="4">
        <f t="shared" si="96"/>
        <v>2661.9854422448925</v>
      </c>
      <c r="T513" s="4">
        <f t="shared" si="97"/>
        <v>7054.2614219489651</v>
      </c>
      <c r="U513" s="4">
        <v>111</v>
      </c>
      <c r="V513" s="4">
        <v>0.13</v>
      </c>
      <c r="W513" s="4">
        <v>0.22</v>
      </c>
    </row>
    <row r="514" spans="1:25" x14ac:dyDescent="0.25">
      <c r="A514" s="4" t="s">
        <v>123</v>
      </c>
      <c r="B514" s="4" t="s">
        <v>124</v>
      </c>
      <c r="C514" s="4">
        <v>3</v>
      </c>
      <c r="D514" s="4">
        <v>2</v>
      </c>
      <c r="E514" s="4">
        <f t="shared" si="103"/>
        <v>6</v>
      </c>
      <c r="F514" s="4">
        <v>732.42009129999997</v>
      </c>
      <c r="G514" s="4">
        <v>1940.9132420000001</v>
      </c>
      <c r="H514" s="4">
        <v>304.76</v>
      </c>
      <c r="I514" s="4">
        <v>0.30475999999999998</v>
      </c>
      <c r="J514" s="4">
        <v>3.0476E-4</v>
      </c>
      <c r="K514" s="4">
        <v>0.67187999099999995</v>
      </c>
      <c r="L514" s="4">
        <v>9.4999999999999998E-3</v>
      </c>
      <c r="M514" s="4">
        <v>3.1</v>
      </c>
      <c r="N514" s="4">
        <v>28.419994330000002</v>
      </c>
      <c r="O514" s="4">
        <f t="shared" ref="O514:O577" si="106">R514*0.00220462</f>
        <v>6.3456182847985039</v>
      </c>
      <c r="P514" s="4">
        <f t="shared" ref="P514:P577" si="107">Q514/2.54</f>
        <v>23.086876790543517</v>
      </c>
      <c r="Q514" s="4">
        <f t="shared" si="98"/>
        <v>58.640667047980536</v>
      </c>
      <c r="R514" s="4">
        <f t="shared" ref="R514:R577" si="108">L514*(Q514^M514)</f>
        <v>2878.327459969747</v>
      </c>
      <c r="S514" s="4">
        <f t="shared" ref="S514:S577" si="109">R514/20/5.7/3.65*1000</f>
        <v>6917.3935591678619</v>
      </c>
      <c r="T514" s="4">
        <f t="shared" ref="T514:T577" si="110">S514*2.65</f>
        <v>18331.092931794832</v>
      </c>
      <c r="U514" s="4">
        <v>111</v>
      </c>
      <c r="V514" s="4">
        <v>0.13</v>
      </c>
      <c r="W514" s="4">
        <v>0.22</v>
      </c>
    </row>
    <row r="515" spans="1:25" x14ac:dyDescent="0.25">
      <c r="A515" s="4" t="s">
        <v>123</v>
      </c>
      <c r="B515" s="4" t="s">
        <v>124</v>
      </c>
      <c r="C515" s="4">
        <v>4</v>
      </c>
      <c r="D515" s="4">
        <v>2</v>
      </c>
      <c r="E515" s="4">
        <f t="shared" si="103"/>
        <v>8</v>
      </c>
      <c r="F515" s="4">
        <v>1115.2006730000001</v>
      </c>
      <c r="G515" s="4">
        <v>2955.281782</v>
      </c>
      <c r="H515" s="4">
        <v>464.03500000000003</v>
      </c>
      <c r="I515" s="4">
        <v>0.46403499999999998</v>
      </c>
      <c r="J515" s="4">
        <v>4.6403500000000001E-4</v>
      </c>
      <c r="K515" s="4">
        <v>1.023020842</v>
      </c>
      <c r="L515" s="4">
        <v>9.4999999999999998E-3</v>
      </c>
      <c r="M515" s="4">
        <v>3.1</v>
      </c>
      <c r="N515" s="4">
        <v>32.548043049999997</v>
      </c>
      <c r="O515" s="4">
        <f t="shared" si="106"/>
        <v>11.295113320542761</v>
      </c>
      <c r="P515" s="4">
        <f t="shared" si="107"/>
        <v>27.806398935326168</v>
      </c>
      <c r="Q515" s="4">
        <f t="shared" ref="Q515:Q578" si="111">U515*(1-EXP(-V515*(E515-W515)))</f>
        <v>70.62825329572847</v>
      </c>
      <c r="R515" s="4">
        <f t="shared" si="108"/>
        <v>5123.38331347024</v>
      </c>
      <c r="S515" s="4">
        <f t="shared" si="109"/>
        <v>12312.865449339677</v>
      </c>
      <c r="T515" s="4">
        <f t="shared" si="110"/>
        <v>32629.093440750145</v>
      </c>
      <c r="U515" s="4">
        <v>111</v>
      </c>
      <c r="V515" s="4">
        <v>0.13</v>
      </c>
      <c r="W515" s="4">
        <v>0.22</v>
      </c>
    </row>
    <row r="516" spans="1:25" x14ac:dyDescent="0.25">
      <c r="A516" s="4" t="s">
        <v>123</v>
      </c>
      <c r="B516" s="4" t="s">
        <v>124</v>
      </c>
      <c r="C516" s="4">
        <v>5</v>
      </c>
      <c r="D516" s="4">
        <v>2</v>
      </c>
      <c r="E516" s="4">
        <f t="shared" si="103"/>
        <v>10</v>
      </c>
      <c r="F516" s="4">
        <v>1550.4325879999999</v>
      </c>
      <c r="G516" s="4">
        <v>4108.6463590000003</v>
      </c>
      <c r="H516" s="4">
        <v>645.13499990000003</v>
      </c>
      <c r="I516" s="4">
        <v>0.64513500000000001</v>
      </c>
      <c r="J516" s="4">
        <v>6.4513500000000002E-4</v>
      </c>
      <c r="K516" s="4">
        <v>1.422277523</v>
      </c>
      <c r="L516" s="4">
        <v>9.4999999999999998E-3</v>
      </c>
      <c r="M516" s="4">
        <v>3.1</v>
      </c>
      <c r="N516" s="4">
        <v>36.198129430000002</v>
      </c>
      <c r="O516" s="4">
        <f t="shared" si="106"/>
        <v>16.537455725548487</v>
      </c>
      <c r="P516" s="4">
        <f t="shared" si="107"/>
        <v>31.445393969295882</v>
      </c>
      <c r="Q516" s="4">
        <f t="shared" si="111"/>
        <v>79.871300682011537</v>
      </c>
      <c r="R516" s="4">
        <f t="shared" si="108"/>
        <v>7501.2726572146157</v>
      </c>
      <c r="S516" s="4">
        <f t="shared" si="109"/>
        <v>18027.571875065165</v>
      </c>
      <c r="T516" s="4">
        <f t="shared" si="110"/>
        <v>47773.065468922687</v>
      </c>
      <c r="U516" s="4">
        <v>111</v>
      </c>
      <c r="V516" s="4">
        <v>0.13</v>
      </c>
      <c r="W516" s="4">
        <v>0.22</v>
      </c>
    </row>
    <row r="517" spans="1:25" x14ac:dyDescent="0.25">
      <c r="A517" s="4" t="s">
        <v>123</v>
      </c>
      <c r="B517" s="4" t="s">
        <v>124</v>
      </c>
      <c r="C517" s="4">
        <v>6</v>
      </c>
      <c r="D517" s="4">
        <v>2</v>
      </c>
      <c r="E517" s="4">
        <f t="shared" si="103"/>
        <v>12</v>
      </c>
      <c r="F517" s="4">
        <v>1976.4359529999999</v>
      </c>
      <c r="G517" s="4">
        <v>5237.5552749999997</v>
      </c>
      <c r="H517" s="4">
        <v>822.39499999999998</v>
      </c>
      <c r="I517" s="4">
        <v>0.82239499999999999</v>
      </c>
      <c r="J517" s="4">
        <v>8.2239499999999996E-4</v>
      </c>
      <c r="K517" s="4">
        <v>1.813068465</v>
      </c>
      <c r="L517" s="4">
        <v>9.4999999999999998E-3</v>
      </c>
      <c r="M517" s="4">
        <v>3.1</v>
      </c>
      <c r="N517" s="4">
        <v>39.146754289999997</v>
      </c>
      <c r="O517" s="4">
        <f t="shared" si="106"/>
        <v>21.554535391180867</v>
      </c>
      <c r="P517" s="4">
        <f t="shared" si="107"/>
        <v>34.25124686096953</v>
      </c>
      <c r="Q517" s="4">
        <f t="shared" si="111"/>
        <v>86.998167026862603</v>
      </c>
      <c r="R517" s="4">
        <f t="shared" si="108"/>
        <v>9776.9844196191934</v>
      </c>
      <c r="S517" s="4">
        <f t="shared" si="109"/>
        <v>23496.71814376158</v>
      </c>
      <c r="T517" s="4">
        <f t="shared" si="110"/>
        <v>62266.303080968188</v>
      </c>
      <c r="U517" s="4">
        <v>111</v>
      </c>
      <c r="V517" s="4">
        <v>0.13</v>
      </c>
      <c r="W517" s="4">
        <v>0.22</v>
      </c>
    </row>
    <row r="518" spans="1:25" x14ac:dyDescent="0.25">
      <c r="A518" s="4" t="s">
        <v>123</v>
      </c>
      <c r="B518" s="4" t="s">
        <v>124</v>
      </c>
      <c r="C518" s="4">
        <v>7</v>
      </c>
      <c r="D518" s="4">
        <v>2</v>
      </c>
      <c r="E518" s="4">
        <f t="shared" si="103"/>
        <v>14</v>
      </c>
      <c r="F518" s="4">
        <v>2275.6669069999998</v>
      </c>
      <c r="G518" s="4">
        <v>6030.517304</v>
      </c>
      <c r="H518" s="4">
        <v>946.90499999999997</v>
      </c>
      <c r="I518" s="4">
        <v>0.946905</v>
      </c>
      <c r="J518" s="4">
        <v>9.4690499999999995E-4</v>
      </c>
      <c r="K518" s="4">
        <v>2.0875657009999999</v>
      </c>
      <c r="L518" s="4">
        <v>9.4999999999999998E-3</v>
      </c>
      <c r="M518" s="4">
        <v>3.1</v>
      </c>
      <c r="N518" s="4">
        <v>40.96812293</v>
      </c>
      <c r="O518" s="4">
        <f t="shared" si="106"/>
        <v>26.061529933700164</v>
      </c>
      <c r="P518" s="4">
        <f t="shared" si="107"/>
        <v>36.414704182626018</v>
      </c>
      <c r="Q518" s="4">
        <f t="shared" si="111"/>
        <v>92.493348623870091</v>
      </c>
      <c r="R518" s="4">
        <f t="shared" si="108"/>
        <v>11821.325186971071</v>
      </c>
      <c r="S518" s="4">
        <f t="shared" si="109"/>
        <v>28409.817800939851</v>
      </c>
      <c r="T518" s="4">
        <f t="shared" si="110"/>
        <v>75286.017172490596</v>
      </c>
      <c r="U518" s="4">
        <v>111</v>
      </c>
      <c r="V518" s="4">
        <v>0.13</v>
      </c>
      <c r="W518" s="4">
        <v>0.22</v>
      </c>
    </row>
    <row r="519" spans="1:25" x14ac:dyDescent="0.25">
      <c r="A519" s="4" t="s">
        <v>123</v>
      </c>
      <c r="B519" s="4" t="s">
        <v>124</v>
      </c>
      <c r="C519" s="4">
        <v>8</v>
      </c>
      <c r="D519" s="4">
        <v>2</v>
      </c>
      <c r="E519" s="4">
        <f t="shared" si="103"/>
        <v>16</v>
      </c>
      <c r="F519" s="4">
        <v>2451.3338140000001</v>
      </c>
      <c r="G519" s="4">
        <v>6496.0346079999999</v>
      </c>
      <c r="H519" s="4">
        <v>1020</v>
      </c>
      <c r="I519" s="4">
        <v>1.02</v>
      </c>
      <c r="J519" s="4">
        <v>1.0200000000000001E-3</v>
      </c>
      <c r="K519" s="4">
        <v>2.2487124000000001</v>
      </c>
      <c r="L519" s="4">
        <v>9.4999999999999998E-3</v>
      </c>
      <c r="M519" s="4">
        <v>3.1</v>
      </c>
      <c r="N519" s="4">
        <v>41.962698490000001</v>
      </c>
      <c r="O519" s="4">
        <f t="shared" si="106"/>
        <v>29.943518855926555</v>
      </c>
      <c r="P519" s="4">
        <f t="shared" si="107"/>
        <v>38.082841381307588</v>
      </c>
      <c r="Q519" s="4">
        <f t="shared" si="111"/>
        <v>96.73041710852128</v>
      </c>
      <c r="R519" s="4">
        <f t="shared" si="108"/>
        <v>13582.167836600664</v>
      </c>
      <c r="S519" s="4">
        <f t="shared" si="109"/>
        <v>32641.595377555062</v>
      </c>
      <c r="T519" s="4">
        <f t="shared" si="110"/>
        <v>86500.227750520906</v>
      </c>
      <c r="U519" s="4">
        <v>111</v>
      </c>
      <c r="V519" s="4">
        <v>0.13</v>
      </c>
      <c r="W519" s="4">
        <v>0.22</v>
      </c>
    </row>
    <row r="520" spans="1:25" x14ac:dyDescent="0.25">
      <c r="A520" s="4" t="s">
        <v>123</v>
      </c>
      <c r="B520" s="4" t="s">
        <v>124</v>
      </c>
      <c r="C520" s="4">
        <v>9</v>
      </c>
      <c r="D520" s="4">
        <v>2</v>
      </c>
      <c r="E520" s="4">
        <f t="shared" si="103"/>
        <v>18</v>
      </c>
      <c r="F520" s="4">
        <v>2643.5952900000002</v>
      </c>
      <c r="G520" s="4">
        <v>7005.5275179999999</v>
      </c>
      <c r="H520" s="4">
        <v>1100</v>
      </c>
      <c r="I520" s="4">
        <v>1.1000000000000001</v>
      </c>
      <c r="J520" s="4">
        <v>1.1000000000000001E-3</v>
      </c>
      <c r="K520" s="4">
        <v>2.4250820000000002</v>
      </c>
      <c r="L520" s="4">
        <v>9.4999999999999998E-3</v>
      </c>
      <c r="M520" s="4">
        <v>3.1</v>
      </c>
      <c r="N520" s="4">
        <v>42.997344910000002</v>
      </c>
      <c r="O520" s="4">
        <f t="shared" si="106"/>
        <v>33.191169266138274</v>
      </c>
      <c r="P520" s="4">
        <f t="shared" si="107"/>
        <v>39.369061213688937</v>
      </c>
      <c r="Q520" s="4">
        <f t="shared" si="111"/>
        <v>99.997415482769895</v>
      </c>
      <c r="R520" s="4">
        <f t="shared" si="108"/>
        <v>15055.279034998446</v>
      </c>
      <c r="S520" s="4">
        <f t="shared" si="109"/>
        <v>36181.877036766273</v>
      </c>
      <c r="T520" s="4">
        <f t="shared" si="110"/>
        <v>95881.974147430621</v>
      </c>
      <c r="U520" s="4">
        <v>111</v>
      </c>
      <c r="V520" s="4">
        <v>0.13</v>
      </c>
      <c r="W520" s="4">
        <v>0.22</v>
      </c>
    </row>
    <row r="521" spans="1:25" x14ac:dyDescent="0.25">
      <c r="A521" s="4" t="s">
        <v>123</v>
      </c>
      <c r="B521" s="4" t="s">
        <v>124</v>
      </c>
      <c r="C521" s="4">
        <v>10</v>
      </c>
      <c r="D521" s="4">
        <v>2</v>
      </c>
      <c r="E521" s="4">
        <f t="shared" si="103"/>
        <v>20</v>
      </c>
      <c r="F521" s="4">
        <v>3076.18361</v>
      </c>
      <c r="G521" s="4">
        <v>8151.8865660000001</v>
      </c>
      <c r="H521" s="4">
        <v>1280</v>
      </c>
      <c r="I521" s="4">
        <v>1.28</v>
      </c>
      <c r="J521" s="4">
        <v>1.2800000000000001E-3</v>
      </c>
      <c r="K521" s="4">
        <v>2.8219135999999998</v>
      </c>
      <c r="L521" s="4">
        <v>9.4999999999999998E-3</v>
      </c>
      <c r="M521" s="4">
        <v>3.1</v>
      </c>
      <c r="N521" s="4">
        <v>45.151587120000002</v>
      </c>
      <c r="O521" s="4">
        <f t="shared" si="106"/>
        <v>35.852318504040518</v>
      </c>
      <c r="P521" s="4">
        <f t="shared" si="107"/>
        <v>40.360803055138561</v>
      </c>
      <c r="Q521" s="4">
        <f t="shared" si="111"/>
        <v>102.51643976005195</v>
      </c>
      <c r="R521" s="4">
        <f t="shared" si="108"/>
        <v>16262.357460260959</v>
      </c>
      <c r="S521" s="4">
        <f t="shared" si="109"/>
        <v>39082.810526942943</v>
      </c>
      <c r="T521" s="4">
        <f t="shared" si="110"/>
        <v>103569.44789639879</v>
      </c>
      <c r="U521" s="4">
        <v>111</v>
      </c>
      <c r="V521" s="4">
        <v>0.13</v>
      </c>
      <c r="W521" s="4">
        <v>0.22</v>
      </c>
    </row>
    <row r="522" spans="1:25" x14ac:dyDescent="0.25">
      <c r="A522" s="4" t="s">
        <v>125</v>
      </c>
      <c r="B522" s="4" t="s">
        <v>126</v>
      </c>
      <c r="C522" s="4">
        <v>1</v>
      </c>
      <c r="D522" s="4">
        <v>1</v>
      </c>
      <c r="E522" s="4">
        <f t="shared" si="103"/>
        <v>1</v>
      </c>
      <c r="F522" s="4">
        <v>43.979812539999998</v>
      </c>
      <c r="G522" s="4">
        <v>116.5465032</v>
      </c>
      <c r="H522" s="4">
        <v>18.3</v>
      </c>
      <c r="I522" s="4">
        <v>1.83E-2</v>
      </c>
      <c r="J522" s="4">
        <v>1.8300000000000001E-5</v>
      </c>
      <c r="K522" s="4">
        <v>4.0344546000000002E-2</v>
      </c>
      <c r="L522" s="4">
        <v>1.4999999999999999E-2</v>
      </c>
      <c r="M522" s="4">
        <v>2.9</v>
      </c>
      <c r="N522" s="4">
        <v>11.594766590000001</v>
      </c>
      <c r="O522" s="4">
        <f t="shared" si="106"/>
        <v>5.5493212288959877E-2</v>
      </c>
      <c r="P522" s="4">
        <f t="shared" si="107"/>
        <v>5.0953193492557105</v>
      </c>
      <c r="Q522" s="4">
        <f t="shared" si="111"/>
        <v>12.942111147109506</v>
      </c>
      <c r="R522" s="4">
        <f t="shared" si="108"/>
        <v>25.171327616078905</v>
      </c>
      <c r="S522" s="4">
        <f t="shared" si="109"/>
        <v>60.493457380627028</v>
      </c>
      <c r="T522" s="4">
        <f t="shared" si="110"/>
        <v>160.30766205866161</v>
      </c>
      <c r="U522" s="4">
        <v>136</v>
      </c>
      <c r="V522" s="4">
        <v>0.1</v>
      </c>
      <c r="W522" s="4">
        <v>0</v>
      </c>
      <c r="Y522" s="4" t="s">
        <v>728</v>
      </c>
    </row>
    <row r="523" spans="1:25" x14ac:dyDescent="0.25">
      <c r="A523" s="4" t="s">
        <v>125</v>
      </c>
      <c r="B523" s="4" t="s">
        <v>126</v>
      </c>
      <c r="C523" s="4">
        <v>2</v>
      </c>
      <c r="D523" s="4">
        <v>1</v>
      </c>
      <c r="E523" s="4">
        <f t="shared" si="103"/>
        <v>2</v>
      </c>
      <c r="F523" s="4">
        <v>253.3044941</v>
      </c>
      <c r="G523" s="4">
        <v>671.25690940000004</v>
      </c>
      <c r="H523" s="4">
        <v>105.4</v>
      </c>
      <c r="I523" s="4">
        <v>0.10539999999999999</v>
      </c>
      <c r="J523" s="4">
        <v>1.054E-4</v>
      </c>
      <c r="K523" s="4">
        <v>0.23236694799999999</v>
      </c>
      <c r="L523" s="4">
        <v>1.4999999999999999E-2</v>
      </c>
      <c r="M523" s="4">
        <v>2.9</v>
      </c>
      <c r="N523" s="4">
        <v>21.206319180000001</v>
      </c>
      <c r="O523" s="4">
        <f t="shared" si="106"/>
        <v>0.35960673313758373</v>
      </c>
      <c r="P523" s="4">
        <f t="shared" si="107"/>
        <v>9.7057549533049112</v>
      </c>
      <c r="Q523" s="4">
        <f t="shared" si="111"/>
        <v>24.652617581394473</v>
      </c>
      <c r="R523" s="4">
        <f t="shared" si="108"/>
        <v>163.11506433652227</v>
      </c>
      <c r="S523" s="4">
        <f t="shared" si="109"/>
        <v>392.00928703802515</v>
      </c>
      <c r="T523" s="4">
        <f t="shared" si="110"/>
        <v>1038.8246106507665</v>
      </c>
      <c r="U523" s="4">
        <v>136</v>
      </c>
      <c r="V523" s="4">
        <v>0.1</v>
      </c>
      <c r="W523" s="4">
        <v>0</v>
      </c>
    </row>
    <row r="524" spans="1:25" x14ac:dyDescent="0.25">
      <c r="A524" s="4" t="s">
        <v>125</v>
      </c>
      <c r="B524" s="4" t="s">
        <v>126</v>
      </c>
      <c r="C524" s="4">
        <v>3</v>
      </c>
      <c r="D524" s="4">
        <v>1</v>
      </c>
      <c r="E524" s="4">
        <f t="shared" si="103"/>
        <v>3</v>
      </c>
      <c r="F524" s="4">
        <v>789.95433809999997</v>
      </c>
      <c r="G524" s="4">
        <v>2093.3789959999999</v>
      </c>
      <c r="H524" s="4">
        <v>328.70000010000001</v>
      </c>
      <c r="I524" s="4">
        <v>0.32869999999999999</v>
      </c>
      <c r="J524" s="4">
        <v>3.2870000000000002E-4</v>
      </c>
      <c r="K524" s="4">
        <v>0.72465859399999999</v>
      </c>
      <c r="L524" s="4">
        <v>1.4999999999999999E-2</v>
      </c>
      <c r="M524" s="4">
        <v>2.9</v>
      </c>
      <c r="N524" s="4">
        <v>31.390339699999998</v>
      </c>
      <c r="O524" s="4">
        <f t="shared" si="106"/>
        <v>1.0142401313462461</v>
      </c>
      <c r="P524" s="4">
        <f t="shared" si="107"/>
        <v>13.877449601293845</v>
      </c>
      <c r="Q524" s="4">
        <f t="shared" si="111"/>
        <v>35.248721987286366</v>
      </c>
      <c r="R524" s="4">
        <f t="shared" si="108"/>
        <v>460.05213204372916</v>
      </c>
      <c r="S524" s="4">
        <f t="shared" si="109"/>
        <v>1105.6287720349176</v>
      </c>
      <c r="T524" s="4">
        <f t="shared" si="110"/>
        <v>2929.9162458925316</v>
      </c>
      <c r="U524" s="4">
        <v>136</v>
      </c>
      <c r="V524" s="4">
        <v>0.1</v>
      </c>
      <c r="W524" s="4">
        <v>0</v>
      </c>
    </row>
    <row r="525" spans="1:25" x14ac:dyDescent="0.25">
      <c r="A525" s="4" t="s">
        <v>125</v>
      </c>
      <c r="B525" s="4" t="s">
        <v>126</v>
      </c>
      <c r="C525" s="4">
        <v>4</v>
      </c>
      <c r="D525" s="4">
        <v>1</v>
      </c>
      <c r="E525" s="4">
        <f t="shared" si="103"/>
        <v>4</v>
      </c>
      <c r="F525" s="4">
        <v>1839.701994</v>
      </c>
      <c r="G525" s="4">
        <v>4875.2102850000001</v>
      </c>
      <c r="H525" s="4">
        <v>765.49999969999999</v>
      </c>
      <c r="I525" s="4">
        <v>0.76549999999999996</v>
      </c>
      <c r="J525" s="4">
        <v>7.6550000000000001E-4</v>
      </c>
      <c r="K525" s="4">
        <v>1.6876366089999999</v>
      </c>
      <c r="L525" s="4">
        <v>1.4999999999999999E-2</v>
      </c>
      <c r="M525" s="4">
        <v>2.9</v>
      </c>
      <c r="N525" s="4">
        <v>42.014375139999999</v>
      </c>
      <c r="O525" s="4">
        <f t="shared" si="106"/>
        <v>2.0377748823399293</v>
      </c>
      <c r="P525" s="4">
        <f t="shared" si="107"/>
        <v>17.652155015414586</v>
      </c>
      <c r="Q525" s="4">
        <f t="shared" si="111"/>
        <v>44.83647373915305</v>
      </c>
      <c r="R525" s="4">
        <f t="shared" si="108"/>
        <v>924.32023765543681</v>
      </c>
      <c r="S525" s="4">
        <f t="shared" si="109"/>
        <v>2221.3896603110716</v>
      </c>
      <c r="T525" s="4">
        <f t="shared" si="110"/>
        <v>5886.6825998243394</v>
      </c>
      <c r="U525" s="4">
        <v>136</v>
      </c>
      <c r="V525" s="4">
        <v>0.1</v>
      </c>
      <c r="W525" s="4">
        <v>0</v>
      </c>
    </row>
    <row r="526" spans="1:25" x14ac:dyDescent="0.25">
      <c r="A526" s="4" t="s">
        <v>125</v>
      </c>
      <c r="B526" s="4" t="s">
        <v>126</v>
      </c>
      <c r="C526" s="4">
        <v>5</v>
      </c>
      <c r="D526" s="4">
        <v>1</v>
      </c>
      <c r="E526" s="4">
        <f t="shared" si="103"/>
        <v>5</v>
      </c>
      <c r="F526" s="4">
        <v>3889.4496509999999</v>
      </c>
      <c r="G526" s="4">
        <v>10307.041579999999</v>
      </c>
      <c r="H526" s="4">
        <v>1618.4</v>
      </c>
      <c r="I526" s="4">
        <v>1.6184000000000001</v>
      </c>
      <c r="J526" s="4">
        <v>1.6184000000000001E-3</v>
      </c>
      <c r="K526" s="4">
        <v>3.567957008</v>
      </c>
      <c r="L526" s="4">
        <v>1.4999999999999999E-2</v>
      </c>
      <c r="M526" s="4">
        <v>2.9</v>
      </c>
      <c r="N526" s="4">
        <v>54.389539650000003</v>
      </c>
      <c r="O526" s="4">
        <f t="shared" si="106"/>
        <v>3.4035288637362187</v>
      </c>
      <c r="P526" s="4">
        <f t="shared" si="107"/>
        <v>21.06764971617396</v>
      </c>
      <c r="Q526" s="4">
        <f t="shared" si="111"/>
        <v>53.511830279081856</v>
      </c>
      <c r="R526" s="4">
        <f t="shared" si="108"/>
        <v>1543.8165596502884</v>
      </c>
      <c r="S526" s="4">
        <f t="shared" si="109"/>
        <v>3710.2056228077104</v>
      </c>
      <c r="T526" s="4">
        <f t="shared" si="110"/>
        <v>9832.0449004404327</v>
      </c>
      <c r="U526" s="4">
        <v>136</v>
      </c>
      <c r="V526" s="4">
        <v>0.1</v>
      </c>
      <c r="W526" s="4">
        <v>0</v>
      </c>
    </row>
    <row r="527" spans="1:25" x14ac:dyDescent="0.25">
      <c r="A527" s="4" t="s">
        <v>125</v>
      </c>
      <c r="B527" s="4" t="s">
        <v>126</v>
      </c>
      <c r="C527" s="4">
        <v>6</v>
      </c>
      <c r="D527" s="4">
        <v>1</v>
      </c>
      <c r="E527" s="4">
        <f t="shared" si="103"/>
        <v>6</v>
      </c>
      <c r="F527" s="4">
        <v>6412.8815189999996</v>
      </c>
      <c r="G527" s="4">
        <v>16994.136030000001</v>
      </c>
      <c r="H527" s="4">
        <v>2668.4</v>
      </c>
      <c r="I527" s="4">
        <v>2.6684000000000001</v>
      </c>
      <c r="J527" s="4">
        <v>2.6684E-3</v>
      </c>
      <c r="K527" s="4">
        <v>5.8828080079999996</v>
      </c>
      <c r="L527" s="4">
        <v>1.4999999999999999E-2</v>
      </c>
      <c r="M527" s="4">
        <v>2.9</v>
      </c>
      <c r="N527" s="4">
        <v>64.62490047</v>
      </c>
      <c r="O527" s="4">
        <f t="shared" si="106"/>
        <v>5.0620417105033466</v>
      </c>
      <c r="P527" s="4">
        <f t="shared" si="107"/>
        <v>24.158117122524573</v>
      </c>
      <c r="Q527" s="4">
        <f t="shared" si="111"/>
        <v>61.361617491212414</v>
      </c>
      <c r="R527" s="4">
        <f t="shared" si="108"/>
        <v>2296.1062271517753</v>
      </c>
      <c r="S527" s="4">
        <f t="shared" si="109"/>
        <v>5518.1596422777584</v>
      </c>
      <c r="T527" s="4">
        <f t="shared" si="110"/>
        <v>14623.123052036059</v>
      </c>
      <c r="U527" s="4">
        <v>136</v>
      </c>
      <c r="V527" s="4">
        <v>0.1</v>
      </c>
      <c r="W527" s="4">
        <v>0</v>
      </c>
    </row>
    <row r="528" spans="1:25" x14ac:dyDescent="0.25">
      <c r="A528" s="4" t="s">
        <v>125</v>
      </c>
      <c r="B528" s="4" t="s">
        <v>126</v>
      </c>
      <c r="C528" s="4">
        <v>7</v>
      </c>
      <c r="D528" s="4">
        <v>1</v>
      </c>
      <c r="E528" s="4">
        <f t="shared" si="103"/>
        <v>7</v>
      </c>
      <c r="F528" s="4">
        <v>9491.9490490000007</v>
      </c>
      <c r="G528" s="4">
        <v>25153.664980000001</v>
      </c>
      <c r="H528" s="4">
        <v>3949.599999</v>
      </c>
      <c r="I528" s="4">
        <v>3.9495999990000001</v>
      </c>
      <c r="J528" s="4">
        <v>3.9496000000000002E-3</v>
      </c>
      <c r="K528" s="4">
        <v>8.7073671499999996</v>
      </c>
      <c r="L528" s="4">
        <v>1.4999999999999999E-2</v>
      </c>
      <c r="M528" s="4">
        <v>2.9</v>
      </c>
      <c r="N528" s="4">
        <v>73.981780240000006</v>
      </c>
      <c r="O528" s="4">
        <f t="shared" si="106"/>
        <v>6.9546121770560472</v>
      </c>
      <c r="P528" s="4">
        <f t="shared" si="107"/>
        <v>26.954487671011147</v>
      </c>
      <c r="Q528" s="4">
        <f t="shared" si="111"/>
        <v>68.464398684368319</v>
      </c>
      <c r="R528" s="4">
        <f t="shared" si="108"/>
        <v>3154.5627713873805</v>
      </c>
      <c r="S528" s="4">
        <f t="shared" si="109"/>
        <v>7581.2611665161767</v>
      </c>
      <c r="T528" s="4">
        <f t="shared" si="110"/>
        <v>20090.342091267867</v>
      </c>
      <c r="U528" s="4">
        <v>136</v>
      </c>
      <c r="V528" s="4">
        <v>0.1</v>
      </c>
      <c r="W528" s="4">
        <v>0</v>
      </c>
    </row>
    <row r="529" spans="1:25" x14ac:dyDescent="0.25">
      <c r="A529" s="4" t="s">
        <v>125</v>
      </c>
      <c r="B529" s="4" t="s">
        <v>126</v>
      </c>
      <c r="C529" s="4">
        <v>8</v>
      </c>
      <c r="D529" s="4">
        <v>1</v>
      </c>
      <c r="E529" s="4">
        <f t="shared" si="103"/>
        <v>8</v>
      </c>
      <c r="F529" s="4">
        <v>14744.532569999999</v>
      </c>
      <c r="G529" s="4">
        <v>39073.011299999998</v>
      </c>
      <c r="H529" s="4">
        <v>6135.2000019999996</v>
      </c>
      <c r="I529" s="4">
        <v>6.1352000020000004</v>
      </c>
      <c r="J529" s="4">
        <v>6.1352000000000004E-3</v>
      </c>
      <c r="K529" s="4">
        <v>13.52578463</v>
      </c>
      <c r="L529" s="4">
        <v>1.4999999999999999E-2</v>
      </c>
      <c r="M529" s="4">
        <v>2.9</v>
      </c>
      <c r="N529" s="4">
        <v>86.115610500000003</v>
      </c>
      <c r="O529" s="4">
        <f t="shared" si="106"/>
        <v>9.0214285789135484</v>
      </c>
      <c r="P529" s="4">
        <f t="shared" si="107"/>
        <v>29.484748377975539</v>
      </c>
      <c r="Q529" s="4">
        <f t="shared" si="111"/>
        <v>74.891260880057871</v>
      </c>
      <c r="R529" s="4">
        <f t="shared" si="108"/>
        <v>4092.0560363752252</v>
      </c>
      <c r="S529" s="4">
        <f t="shared" si="109"/>
        <v>9834.3091477414673</v>
      </c>
      <c r="T529" s="4">
        <f t="shared" si="110"/>
        <v>26060.919241514886</v>
      </c>
      <c r="U529" s="4">
        <v>136</v>
      </c>
      <c r="V529" s="4">
        <v>0.1</v>
      </c>
      <c r="W529" s="4">
        <v>0</v>
      </c>
    </row>
    <row r="530" spans="1:25" x14ac:dyDescent="0.25">
      <c r="A530" s="4" t="s">
        <v>125</v>
      </c>
      <c r="B530" s="4" t="s">
        <v>126</v>
      </c>
      <c r="C530" s="4">
        <v>9</v>
      </c>
      <c r="D530" s="4">
        <v>1</v>
      </c>
      <c r="E530" s="4">
        <f t="shared" si="103"/>
        <v>9</v>
      </c>
      <c r="F530" s="4">
        <v>21457.662420000001</v>
      </c>
      <c r="G530" s="4">
        <v>56862.805410000001</v>
      </c>
      <c r="H530" s="4">
        <v>8928.5333329999994</v>
      </c>
      <c r="I530" s="4">
        <v>8.9285333330000007</v>
      </c>
      <c r="J530" s="4">
        <v>8.9285330000000006E-3</v>
      </c>
      <c r="K530" s="4">
        <v>19.684023159999999</v>
      </c>
      <c r="L530" s="4">
        <v>1.4999999999999999E-2</v>
      </c>
      <c r="M530" s="4">
        <v>2.9</v>
      </c>
      <c r="N530" s="4">
        <v>98.010368600000007</v>
      </c>
      <c r="O530" s="4">
        <f t="shared" si="106"/>
        <v>11.206244704065377</v>
      </c>
      <c r="P530" s="4">
        <f t="shared" si="107"/>
        <v>31.774222943023037</v>
      </c>
      <c r="Q530" s="4">
        <f t="shared" si="111"/>
        <v>80.70652627527852</v>
      </c>
      <c r="R530" s="4">
        <f t="shared" si="108"/>
        <v>5083.0731391647432</v>
      </c>
      <c r="S530" s="4">
        <f t="shared" si="109"/>
        <v>12215.989279415388</v>
      </c>
      <c r="T530" s="4">
        <f t="shared" si="110"/>
        <v>32372.371590450777</v>
      </c>
      <c r="U530" s="4">
        <v>136</v>
      </c>
      <c r="V530" s="4">
        <v>0.1</v>
      </c>
      <c r="W530" s="4">
        <v>0</v>
      </c>
    </row>
    <row r="531" spans="1:25" x14ac:dyDescent="0.25">
      <c r="A531" s="4" t="s">
        <v>125</v>
      </c>
      <c r="B531" s="4" t="s">
        <v>126</v>
      </c>
      <c r="C531" s="4">
        <v>10</v>
      </c>
      <c r="D531" s="4">
        <v>1</v>
      </c>
      <c r="E531" s="4">
        <f t="shared" si="103"/>
        <v>10</v>
      </c>
      <c r="F531" s="4">
        <v>34739.245369999997</v>
      </c>
      <c r="G531" s="4">
        <v>92059.000239999994</v>
      </c>
      <c r="H531" s="4">
        <v>14455</v>
      </c>
      <c r="I531" s="4">
        <v>14.455</v>
      </c>
      <c r="J531" s="4">
        <v>1.4455000000000001E-2</v>
      </c>
      <c r="K531" s="4">
        <v>31.867782099999999</v>
      </c>
      <c r="L531" s="4">
        <v>1.4999999999999999E-2</v>
      </c>
      <c r="M531" s="4">
        <v>2.9</v>
      </c>
      <c r="N531" s="4">
        <v>115.7238962</v>
      </c>
      <c r="O531" s="4">
        <f t="shared" si="106"/>
        <v>13.458838780245086</v>
      </c>
      <c r="P531" s="4">
        <f t="shared" si="107"/>
        <v>33.845825197119623</v>
      </c>
      <c r="Q531" s="4">
        <f t="shared" si="111"/>
        <v>85.968396000683839</v>
      </c>
      <c r="R531" s="4">
        <f t="shared" si="108"/>
        <v>6104.8338399565846</v>
      </c>
      <c r="S531" s="4">
        <f t="shared" si="109"/>
        <v>14671.554530056677</v>
      </c>
      <c r="T531" s="4">
        <f t="shared" si="110"/>
        <v>38879.619504650196</v>
      </c>
      <c r="U531" s="4">
        <v>136</v>
      </c>
      <c r="V531" s="4">
        <v>0.1</v>
      </c>
      <c r="W531" s="4">
        <v>0</v>
      </c>
    </row>
    <row r="532" spans="1:25" x14ac:dyDescent="0.25">
      <c r="A532" s="4" t="s">
        <v>127</v>
      </c>
      <c r="B532" s="4" t="s">
        <v>128</v>
      </c>
      <c r="C532" s="4">
        <v>1</v>
      </c>
      <c r="D532" s="4">
        <v>2</v>
      </c>
      <c r="E532" s="4">
        <f t="shared" si="103"/>
        <v>2</v>
      </c>
      <c r="F532" s="4">
        <v>476.02739730000002</v>
      </c>
      <c r="G532" s="4">
        <v>1261.4726029999999</v>
      </c>
      <c r="H532" s="4">
        <v>198.07499999999999</v>
      </c>
      <c r="I532" s="4">
        <v>0.198075</v>
      </c>
      <c r="J532" s="4">
        <v>1.98075E-4</v>
      </c>
      <c r="K532" s="4">
        <v>0.43668010699999998</v>
      </c>
      <c r="L532" s="4">
        <v>1.4E-2</v>
      </c>
      <c r="M532" s="4">
        <v>3</v>
      </c>
      <c r="N532" s="4">
        <v>24.186176039999999</v>
      </c>
      <c r="O532" s="4">
        <f t="shared" si="106"/>
        <v>2.7949704022846897</v>
      </c>
      <c r="P532" s="4">
        <f t="shared" si="107"/>
        <v>17.679559020398159</v>
      </c>
      <c r="Q532" s="4">
        <f t="shared" si="111"/>
        <v>44.906079911811325</v>
      </c>
      <c r="R532" s="4">
        <f t="shared" si="108"/>
        <v>1267.7787565588128</v>
      </c>
      <c r="S532" s="4">
        <f t="shared" si="109"/>
        <v>3046.8126809872933</v>
      </c>
      <c r="T532" s="4">
        <f t="shared" si="110"/>
        <v>8074.053604616327</v>
      </c>
      <c r="U532" s="4">
        <v>62.2</v>
      </c>
      <c r="V532" s="4">
        <v>0.64</v>
      </c>
      <c r="W532" s="4">
        <v>0</v>
      </c>
      <c r="Y532" s="4" t="s">
        <v>748</v>
      </c>
    </row>
    <row r="533" spans="1:25" x14ac:dyDescent="0.25">
      <c r="A533" s="4" t="s">
        <v>127</v>
      </c>
      <c r="B533" s="4" t="s">
        <v>128</v>
      </c>
      <c r="C533" s="4">
        <v>2</v>
      </c>
      <c r="D533" s="4">
        <v>2</v>
      </c>
      <c r="E533" s="4">
        <f t="shared" si="103"/>
        <v>4</v>
      </c>
      <c r="F533" s="4">
        <v>1129.488104</v>
      </c>
      <c r="G533" s="4">
        <v>2993.143474</v>
      </c>
      <c r="H533" s="4">
        <v>469.98000009999998</v>
      </c>
      <c r="I533" s="4">
        <v>0.46998000000000001</v>
      </c>
      <c r="J533" s="4">
        <v>4.6998E-4</v>
      </c>
      <c r="K533" s="4">
        <v>1.036127308</v>
      </c>
      <c r="L533" s="4">
        <v>1.4E-2</v>
      </c>
      <c r="M533" s="4">
        <v>3</v>
      </c>
      <c r="N533" s="4">
        <v>32.258966319999999</v>
      </c>
      <c r="O533" s="4">
        <f t="shared" si="106"/>
        <v>5.8345558428621329</v>
      </c>
      <c r="P533" s="4">
        <f t="shared" si="107"/>
        <v>22.595135883632583</v>
      </c>
      <c r="Q533" s="4">
        <f t="shared" si="111"/>
        <v>57.391645144426761</v>
      </c>
      <c r="R533" s="4">
        <f t="shared" si="108"/>
        <v>2646.5131600285458</v>
      </c>
      <c r="S533" s="4">
        <f t="shared" si="109"/>
        <v>6360.2815669996298</v>
      </c>
      <c r="T533" s="4">
        <f t="shared" si="110"/>
        <v>16854.746152549018</v>
      </c>
      <c r="U533" s="4">
        <v>62.2</v>
      </c>
      <c r="V533" s="4">
        <v>0.64</v>
      </c>
      <c r="W533" s="4">
        <v>0</v>
      </c>
    </row>
    <row r="534" spans="1:25" x14ac:dyDescent="0.25">
      <c r="A534" s="4" t="s">
        <v>127</v>
      </c>
      <c r="B534" s="4" t="s">
        <v>128</v>
      </c>
      <c r="C534" s="4">
        <v>3</v>
      </c>
      <c r="D534" s="4">
        <v>2</v>
      </c>
      <c r="E534" s="4">
        <f t="shared" si="103"/>
        <v>6</v>
      </c>
      <c r="F534" s="4">
        <v>1548.9065129999999</v>
      </c>
      <c r="G534" s="4">
        <v>4104.6022599999997</v>
      </c>
      <c r="H534" s="4">
        <v>644.50000009999997</v>
      </c>
      <c r="I534" s="4">
        <v>0.64449999999999996</v>
      </c>
      <c r="J534" s="4">
        <v>6.445E-4</v>
      </c>
      <c r="K534" s="4">
        <v>1.4208775899999999</v>
      </c>
      <c r="L534" s="4">
        <v>1.4E-2</v>
      </c>
      <c r="M534" s="4">
        <v>3</v>
      </c>
      <c r="N534" s="4">
        <v>35.839749210000001</v>
      </c>
      <c r="O534" s="4">
        <f t="shared" si="106"/>
        <v>6.9586331639951604</v>
      </c>
      <c r="P534" s="4">
        <f t="shared" si="107"/>
        <v>23.961849604856461</v>
      </c>
      <c r="Q534" s="4">
        <f t="shared" si="111"/>
        <v>60.863097996335412</v>
      </c>
      <c r="R534" s="4">
        <f t="shared" si="108"/>
        <v>3156.3866625518958</v>
      </c>
      <c r="S534" s="4">
        <f t="shared" si="109"/>
        <v>7585.6444665991248</v>
      </c>
      <c r="T534" s="4">
        <f t="shared" si="110"/>
        <v>20101.95783648768</v>
      </c>
      <c r="U534" s="4">
        <v>62.2</v>
      </c>
      <c r="V534" s="4">
        <v>0.64</v>
      </c>
      <c r="W534" s="4">
        <v>0</v>
      </c>
    </row>
    <row r="535" spans="1:25" x14ac:dyDescent="0.25">
      <c r="A535" s="4" t="s">
        <v>127</v>
      </c>
      <c r="B535" s="4" t="s">
        <v>128</v>
      </c>
      <c r="C535" s="4">
        <v>4</v>
      </c>
      <c r="D535" s="4">
        <v>2</v>
      </c>
      <c r="E535" s="4">
        <f t="shared" si="103"/>
        <v>8</v>
      </c>
      <c r="F535" s="4">
        <v>2095.4578219999999</v>
      </c>
      <c r="G535" s="4">
        <v>5552.9632300000003</v>
      </c>
      <c r="H535" s="4">
        <v>871.91999969999995</v>
      </c>
      <c r="I535" s="4">
        <v>0.87192000000000003</v>
      </c>
      <c r="J535" s="4">
        <v>8.7191999999999999E-4</v>
      </c>
      <c r="K535" s="4">
        <v>1.92225227</v>
      </c>
      <c r="L535" s="4">
        <v>1.4E-2</v>
      </c>
      <c r="M535" s="4">
        <v>3</v>
      </c>
      <c r="N535" s="4">
        <v>39.638407790000002</v>
      </c>
      <c r="O535" s="4">
        <f t="shared" si="106"/>
        <v>7.2949700542076634</v>
      </c>
      <c r="P535" s="4">
        <f t="shared" si="107"/>
        <v>24.341846998397887</v>
      </c>
      <c r="Q535" s="4">
        <f t="shared" si="111"/>
        <v>61.828291375930633</v>
      </c>
      <c r="R535" s="4">
        <f t="shared" si="108"/>
        <v>3308.9466911339205</v>
      </c>
      <c r="S535" s="4">
        <f t="shared" si="109"/>
        <v>7952.287169271619</v>
      </c>
      <c r="T535" s="4">
        <f t="shared" si="110"/>
        <v>21073.560998569788</v>
      </c>
      <c r="U535" s="4">
        <v>62.2</v>
      </c>
      <c r="V535" s="4">
        <v>0.64</v>
      </c>
      <c r="W535" s="4">
        <v>0</v>
      </c>
    </row>
    <row r="536" spans="1:25" x14ac:dyDescent="0.25">
      <c r="A536" s="4" t="s">
        <v>127</v>
      </c>
      <c r="B536" s="4" t="s">
        <v>128</v>
      </c>
      <c r="C536" s="4">
        <v>5</v>
      </c>
      <c r="D536" s="4">
        <v>2</v>
      </c>
      <c r="E536" s="4">
        <f t="shared" si="103"/>
        <v>10</v>
      </c>
      <c r="F536" s="4">
        <v>2636.890171</v>
      </c>
      <c r="G536" s="4">
        <v>6987.7589529999996</v>
      </c>
      <c r="H536" s="4">
        <v>1097.21</v>
      </c>
      <c r="I536" s="4">
        <v>1.09721</v>
      </c>
      <c r="J536" s="4">
        <v>1.0972099999999999E-3</v>
      </c>
      <c r="K536" s="4">
        <v>2.418931111</v>
      </c>
      <c r="L536" s="4">
        <v>1.4E-2</v>
      </c>
      <c r="M536" s="4">
        <v>3</v>
      </c>
      <c r="N536" s="4">
        <v>42.794429440000002</v>
      </c>
      <c r="O536" s="4">
        <f t="shared" si="106"/>
        <v>7.3903722939398016</v>
      </c>
      <c r="P536" s="4">
        <f t="shared" si="107"/>
        <v>24.447500447877395</v>
      </c>
      <c r="Q536" s="4">
        <f t="shared" si="111"/>
        <v>62.096651137608582</v>
      </c>
      <c r="R536" s="4">
        <f t="shared" si="108"/>
        <v>3352.2204706206971</v>
      </c>
      <c r="S536" s="4">
        <f t="shared" si="109"/>
        <v>8056.2856780117681</v>
      </c>
      <c r="T536" s="4">
        <f t="shared" si="110"/>
        <v>21349.157046731183</v>
      </c>
      <c r="U536" s="4">
        <v>62.2</v>
      </c>
      <c r="V536" s="4">
        <v>0.64</v>
      </c>
      <c r="W536" s="4">
        <v>0</v>
      </c>
    </row>
    <row r="537" spans="1:25" x14ac:dyDescent="0.25">
      <c r="A537" s="4" t="s">
        <v>127</v>
      </c>
      <c r="B537" s="4" t="s">
        <v>128</v>
      </c>
      <c r="C537" s="4">
        <v>6</v>
      </c>
      <c r="D537" s="4">
        <v>2</v>
      </c>
      <c r="E537" s="4">
        <f t="shared" si="103"/>
        <v>12</v>
      </c>
      <c r="F537" s="4">
        <v>2919.850997</v>
      </c>
      <c r="G537" s="4">
        <v>7737.6051429999998</v>
      </c>
      <c r="H537" s="4">
        <v>1214.95</v>
      </c>
      <c r="I537" s="4">
        <v>1.21495</v>
      </c>
      <c r="J537" s="4">
        <v>1.21495E-3</v>
      </c>
      <c r="K537" s="4">
        <v>2.678503069</v>
      </c>
      <c r="L537" s="4">
        <v>1.4E-2</v>
      </c>
      <c r="M537" s="4">
        <v>3</v>
      </c>
      <c r="N537" s="4">
        <v>44.273459269999996</v>
      </c>
      <c r="O537" s="4">
        <f t="shared" si="106"/>
        <v>7.4170446627288129</v>
      </c>
      <c r="P537" s="4">
        <f t="shared" si="107"/>
        <v>24.476876047754246</v>
      </c>
      <c r="Q537" s="4">
        <f t="shared" si="111"/>
        <v>62.171265161295786</v>
      </c>
      <c r="R537" s="4">
        <f t="shared" si="108"/>
        <v>3364.3188679812451</v>
      </c>
      <c r="S537" s="4">
        <f t="shared" si="109"/>
        <v>8085.3613746244782</v>
      </c>
      <c r="T537" s="4">
        <f t="shared" si="110"/>
        <v>21426.207642754867</v>
      </c>
      <c r="U537" s="4">
        <v>62.2</v>
      </c>
      <c r="V537" s="4">
        <v>0.64</v>
      </c>
      <c r="W537" s="4">
        <v>0</v>
      </c>
    </row>
    <row r="538" spans="1:25" x14ac:dyDescent="0.25">
      <c r="A538" s="4" t="s">
        <v>127</v>
      </c>
      <c r="B538" s="4" t="s">
        <v>128</v>
      </c>
      <c r="C538" s="4">
        <v>7</v>
      </c>
      <c r="D538" s="4">
        <v>2</v>
      </c>
      <c r="E538" s="4">
        <f t="shared" si="103"/>
        <v>14</v>
      </c>
      <c r="F538" s="4">
        <v>3445.5659700000001</v>
      </c>
      <c r="G538" s="4">
        <v>9130.7498190000006</v>
      </c>
      <c r="H538" s="4">
        <v>1433.7</v>
      </c>
      <c r="I538" s="4">
        <v>1.4337</v>
      </c>
      <c r="J538" s="4">
        <v>1.4337E-3</v>
      </c>
      <c r="K538" s="4">
        <v>3.1607636939999999</v>
      </c>
      <c r="L538" s="4">
        <v>1.4E-2</v>
      </c>
      <c r="M538" s="4">
        <v>3</v>
      </c>
      <c r="N538" s="4">
        <v>46.785371589999997</v>
      </c>
      <c r="O538" s="4">
        <f t="shared" si="106"/>
        <v>7.4244719611899264</v>
      </c>
      <c r="P538" s="4">
        <f t="shared" si="107"/>
        <v>24.485043560243199</v>
      </c>
      <c r="Q538" s="4">
        <f t="shared" si="111"/>
        <v>62.192010643017724</v>
      </c>
      <c r="R538" s="4">
        <f t="shared" si="108"/>
        <v>3367.6878378994684</v>
      </c>
      <c r="S538" s="4">
        <f t="shared" si="109"/>
        <v>8093.4579137213859</v>
      </c>
      <c r="T538" s="4">
        <f t="shared" si="110"/>
        <v>21447.663471361673</v>
      </c>
      <c r="U538" s="4">
        <v>62.2</v>
      </c>
      <c r="V538" s="4">
        <v>0.64</v>
      </c>
      <c r="W538" s="4">
        <v>0</v>
      </c>
    </row>
    <row r="539" spans="1:25" x14ac:dyDescent="0.25">
      <c r="A539" s="4" t="s">
        <v>127</v>
      </c>
      <c r="B539" s="4" t="s">
        <v>128</v>
      </c>
      <c r="C539" s="4">
        <v>8</v>
      </c>
      <c r="D539" s="4">
        <v>2</v>
      </c>
      <c r="E539" s="4">
        <f t="shared" si="103"/>
        <v>16</v>
      </c>
      <c r="F539" s="4">
        <v>3970.9204519999998</v>
      </c>
      <c r="G539" s="4">
        <v>10522.939200000001</v>
      </c>
      <c r="H539" s="4">
        <v>1652.3</v>
      </c>
      <c r="I539" s="4">
        <v>1.6523000000000001</v>
      </c>
      <c r="J539" s="4">
        <v>1.6523E-3</v>
      </c>
      <c r="K539" s="4">
        <v>3.6426936259999998</v>
      </c>
      <c r="L539" s="4">
        <v>1.4E-2</v>
      </c>
      <c r="M539" s="4">
        <v>3</v>
      </c>
      <c r="N539" s="4">
        <v>49.051650180000003</v>
      </c>
      <c r="O539" s="4">
        <f t="shared" si="106"/>
        <v>7.4265379077991023</v>
      </c>
      <c r="P539" s="4">
        <f t="shared" si="107"/>
        <v>24.487314433367043</v>
      </c>
      <c r="Q539" s="4">
        <f t="shared" si="111"/>
        <v>62.197778660752292</v>
      </c>
      <c r="R539" s="4">
        <f t="shared" si="108"/>
        <v>3368.6249366326633</v>
      </c>
      <c r="S539" s="4">
        <f t="shared" si="109"/>
        <v>8095.7100135368019</v>
      </c>
      <c r="T539" s="4">
        <f t="shared" si="110"/>
        <v>21453.631535872526</v>
      </c>
      <c r="U539" s="4">
        <v>62.2</v>
      </c>
      <c r="V539" s="4">
        <v>0.64</v>
      </c>
      <c r="W539" s="4">
        <v>0</v>
      </c>
    </row>
    <row r="540" spans="1:25" x14ac:dyDescent="0.25">
      <c r="A540" s="4" t="s">
        <v>127</v>
      </c>
      <c r="B540" s="4" t="s">
        <v>128</v>
      </c>
      <c r="C540" s="4">
        <v>9</v>
      </c>
      <c r="D540" s="4">
        <v>2</v>
      </c>
      <c r="E540" s="4">
        <f t="shared" si="103"/>
        <v>18</v>
      </c>
      <c r="F540" s="4">
        <v>4109.5890410000002</v>
      </c>
      <c r="G540" s="4">
        <v>10890.410959999999</v>
      </c>
      <c r="H540" s="4">
        <v>1710</v>
      </c>
      <c r="I540" s="4">
        <v>1.71</v>
      </c>
      <c r="J540" s="4">
        <v>1.7099999999999999E-3</v>
      </c>
      <c r="K540" s="4">
        <v>3.7699001999999999</v>
      </c>
      <c r="L540" s="4">
        <v>1.4E-2</v>
      </c>
      <c r="M540" s="4">
        <v>3</v>
      </c>
      <c r="N540" s="4">
        <v>49.616107700000001</v>
      </c>
      <c r="O540" s="4">
        <f t="shared" si="106"/>
        <v>7.4271123861016548</v>
      </c>
      <c r="P540" s="4">
        <f t="shared" si="107"/>
        <v>24.487945820800068</v>
      </c>
      <c r="Q540" s="4">
        <f t="shared" si="111"/>
        <v>62.199382384832177</v>
      </c>
      <c r="R540" s="4">
        <f t="shared" si="108"/>
        <v>3368.8855159173258</v>
      </c>
      <c r="S540" s="4">
        <f t="shared" si="109"/>
        <v>8096.3362555090762</v>
      </c>
      <c r="T540" s="4">
        <f t="shared" si="110"/>
        <v>21455.291077099053</v>
      </c>
      <c r="U540" s="4">
        <v>62.2</v>
      </c>
      <c r="V540" s="4">
        <v>0.64</v>
      </c>
      <c r="W540" s="4">
        <v>0</v>
      </c>
    </row>
    <row r="541" spans="1:25" x14ac:dyDescent="0.25">
      <c r="A541" s="4" t="s">
        <v>127</v>
      </c>
      <c r="B541" s="4" t="s">
        <v>128</v>
      </c>
      <c r="C541" s="4">
        <v>10</v>
      </c>
      <c r="D541" s="4">
        <v>2</v>
      </c>
      <c r="E541" s="4">
        <f t="shared" si="103"/>
        <v>20</v>
      </c>
      <c r="F541" s="4">
        <v>4373.9485699999996</v>
      </c>
      <c r="G541" s="4">
        <v>11590.96371</v>
      </c>
      <c r="H541" s="4">
        <v>1820</v>
      </c>
      <c r="I541" s="4">
        <v>1.82</v>
      </c>
      <c r="J541" s="4">
        <v>1.82E-3</v>
      </c>
      <c r="K541" s="4">
        <v>4.0124084</v>
      </c>
      <c r="L541" s="4">
        <v>1.4E-2</v>
      </c>
      <c r="M541" s="4">
        <v>3</v>
      </c>
      <c r="N541" s="4">
        <v>50.65797019</v>
      </c>
      <c r="O541" s="4">
        <f t="shared" si="106"/>
        <v>7.4272721177615395</v>
      </c>
      <c r="P541" s="4">
        <f t="shared" si="107"/>
        <v>24.488121370057492</v>
      </c>
      <c r="Q541" s="4">
        <f t="shared" si="111"/>
        <v>62.199828279946026</v>
      </c>
      <c r="R541" s="4">
        <f t="shared" si="108"/>
        <v>3368.9579690656619</v>
      </c>
      <c r="S541" s="4">
        <f t="shared" si="109"/>
        <v>8096.5103798742175</v>
      </c>
      <c r="T541" s="4">
        <f t="shared" si="110"/>
        <v>21455.752506666675</v>
      </c>
      <c r="U541" s="4">
        <v>62.2</v>
      </c>
      <c r="V541" s="4">
        <v>0.64</v>
      </c>
      <c r="W541" s="4">
        <v>0</v>
      </c>
    </row>
    <row r="542" spans="1:25" x14ac:dyDescent="0.25">
      <c r="A542" s="4" t="s">
        <v>129</v>
      </c>
      <c r="B542" s="4" t="s">
        <v>130</v>
      </c>
      <c r="C542" s="4">
        <v>1</v>
      </c>
      <c r="D542" s="4">
        <v>2</v>
      </c>
      <c r="E542" s="4">
        <f t="shared" si="103"/>
        <v>2</v>
      </c>
      <c r="F542" s="4">
        <v>127.5414564</v>
      </c>
      <c r="G542" s="4">
        <v>337.98485950000003</v>
      </c>
      <c r="H542" s="4">
        <v>53.070000010000001</v>
      </c>
      <c r="I542" s="4">
        <v>5.3069999999999999E-2</v>
      </c>
      <c r="J542" s="4">
        <v>5.3100000000000003E-5</v>
      </c>
      <c r="K542" s="4">
        <v>0.11699918300000001</v>
      </c>
      <c r="L542" s="4">
        <v>1.2500000000000001E-2</v>
      </c>
      <c r="M542" s="4">
        <v>2.88</v>
      </c>
      <c r="N542" s="4">
        <v>18.184487579999999</v>
      </c>
      <c r="O542" s="4">
        <f t="shared" si="106"/>
        <v>4.4702735380298265E-2</v>
      </c>
      <c r="P542" s="4">
        <f t="shared" si="107"/>
        <v>5.1260281366992722</v>
      </c>
      <c r="Q542" s="4">
        <f t="shared" si="111"/>
        <v>13.020111467216152</v>
      </c>
      <c r="R542" s="4">
        <f t="shared" si="108"/>
        <v>20.276843800880997</v>
      </c>
      <c r="S542" s="4">
        <f t="shared" si="109"/>
        <v>48.730698872581094</v>
      </c>
      <c r="T542" s="4">
        <f t="shared" si="110"/>
        <v>129.1363520123399</v>
      </c>
      <c r="U542" s="4">
        <v>158</v>
      </c>
      <c r="V542" s="4">
        <v>4.2999999999999997E-2</v>
      </c>
      <c r="W542" s="4">
        <v>0</v>
      </c>
      <c r="Y542" s="4" t="s">
        <v>749</v>
      </c>
    </row>
    <row r="543" spans="1:25" x14ac:dyDescent="0.25">
      <c r="A543" s="4" t="s">
        <v>129</v>
      </c>
      <c r="B543" s="4" t="s">
        <v>130</v>
      </c>
      <c r="C543" s="4">
        <v>2</v>
      </c>
      <c r="D543" s="4">
        <v>2</v>
      </c>
      <c r="E543" s="4">
        <f t="shared" si="103"/>
        <v>4</v>
      </c>
      <c r="F543" s="4">
        <v>347.4885845</v>
      </c>
      <c r="G543" s="4">
        <v>920.84474890000001</v>
      </c>
      <c r="H543" s="4">
        <v>144.59</v>
      </c>
      <c r="I543" s="4">
        <v>0.14459</v>
      </c>
      <c r="J543" s="4">
        <v>1.4459E-4</v>
      </c>
      <c r="K543" s="4">
        <v>0.31876600599999999</v>
      </c>
      <c r="L543" s="4">
        <v>1.2500000000000001E-2</v>
      </c>
      <c r="M543" s="4">
        <v>2.88</v>
      </c>
      <c r="N543" s="4">
        <v>25.753908039999999</v>
      </c>
      <c r="O543" s="4">
        <f t="shared" si="106"/>
        <v>0.2915234107370489</v>
      </c>
      <c r="P543" s="4">
        <f t="shared" si="107"/>
        <v>9.8296419840066989</v>
      </c>
      <c r="Q543" s="4">
        <f t="shared" si="111"/>
        <v>24.967290639377016</v>
      </c>
      <c r="R543" s="4">
        <f t="shared" si="108"/>
        <v>132.23295204481903</v>
      </c>
      <c r="S543" s="4">
        <f t="shared" si="109"/>
        <v>317.79128104979344</v>
      </c>
      <c r="T543" s="4">
        <f t="shared" si="110"/>
        <v>842.1468947819526</v>
      </c>
      <c r="U543" s="4">
        <v>158</v>
      </c>
      <c r="V543" s="4">
        <v>4.2999999999999997E-2</v>
      </c>
      <c r="W543" s="4">
        <v>0</v>
      </c>
    </row>
    <row r="544" spans="1:25" x14ac:dyDescent="0.25">
      <c r="A544" s="4" t="s">
        <v>129</v>
      </c>
      <c r="B544" s="4" t="s">
        <v>130</v>
      </c>
      <c r="C544" s="4">
        <v>3</v>
      </c>
      <c r="D544" s="4">
        <v>2</v>
      </c>
      <c r="E544" s="4">
        <f t="shared" si="103"/>
        <v>6</v>
      </c>
      <c r="F544" s="4">
        <v>732.42009129999997</v>
      </c>
      <c r="G544" s="4">
        <v>1940.9132420000001</v>
      </c>
      <c r="H544" s="4">
        <v>304.76</v>
      </c>
      <c r="I544" s="4">
        <v>0.30475999999999998</v>
      </c>
      <c r="J544" s="4">
        <v>3.0476E-4</v>
      </c>
      <c r="K544" s="4">
        <v>0.67187999099999995</v>
      </c>
      <c r="L544" s="4">
        <v>1.2500000000000001E-2</v>
      </c>
      <c r="M544" s="4">
        <v>2.88</v>
      </c>
      <c r="N544" s="4">
        <v>33.364186400000001</v>
      </c>
      <c r="O544" s="4">
        <f t="shared" si="106"/>
        <v>0.83168509193668805</v>
      </c>
      <c r="P544" s="4">
        <f t="shared" si="107"/>
        <v>14.145650916183214</v>
      </c>
      <c r="Q544" s="4">
        <f t="shared" si="111"/>
        <v>35.929953327105366</v>
      </c>
      <c r="R544" s="4">
        <f t="shared" si="108"/>
        <v>377.24646058580981</v>
      </c>
      <c r="S544" s="4">
        <f t="shared" si="109"/>
        <v>906.624514745998</v>
      </c>
      <c r="T544" s="4">
        <f t="shared" si="110"/>
        <v>2402.5549640768945</v>
      </c>
      <c r="U544" s="4">
        <v>158</v>
      </c>
      <c r="V544" s="4">
        <v>4.2999999999999997E-2</v>
      </c>
      <c r="W544" s="4">
        <v>0</v>
      </c>
    </row>
    <row r="545" spans="1:25" x14ac:dyDescent="0.25">
      <c r="A545" s="4" t="s">
        <v>129</v>
      </c>
      <c r="B545" s="4" t="s">
        <v>130</v>
      </c>
      <c r="C545" s="4">
        <v>4</v>
      </c>
      <c r="D545" s="4">
        <v>2</v>
      </c>
      <c r="E545" s="4">
        <f t="shared" si="103"/>
        <v>8</v>
      </c>
      <c r="F545" s="4">
        <v>1115.2006730000001</v>
      </c>
      <c r="G545" s="4">
        <v>2955.281782</v>
      </c>
      <c r="H545" s="4">
        <v>464.03500000000003</v>
      </c>
      <c r="I545" s="4">
        <v>0.46403499999999998</v>
      </c>
      <c r="J545" s="4">
        <v>4.6403500000000001E-4</v>
      </c>
      <c r="K545" s="4">
        <v>1.023020842</v>
      </c>
      <c r="L545" s="4">
        <v>1.2500000000000001E-2</v>
      </c>
      <c r="M545" s="4">
        <v>2.88</v>
      </c>
      <c r="N545" s="4">
        <v>38.608311409999999</v>
      </c>
      <c r="O545" s="4">
        <f t="shared" si="106"/>
        <v>1.6931421322324676</v>
      </c>
      <c r="P545" s="4">
        <f t="shared" si="107"/>
        <v>18.105995814243027</v>
      </c>
      <c r="Q545" s="4">
        <f t="shared" si="111"/>
        <v>45.989229368177291</v>
      </c>
      <c r="R545" s="4">
        <f t="shared" si="108"/>
        <v>767.99726584738755</v>
      </c>
      <c r="S545" s="4">
        <f t="shared" si="109"/>
        <v>1845.703594922825</v>
      </c>
      <c r="T545" s="4">
        <f t="shared" si="110"/>
        <v>4891.1145265454861</v>
      </c>
      <c r="U545" s="4">
        <v>158</v>
      </c>
      <c r="V545" s="4">
        <v>4.2999999999999997E-2</v>
      </c>
      <c r="W545" s="4">
        <v>0</v>
      </c>
    </row>
    <row r="546" spans="1:25" x14ac:dyDescent="0.25">
      <c r="A546" s="4" t="s">
        <v>129</v>
      </c>
      <c r="B546" s="4" t="s">
        <v>130</v>
      </c>
      <c r="C546" s="4">
        <v>5</v>
      </c>
      <c r="D546" s="4">
        <v>2</v>
      </c>
      <c r="E546" s="4">
        <f t="shared" si="103"/>
        <v>10</v>
      </c>
      <c r="F546" s="4">
        <v>1550.4325879999999</v>
      </c>
      <c r="G546" s="4">
        <v>4108.6463590000003</v>
      </c>
      <c r="H546" s="4">
        <v>645.13499990000003</v>
      </c>
      <c r="I546" s="4">
        <v>0.64513500000000001</v>
      </c>
      <c r="J546" s="4">
        <v>6.4513500000000002E-4</v>
      </c>
      <c r="K546" s="4">
        <v>1.422277523</v>
      </c>
      <c r="L546" s="4">
        <v>1.2500000000000001E-2</v>
      </c>
      <c r="M546" s="4">
        <v>2.88</v>
      </c>
      <c r="N546" s="4">
        <v>43.288073740000002</v>
      </c>
      <c r="O546" s="4">
        <f t="shared" si="106"/>
        <v>2.8672891874892144</v>
      </c>
      <c r="P546" s="4">
        <f t="shared" si="107"/>
        <v>21.739985446344871</v>
      </c>
      <c r="Q546" s="4">
        <f t="shared" si="111"/>
        <v>55.219563033715971</v>
      </c>
      <c r="R546" s="4">
        <f t="shared" si="108"/>
        <v>1300.5820447465842</v>
      </c>
      <c r="S546" s="4">
        <f t="shared" si="109"/>
        <v>3125.6477883840048</v>
      </c>
      <c r="T546" s="4">
        <f t="shared" si="110"/>
        <v>8282.9666392176132</v>
      </c>
      <c r="U546" s="4">
        <v>158</v>
      </c>
      <c r="V546" s="4">
        <v>4.2999999999999997E-2</v>
      </c>
      <c r="W546" s="4">
        <v>0</v>
      </c>
    </row>
    <row r="547" spans="1:25" x14ac:dyDescent="0.25">
      <c r="A547" s="4" t="s">
        <v>129</v>
      </c>
      <c r="B547" s="4" t="s">
        <v>130</v>
      </c>
      <c r="C547" s="4">
        <v>6</v>
      </c>
      <c r="D547" s="4">
        <v>2</v>
      </c>
      <c r="E547" s="4">
        <f t="shared" si="103"/>
        <v>12</v>
      </c>
      <c r="F547" s="4">
        <v>1976.4359529999999</v>
      </c>
      <c r="G547" s="4">
        <v>5237.5552749999997</v>
      </c>
      <c r="H547" s="4">
        <v>822.39499999999998</v>
      </c>
      <c r="I547" s="4">
        <v>0.82239499999999999</v>
      </c>
      <c r="J547" s="4">
        <v>8.2239499999999996E-4</v>
      </c>
      <c r="K547" s="4">
        <v>1.813068465</v>
      </c>
      <c r="L547" s="4">
        <v>1.2500000000000001E-2</v>
      </c>
      <c r="M547" s="4">
        <v>2.88</v>
      </c>
      <c r="N547" s="4">
        <v>47.095113740000002</v>
      </c>
      <c r="O547" s="4">
        <f t="shared" si="106"/>
        <v>4.3246851796066172</v>
      </c>
      <c r="P547" s="4">
        <f t="shared" si="107"/>
        <v>25.074513369075369</v>
      </c>
      <c r="Q547" s="4">
        <f t="shared" si="111"/>
        <v>63.689263957451438</v>
      </c>
      <c r="R547" s="4">
        <f t="shared" si="108"/>
        <v>1961.6465330109577</v>
      </c>
      <c r="S547" s="4">
        <f t="shared" si="109"/>
        <v>4714.3632131962449</v>
      </c>
      <c r="T547" s="4">
        <f t="shared" si="110"/>
        <v>12493.062514970048</v>
      </c>
      <c r="U547" s="4">
        <v>158</v>
      </c>
      <c r="V547" s="4">
        <v>4.2999999999999997E-2</v>
      </c>
      <c r="W547" s="4">
        <v>0</v>
      </c>
    </row>
    <row r="548" spans="1:25" x14ac:dyDescent="0.25">
      <c r="A548" s="4" t="s">
        <v>129</v>
      </c>
      <c r="B548" s="4" t="s">
        <v>130</v>
      </c>
      <c r="C548" s="4">
        <v>7</v>
      </c>
      <c r="D548" s="4">
        <v>2</v>
      </c>
      <c r="E548" s="4">
        <f t="shared" si="103"/>
        <v>14</v>
      </c>
      <c r="F548" s="4">
        <v>2275.6669069999998</v>
      </c>
      <c r="G548" s="4">
        <v>6030.517304</v>
      </c>
      <c r="H548" s="4">
        <v>946.90499999999997</v>
      </c>
      <c r="I548" s="4">
        <v>0.946905</v>
      </c>
      <c r="J548" s="4">
        <v>9.4690499999999995E-4</v>
      </c>
      <c r="K548" s="4">
        <v>2.0875657009999999</v>
      </c>
      <c r="L548" s="4">
        <v>1.2500000000000001E-2</v>
      </c>
      <c r="M548" s="4">
        <v>2.88</v>
      </c>
      <c r="N548" s="4">
        <v>49.457807510000002</v>
      </c>
      <c r="O548" s="4">
        <f t="shared" si="106"/>
        <v>6.0250819002095559</v>
      </c>
      <c r="P548" s="4">
        <f t="shared" si="107"/>
        <v>28.134256954815374</v>
      </c>
      <c r="Q548" s="4">
        <f t="shared" si="111"/>
        <v>71.461012665231053</v>
      </c>
      <c r="R548" s="4">
        <f t="shared" si="108"/>
        <v>2732.9344287040649</v>
      </c>
      <c r="S548" s="4">
        <f t="shared" si="109"/>
        <v>6567.9750749917439</v>
      </c>
      <c r="T548" s="4">
        <f t="shared" si="110"/>
        <v>17405.133948728122</v>
      </c>
      <c r="U548" s="4">
        <v>158</v>
      </c>
      <c r="V548" s="4">
        <v>4.2999999999999997E-2</v>
      </c>
      <c r="W548" s="4">
        <v>0</v>
      </c>
    </row>
    <row r="549" spans="1:25" x14ac:dyDescent="0.25">
      <c r="A549" s="4" t="s">
        <v>129</v>
      </c>
      <c r="B549" s="4" t="s">
        <v>130</v>
      </c>
      <c r="C549" s="4">
        <v>8</v>
      </c>
      <c r="D549" s="4">
        <v>2</v>
      </c>
      <c r="E549" s="4">
        <f t="shared" si="103"/>
        <v>16</v>
      </c>
      <c r="F549" s="4">
        <v>2451.3338140000001</v>
      </c>
      <c r="G549" s="4">
        <v>6496.0346079999999</v>
      </c>
      <c r="H549" s="4">
        <v>1020</v>
      </c>
      <c r="I549" s="4">
        <v>1.02</v>
      </c>
      <c r="J549" s="4">
        <v>1.0200000000000001E-3</v>
      </c>
      <c r="K549" s="4">
        <v>2.2487124000000001</v>
      </c>
      <c r="L549" s="4">
        <v>1.2500000000000001E-2</v>
      </c>
      <c r="M549" s="4">
        <v>2.88</v>
      </c>
      <c r="N549" s="4">
        <v>50.751393550000003</v>
      </c>
      <c r="O549" s="4">
        <f t="shared" si="106"/>
        <v>7.9238918771271942</v>
      </c>
      <c r="P549" s="4">
        <f t="shared" si="107"/>
        <v>30.941860018103274</v>
      </c>
      <c r="Q549" s="4">
        <f t="shared" si="111"/>
        <v>78.592324445982314</v>
      </c>
      <c r="R549" s="4">
        <f t="shared" si="108"/>
        <v>3594.2211705995564</v>
      </c>
      <c r="S549" s="4">
        <f t="shared" si="109"/>
        <v>8637.8783239595214</v>
      </c>
      <c r="T549" s="4">
        <f t="shared" si="110"/>
        <v>22890.377558492732</v>
      </c>
      <c r="U549" s="4">
        <v>158</v>
      </c>
      <c r="V549" s="4">
        <v>4.2999999999999997E-2</v>
      </c>
      <c r="W549" s="4">
        <v>0</v>
      </c>
    </row>
    <row r="550" spans="1:25" x14ac:dyDescent="0.25">
      <c r="A550" s="4" t="s">
        <v>129</v>
      </c>
      <c r="B550" s="4" t="s">
        <v>130</v>
      </c>
      <c r="C550" s="4">
        <v>9</v>
      </c>
      <c r="D550" s="4">
        <v>2</v>
      </c>
      <c r="E550" s="4">
        <f t="shared" si="103"/>
        <v>18</v>
      </c>
      <c r="F550" s="4">
        <v>2643.5952900000002</v>
      </c>
      <c r="G550" s="4">
        <v>7005.5275179999999</v>
      </c>
      <c r="H550" s="4">
        <v>1100</v>
      </c>
      <c r="I550" s="4">
        <v>1.1000000000000001</v>
      </c>
      <c r="J550" s="4">
        <v>1.1000000000000001E-3</v>
      </c>
      <c r="K550" s="4">
        <v>2.4250820000000002</v>
      </c>
      <c r="L550" s="4">
        <v>1.2500000000000001E-2</v>
      </c>
      <c r="M550" s="4">
        <v>2.88</v>
      </c>
      <c r="N550" s="4">
        <v>52.099584669999999</v>
      </c>
      <c r="O550" s="4">
        <f t="shared" si="106"/>
        <v>9.9763005497434492</v>
      </c>
      <c r="P550" s="4">
        <f t="shared" si="107"/>
        <v>33.518100392532268</v>
      </c>
      <c r="Q550" s="4">
        <f t="shared" si="111"/>
        <v>85.135974997031965</v>
      </c>
      <c r="R550" s="4">
        <f t="shared" si="108"/>
        <v>4525.1791917625033</v>
      </c>
      <c r="S550" s="4">
        <f t="shared" si="109"/>
        <v>10875.220359919498</v>
      </c>
      <c r="T550" s="4">
        <f t="shared" si="110"/>
        <v>28819.33395378667</v>
      </c>
      <c r="U550" s="4">
        <v>158</v>
      </c>
      <c r="V550" s="4">
        <v>4.2999999999999997E-2</v>
      </c>
      <c r="W550" s="4">
        <v>0</v>
      </c>
    </row>
    <row r="551" spans="1:25" x14ac:dyDescent="0.25">
      <c r="A551" s="4" t="s">
        <v>129</v>
      </c>
      <c r="B551" s="4" t="s">
        <v>130</v>
      </c>
      <c r="C551" s="4">
        <v>10</v>
      </c>
      <c r="D551" s="4">
        <v>2</v>
      </c>
      <c r="E551" s="4">
        <f t="shared" si="103"/>
        <v>20</v>
      </c>
      <c r="F551" s="4">
        <v>3076.18361</v>
      </c>
      <c r="G551" s="4">
        <v>8151.8865660000001</v>
      </c>
      <c r="H551" s="4">
        <v>1280</v>
      </c>
      <c r="I551" s="4">
        <v>1.28</v>
      </c>
      <c r="J551" s="4">
        <v>1.2800000000000001E-3</v>
      </c>
      <c r="K551" s="4">
        <v>2.8219135999999998</v>
      </c>
      <c r="L551" s="4">
        <v>1.2500000000000001E-2</v>
      </c>
      <c r="M551" s="4">
        <v>2.88</v>
      </c>
      <c r="N551" s="4">
        <v>54.91455706</v>
      </c>
      <c r="O551" s="4">
        <f t="shared" si="106"/>
        <v>12.139788251601704</v>
      </c>
      <c r="P551" s="4">
        <f t="shared" si="107"/>
        <v>35.882043698344752</v>
      </c>
      <c r="Q551" s="4">
        <f t="shared" si="111"/>
        <v>91.140390993795677</v>
      </c>
      <c r="R551" s="4">
        <f t="shared" si="108"/>
        <v>5506.5218729766148</v>
      </c>
      <c r="S551" s="4">
        <f t="shared" si="109"/>
        <v>13233.650259496793</v>
      </c>
      <c r="T551" s="4">
        <f t="shared" si="110"/>
        <v>35069.1731876665</v>
      </c>
      <c r="U551" s="4">
        <v>158</v>
      </c>
      <c r="V551" s="4">
        <v>4.2999999999999997E-2</v>
      </c>
      <c r="W551" s="4">
        <v>0</v>
      </c>
    </row>
    <row r="552" spans="1:25" x14ac:dyDescent="0.25">
      <c r="A552" s="4" t="s">
        <v>131</v>
      </c>
      <c r="B552" s="4" t="s">
        <v>132</v>
      </c>
      <c r="C552" s="4">
        <v>1</v>
      </c>
      <c r="D552" s="4">
        <v>2</v>
      </c>
      <c r="E552" s="4">
        <f t="shared" si="103"/>
        <v>2</v>
      </c>
      <c r="F552" s="4">
        <v>476.02739730000002</v>
      </c>
      <c r="G552" s="4">
        <v>1261.4726029999999</v>
      </c>
      <c r="H552" s="4">
        <v>198.07499999999999</v>
      </c>
      <c r="I552" s="4">
        <v>0.198075</v>
      </c>
      <c r="J552" s="4">
        <v>1.98075E-4</v>
      </c>
      <c r="K552" s="4">
        <v>0.43668010699999998</v>
      </c>
      <c r="L552" s="4">
        <v>1.4E-2</v>
      </c>
      <c r="M552" s="4">
        <v>2.9</v>
      </c>
      <c r="N552" s="4">
        <v>26.99457061</v>
      </c>
      <c r="O552" s="4">
        <f t="shared" si="106"/>
        <v>8.0479844273819684E-2</v>
      </c>
      <c r="P552" s="4">
        <f t="shared" si="107"/>
        <v>5.9316432662091669</v>
      </c>
      <c r="Q552" s="4">
        <f t="shared" si="111"/>
        <v>15.066373896171283</v>
      </c>
      <c r="R552" s="4">
        <f t="shared" si="108"/>
        <v>36.505086715089078</v>
      </c>
      <c r="S552" s="4">
        <f t="shared" si="109"/>
        <v>87.731522987476765</v>
      </c>
      <c r="T552" s="4">
        <f t="shared" si="110"/>
        <v>232.48853591681342</v>
      </c>
      <c r="U552" s="4">
        <v>45.7</v>
      </c>
      <c r="V552" s="4">
        <v>0.2</v>
      </c>
      <c r="W552" s="4">
        <v>0</v>
      </c>
      <c r="Y552" s="4" t="s">
        <v>728</v>
      </c>
    </row>
    <row r="553" spans="1:25" x14ac:dyDescent="0.25">
      <c r="A553" s="4" t="s">
        <v>131</v>
      </c>
      <c r="B553" s="4" t="s">
        <v>132</v>
      </c>
      <c r="C553" s="4">
        <v>2</v>
      </c>
      <c r="D553" s="4">
        <v>2</v>
      </c>
      <c r="E553" s="4">
        <f t="shared" si="103"/>
        <v>4</v>
      </c>
      <c r="F553" s="4">
        <v>1129.488104</v>
      </c>
      <c r="G553" s="4">
        <v>2993.143474</v>
      </c>
      <c r="H553" s="4">
        <v>469.98000009999998</v>
      </c>
      <c r="I553" s="4">
        <v>0.46998000000000001</v>
      </c>
      <c r="J553" s="4">
        <v>4.6998E-4</v>
      </c>
      <c r="K553" s="4">
        <v>1.036127308</v>
      </c>
      <c r="L553" s="4">
        <v>1.4E-2</v>
      </c>
      <c r="M553" s="4">
        <v>2.9</v>
      </c>
      <c r="N553" s="4">
        <v>36.364102760000002</v>
      </c>
      <c r="O553" s="4">
        <f t="shared" si="106"/>
        <v>0.35629213680593108</v>
      </c>
      <c r="P553" s="4">
        <f t="shared" si="107"/>
        <v>9.9077426534814865</v>
      </c>
      <c r="Q553" s="4">
        <f t="shared" si="111"/>
        <v>25.165666339842975</v>
      </c>
      <c r="R553" s="4">
        <f t="shared" si="108"/>
        <v>161.61158694284325</v>
      </c>
      <c r="S553" s="4">
        <f t="shared" si="109"/>
        <v>388.39602725989727</v>
      </c>
      <c r="T553" s="4">
        <f t="shared" si="110"/>
        <v>1029.2494722387278</v>
      </c>
      <c r="U553" s="4">
        <v>45.7</v>
      </c>
      <c r="V553" s="4">
        <v>0.2</v>
      </c>
      <c r="W553" s="4">
        <v>0</v>
      </c>
    </row>
    <row r="554" spans="1:25" x14ac:dyDescent="0.25">
      <c r="A554" s="4" t="s">
        <v>131</v>
      </c>
      <c r="B554" s="4" t="s">
        <v>132</v>
      </c>
      <c r="C554" s="4">
        <v>3</v>
      </c>
      <c r="D554" s="4">
        <v>2</v>
      </c>
      <c r="E554" s="4">
        <f t="shared" si="103"/>
        <v>6</v>
      </c>
      <c r="F554" s="4">
        <v>1548.9065129999999</v>
      </c>
      <c r="G554" s="4">
        <v>4104.6022599999997</v>
      </c>
      <c r="H554" s="4">
        <v>644.50000009999997</v>
      </c>
      <c r="I554" s="4">
        <v>0.64449999999999996</v>
      </c>
      <c r="J554" s="4">
        <v>6.445E-4</v>
      </c>
      <c r="K554" s="4">
        <v>1.4208775899999999</v>
      </c>
      <c r="L554" s="4">
        <v>1.4E-2</v>
      </c>
      <c r="M554" s="4">
        <v>2.9</v>
      </c>
      <c r="N554" s="4">
        <v>40.547469309999997</v>
      </c>
      <c r="O554" s="4">
        <f t="shared" si="106"/>
        <v>0.71097215166475058</v>
      </c>
      <c r="P554" s="4">
        <f t="shared" si="107"/>
        <v>12.573001777800146</v>
      </c>
      <c r="Q554" s="4">
        <f t="shared" si="111"/>
        <v>31.935424515612372</v>
      </c>
      <c r="R554" s="4">
        <f t="shared" si="108"/>
        <v>322.49192680133109</v>
      </c>
      <c r="S554" s="4">
        <f t="shared" si="109"/>
        <v>775.03467147640254</v>
      </c>
      <c r="T554" s="4">
        <f t="shared" si="110"/>
        <v>2053.8418794124668</v>
      </c>
      <c r="U554" s="4">
        <v>45.7</v>
      </c>
      <c r="V554" s="4">
        <v>0.2</v>
      </c>
      <c r="W554" s="4">
        <v>0</v>
      </c>
    </row>
    <row r="555" spans="1:25" x14ac:dyDescent="0.25">
      <c r="A555" s="4" t="s">
        <v>131</v>
      </c>
      <c r="B555" s="4" t="s">
        <v>132</v>
      </c>
      <c r="C555" s="4">
        <v>4</v>
      </c>
      <c r="D555" s="4">
        <v>2</v>
      </c>
      <c r="E555" s="4">
        <f t="shared" si="103"/>
        <v>8</v>
      </c>
      <c r="F555" s="4">
        <v>2095.4578219999999</v>
      </c>
      <c r="G555" s="4">
        <v>5552.9632300000003</v>
      </c>
      <c r="H555" s="4">
        <v>871.91999969999995</v>
      </c>
      <c r="I555" s="4">
        <v>0.87192000000000003</v>
      </c>
      <c r="J555" s="4">
        <v>8.7191999999999999E-4</v>
      </c>
      <c r="K555" s="4">
        <v>1.92225227</v>
      </c>
      <c r="L555" s="4">
        <v>1.4E-2</v>
      </c>
      <c r="M555" s="4">
        <v>2.9</v>
      </c>
      <c r="N555" s="4">
        <v>45.001154579999998</v>
      </c>
      <c r="O555" s="4">
        <f t="shared" si="106"/>
        <v>1.0451784700884894</v>
      </c>
      <c r="P555" s="4">
        <f t="shared" si="107"/>
        <v>14.359578396710337</v>
      </c>
      <c r="Q555" s="4">
        <f t="shared" si="111"/>
        <v>36.473329127644256</v>
      </c>
      <c r="R555" s="4">
        <f t="shared" si="108"/>
        <v>474.0855431269286</v>
      </c>
      <c r="S555" s="4">
        <f t="shared" si="109"/>
        <v>1139.3548260680811</v>
      </c>
      <c r="T555" s="4">
        <f t="shared" si="110"/>
        <v>3019.2902890804148</v>
      </c>
      <c r="U555" s="4">
        <v>45.7</v>
      </c>
      <c r="V555" s="4">
        <v>0.2</v>
      </c>
      <c r="W555" s="4">
        <v>0</v>
      </c>
    </row>
    <row r="556" spans="1:25" x14ac:dyDescent="0.25">
      <c r="A556" s="4" t="s">
        <v>131</v>
      </c>
      <c r="B556" s="4" t="s">
        <v>132</v>
      </c>
      <c r="C556" s="4">
        <v>5</v>
      </c>
      <c r="D556" s="4">
        <v>2</v>
      </c>
      <c r="E556" s="4">
        <f t="shared" si="103"/>
        <v>10</v>
      </c>
      <c r="F556" s="4">
        <v>2636.890171</v>
      </c>
      <c r="G556" s="4">
        <v>6987.7589529999996</v>
      </c>
      <c r="H556" s="4">
        <v>1097.21</v>
      </c>
      <c r="I556" s="4">
        <v>1.09721</v>
      </c>
      <c r="J556" s="4">
        <v>1.0972099999999999E-3</v>
      </c>
      <c r="K556" s="4">
        <v>2.418931111</v>
      </c>
      <c r="L556" s="4">
        <v>1.4E-2</v>
      </c>
      <c r="M556" s="4">
        <v>2.9</v>
      </c>
      <c r="N556" s="4">
        <v>48.712674319999998</v>
      </c>
      <c r="O556" s="4">
        <f t="shared" si="106"/>
        <v>1.3184910861486607</v>
      </c>
      <c r="P556" s="4">
        <f t="shared" si="107"/>
        <v>15.557156518144412</v>
      </c>
      <c r="Q556" s="4">
        <f t="shared" si="111"/>
        <v>39.515177556086805</v>
      </c>
      <c r="R556" s="4">
        <f t="shared" si="108"/>
        <v>598.05820783112767</v>
      </c>
      <c r="S556" s="4">
        <f t="shared" si="109"/>
        <v>1437.2944192048249</v>
      </c>
      <c r="T556" s="4">
        <f t="shared" si="110"/>
        <v>3808.8302108927855</v>
      </c>
      <c r="U556" s="4">
        <v>45.7</v>
      </c>
      <c r="V556" s="4">
        <v>0.2</v>
      </c>
      <c r="W556" s="4">
        <v>0</v>
      </c>
    </row>
    <row r="557" spans="1:25" x14ac:dyDescent="0.25">
      <c r="A557" s="4" t="s">
        <v>131</v>
      </c>
      <c r="B557" s="4" t="s">
        <v>132</v>
      </c>
      <c r="C557" s="4">
        <v>6</v>
      </c>
      <c r="D557" s="4">
        <v>2</v>
      </c>
      <c r="E557" s="4">
        <f t="shared" si="103"/>
        <v>12</v>
      </c>
      <c r="F557" s="4">
        <v>2919.850997</v>
      </c>
      <c r="G557" s="4">
        <v>7737.6051429999998</v>
      </c>
      <c r="H557" s="4">
        <v>1214.95</v>
      </c>
      <c r="I557" s="4">
        <v>1.21495</v>
      </c>
      <c r="J557" s="4">
        <v>1.21495E-3</v>
      </c>
      <c r="K557" s="4">
        <v>2.678503069</v>
      </c>
      <c r="L557" s="4">
        <v>1.4E-2</v>
      </c>
      <c r="M557" s="4">
        <v>2.9</v>
      </c>
      <c r="N557" s="4">
        <v>50.45532687</v>
      </c>
      <c r="O557" s="4">
        <f t="shared" si="106"/>
        <v>1.5256142830221278</v>
      </c>
      <c r="P557" s="4">
        <f t="shared" si="107"/>
        <v>16.359917139635375</v>
      </c>
      <c r="Q557" s="4">
        <f t="shared" si="111"/>
        <v>41.554189534673853</v>
      </c>
      <c r="R557" s="4">
        <f t="shared" si="108"/>
        <v>692.00782131257438</v>
      </c>
      <c r="S557" s="4">
        <f t="shared" si="109"/>
        <v>1663.0805607127479</v>
      </c>
      <c r="T557" s="4">
        <f t="shared" si="110"/>
        <v>4407.1634858887819</v>
      </c>
      <c r="U557" s="4">
        <v>45.7</v>
      </c>
      <c r="V557" s="4">
        <v>0.2</v>
      </c>
      <c r="W557" s="4">
        <v>0</v>
      </c>
    </row>
    <row r="558" spans="1:25" x14ac:dyDescent="0.25">
      <c r="A558" s="4" t="s">
        <v>131</v>
      </c>
      <c r="B558" s="4" t="s">
        <v>132</v>
      </c>
      <c r="C558" s="4">
        <v>7</v>
      </c>
      <c r="D558" s="4">
        <v>2</v>
      </c>
      <c r="E558" s="4">
        <f t="shared" si="103"/>
        <v>14</v>
      </c>
      <c r="F558" s="4">
        <v>3445.5659700000001</v>
      </c>
      <c r="G558" s="4">
        <v>9130.7498190000006</v>
      </c>
      <c r="H558" s="4">
        <v>1433.7</v>
      </c>
      <c r="I558" s="4">
        <v>1.4337</v>
      </c>
      <c r="J558" s="4">
        <v>1.4337E-3</v>
      </c>
      <c r="K558" s="4">
        <v>3.1607636939999999</v>
      </c>
      <c r="L558" s="4">
        <v>1.4E-2</v>
      </c>
      <c r="M558" s="4">
        <v>2.9</v>
      </c>
      <c r="N558" s="4">
        <v>53.419532879999998</v>
      </c>
      <c r="O558" s="4">
        <f t="shared" si="106"/>
        <v>1.6757287015856983</v>
      </c>
      <c r="P558" s="4">
        <f t="shared" si="107"/>
        <v>16.898023676388796</v>
      </c>
      <c r="Q558" s="4">
        <f t="shared" si="111"/>
        <v>42.920980138027545</v>
      </c>
      <c r="R558" s="4">
        <f t="shared" si="108"/>
        <v>760.09865717706373</v>
      </c>
      <c r="S558" s="4">
        <f t="shared" si="109"/>
        <v>1826.7211179453586</v>
      </c>
      <c r="T558" s="4">
        <f t="shared" si="110"/>
        <v>4840.8109625552006</v>
      </c>
      <c r="U558" s="4">
        <v>45.7</v>
      </c>
      <c r="V558" s="4">
        <v>0.2</v>
      </c>
      <c r="W558" s="4">
        <v>0</v>
      </c>
    </row>
    <row r="559" spans="1:25" x14ac:dyDescent="0.25">
      <c r="A559" s="4" t="s">
        <v>131</v>
      </c>
      <c r="B559" s="4" t="s">
        <v>132</v>
      </c>
      <c r="C559" s="4">
        <v>8</v>
      </c>
      <c r="D559" s="4">
        <v>2</v>
      </c>
      <c r="E559" s="4">
        <f t="shared" si="103"/>
        <v>16</v>
      </c>
      <c r="F559" s="4">
        <v>3970.9204519999998</v>
      </c>
      <c r="G559" s="4">
        <v>10522.939200000001</v>
      </c>
      <c r="H559" s="4">
        <v>1652.3</v>
      </c>
      <c r="I559" s="4">
        <v>1.6523000000000001</v>
      </c>
      <c r="J559" s="4">
        <v>1.6523E-3</v>
      </c>
      <c r="K559" s="4">
        <v>3.6426936259999998</v>
      </c>
      <c r="L559" s="4">
        <v>1.4E-2</v>
      </c>
      <c r="M559" s="4">
        <v>2.9</v>
      </c>
      <c r="N559" s="4">
        <v>56.098600009999998</v>
      </c>
      <c r="O559" s="4">
        <f t="shared" si="106"/>
        <v>1.7815785625344518</v>
      </c>
      <c r="P559" s="4">
        <f t="shared" si="107"/>
        <v>17.258727274877426</v>
      </c>
      <c r="Q559" s="4">
        <f t="shared" si="111"/>
        <v>43.837167278188666</v>
      </c>
      <c r="R559" s="4">
        <f t="shared" si="108"/>
        <v>808.11140356816679</v>
      </c>
      <c r="S559" s="4">
        <f t="shared" si="109"/>
        <v>1942.1086363089805</v>
      </c>
      <c r="T559" s="4">
        <f t="shared" si="110"/>
        <v>5146.5878862187983</v>
      </c>
      <c r="U559" s="4">
        <v>45.7</v>
      </c>
      <c r="V559" s="4">
        <v>0.2</v>
      </c>
      <c r="W559" s="4">
        <v>0</v>
      </c>
    </row>
    <row r="560" spans="1:25" x14ac:dyDescent="0.25">
      <c r="A560" s="4" t="s">
        <v>131</v>
      </c>
      <c r="B560" s="4" t="s">
        <v>132</v>
      </c>
      <c r="C560" s="4">
        <v>9</v>
      </c>
      <c r="D560" s="4">
        <v>2</v>
      </c>
      <c r="E560" s="4">
        <f t="shared" si="103"/>
        <v>18</v>
      </c>
      <c r="F560" s="4">
        <v>4109.5890410000002</v>
      </c>
      <c r="G560" s="4">
        <v>10890.410959999999</v>
      </c>
      <c r="H560" s="4">
        <v>1710</v>
      </c>
      <c r="I560" s="4">
        <v>1.71</v>
      </c>
      <c r="J560" s="4">
        <v>1.7099999999999999E-3</v>
      </c>
      <c r="K560" s="4">
        <v>3.7699001999999999</v>
      </c>
      <c r="L560" s="4">
        <v>1.4E-2</v>
      </c>
      <c r="M560" s="4">
        <v>2.9</v>
      </c>
      <c r="N560" s="4">
        <v>56.766542010000002</v>
      </c>
      <c r="O560" s="4">
        <f t="shared" si="106"/>
        <v>1.8549273239369155</v>
      </c>
      <c r="P560" s="4">
        <f t="shared" si="107"/>
        <v>17.50051412762155</v>
      </c>
      <c r="Q560" s="4">
        <f t="shared" si="111"/>
        <v>44.451305884158735</v>
      </c>
      <c r="R560" s="4">
        <f t="shared" si="108"/>
        <v>841.38188165621079</v>
      </c>
      <c r="S560" s="4">
        <f t="shared" si="109"/>
        <v>2022.0665264508791</v>
      </c>
      <c r="T560" s="4">
        <f t="shared" si="110"/>
        <v>5358.4762950948298</v>
      </c>
      <c r="U560" s="4">
        <v>45.7</v>
      </c>
      <c r="V560" s="4">
        <v>0.2</v>
      </c>
      <c r="W560" s="4">
        <v>0</v>
      </c>
    </row>
    <row r="561" spans="1:25" x14ac:dyDescent="0.25">
      <c r="A561" s="4" t="s">
        <v>131</v>
      </c>
      <c r="B561" s="4" t="s">
        <v>132</v>
      </c>
      <c r="C561" s="4">
        <v>10</v>
      </c>
      <c r="D561" s="4">
        <v>2</v>
      </c>
      <c r="E561" s="4">
        <f t="shared" si="103"/>
        <v>20</v>
      </c>
      <c r="F561" s="4">
        <v>4373.9485699999996</v>
      </c>
      <c r="G561" s="4">
        <v>11590.96371</v>
      </c>
      <c r="H561" s="4">
        <v>1820</v>
      </c>
      <c r="I561" s="4">
        <v>1.82</v>
      </c>
      <c r="J561" s="4">
        <v>1.82E-3</v>
      </c>
      <c r="K561" s="4">
        <v>4.0124084</v>
      </c>
      <c r="L561" s="4">
        <v>1.4E-2</v>
      </c>
      <c r="M561" s="4">
        <v>2.9</v>
      </c>
      <c r="N561" s="4">
        <v>58.000099980000002</v>
      </c>
      <c r="O561" s="4">
        <f t="shared" si="106"/>
        <v>1.9051851552504522</v>
      </c>
      <c r="P561" s="4">
        <f t="shared" si="107"/>
        <v>17.662588701883799</v>
      </c>
      <c r="Q561" s="4">
        <f t="shared" si="111"/>
        <v>44.862975302784847</v>
      </c>
      <c r="R561" s="4">
        <f t="shared" si="108"/>
        <v>864.17847758364348</v>
      </c>
      <c r="S561" s="4">
        <f t="shared" si="109"/>
        <v>2076.8528660986385</v>
      </c>
      <c r="T561" s="4">
        <f t="shared" si="110"/>
        <v>5503.6600951613918</v>
      </c>
      <c r="U561" s="4">
        <v>45.7</v>
      </c>
      <c r="V561" s="4">
        <v>0.2</v>
      </c>
      <c r="W561" s="4">
        <v>0</v>
      </c>
    </row>
    <row r="562" spans="1:25" x14ac:dyDescent="0.25">
      <c r="A562" s="4" t="s">
        <v>133</v>
      </c>
      <c r="B562" s="4" t="s">
        <v>134</v>
      </c>
      <c r="C562" s="4">
        <v>1</v>
      </c>
      <c r="D562" s="4">
        <v>3</v>
      </c>
      <c r="E562" s="4">
        <f t="shared" si="103"/>
        <v>3</v>
      </c>
      <c r="F562" s="4">
        <v>350</v>
      </c>
      <c r="G562" s="4">
        <v>927.5</v>
      </c>
      <c r="H562" s="4">
        <v>145.63499999999999</v>
      </c>
      <c r="I562" s="4">
        <v>0.14563499999999999</v>
      </c>
      <c r="J562" s="4">
        <v>1.45635E-4</v>
      </c>
      <c r="K562" s="4">
        <v>0.321069834</v>
      </c>
      <c r="L562" s="4">
        <v>1.2699999999999999E-2</v>
      </c>
      <c r="M562" s="4">
        <v>3.1</v>
      </c>
      <c r="N562" s="4">
        <v>20.394068969999999</v>
      </c>
      <c r="O562" s="4">
        <f t="shared" si="106"/>
        <v>1.0132493897372563</v>
      </c>
      <c r="P562" s="4">
        <f t="shared" si="107"/>
        <v>11.632568048143371</v>
      </c>
      <c r="Q562" s="4">
        <f t="shared" si="111"/>
        <v>29.546722842284161</v>
      </c>
      <c r="R562" s="4">
        <f t="shared" si="108"/>
        <v>459.60273867480845</v>
      </c>
      <c r="S562" s="4">
        <f t="shared" si="109"/>
        <v>1104.5487591319595</v>
      </c>
      <c r="T562" s="4">
        <f t="shared" si="110"/>
        <v>2927.0542116996926</v>
      </c>
      <c r="U562" s="4">
        <v>114</v>
      </c>
      <c r="V562" s="4">
        <v>0.1</v>
      </c>
      <c r="W562" s="4">
        <v>0</v>
      </c>
      <c r="Y562" s="4" t="s">
        <v>728</v>
      </c>
    </row>
    <row r="563" spans="1:25" x14ac:dyDescent="0.25">
      <c r="A563" s="4" t="s">
        <v>133</v>
      </c>
      <c r="B563" s="4" t="s">
        <v>134</v>
      </c>
      <c r="C563" s="4">
        <v>2</v>
      </c>
      <c r="D563" s="4">
        <v>3</v>
      </c>
      <c r="E563" s="4">
        <f t="shared" si="103"/>
        <v>6</v>
      </c>
      <c r="F563" s="4">
        <v>1200</v>
      </c>
      <c r="G563" s="4">
        <v>3180</v>
      </c>
      <c r="H563" s="4">
        <v>499.32</v>
      </c>
      <c r="I563" s="4">
        <v>0.49931999999999999</v>
      </c>
      <c r="J563" s="4">
        <v>4.9932000000000004E-4</v>
      </c>
      <c r="K563" s="4">
        <v>1.100810858</v>
      </c>
      <c r="L563" s="4">
        <v>1.2699999999999999E-2</v>
      </c>
      <c r="M563" s="4">
        <v>3.1</v>
      </c>
      <c r="N563" s="4">
        <v>30.347369</v>
      </c>
      <c r="O563" s="4">
        <f t="shared" si="106"/>
        <v>5.650045747883131</v>
      </c>
      <c r="P563" s="4">
        <f t="shared" si="107"/>
        <v>20.250186411527949</v>
      </c>
      <c r="Q563" s="4">
        <f t="shared" si="111"/>
        <v>51.435473485280994</v>
      </c>
      <c r="R563" s="4">
        <f t="shared" si="108"/>
        <v>2562.820689226774</v>
      </c>
      <c r="S563" s="4">
        <f t="shared" si="109"/>
        <v>6159.1460928305069</v>
      </c>
      <c r="T563" s="4">
        <f t="shared" si="110"/>
        <v>16321.737146000843</v>
      </c>
      <c r="U563" s="4">
        <v>114</v>
      </c>
      <c r="V563" s="4">
        <v>0.1</v>
      </c>
      <c r="W563" s="4">
        <v>0</v>
      </c>
    </row>
    <row r="564" spans="1:25" x14ac:dyDescent="0.25">
      <c r="A564" s="4" t="s">
        <v>133</v>
      </c>
      <c r="B564" s="4" t="s">
        <v>134</v>
      </c>
      <c r="C564" s="4">
        <v>3</v>
      </c>
      <c r="D564" s="4">
        <v>3</v>
      </c>
      <c r="E564" s="4">
        <f t="shared" si="103"/>
        <v>9</v>
      </c>
      <c r="F564" s="4">
        <v>1800</v>
      </c>
      <c r="G564" s="4">
        <v>4770</v>
      </c>
      <c r="H564" s="4">
        <v>748.98</v>
      </c>
      <c r="I564" s="4">
        <v>0.74897999999999998</v>
      </c>
      <c r="J564" s="4">
        <v>7.4898E-4</v>
      </c>
      <c r="K564" s="4">
        <v>1.6512162880000001</v>
      </c>
      <c r="L564" s="4">
        <v>1.2699999999999999E-2</v>
      </c>
      <c r="M564" s="4">
        <v>3.1</v>
      </c>
      <c r="N564" s="4">
        <v>34.587938440000002</v>
      </c>
      <c r="O564" s="4">
        <f t="shared" si="106"/>
        <v>13.212613096263208</v>
      </c>
      <c r="P564" s="4">
        <f t="shared" si="107"/>
        <v>26.634275114004609</v>
      </c>
      <c r="Q564" s="4">
        <f t="shared" si="111"/>
        <v>67.651058789571707</v>
      </c>
      <c r="R564" s="4">
        <f t="shared" si="108"/>
        <v>5993.1476155814644</v>
      </c>
      <c r="S564" s="4">
        <f t="shared" si="109"/>
        <v>14403.142551265233</v>
      </c>
      <c r="T564" s="4">
        <f t="shared" si="110"/>
        <v>38168.327760852866</v>
      </c>
      <c r="U564" s="4">
        <v>114</v>
      </c>
      <c r="V564" s="4">
        <v>0.1</v>
      </c>
      <c r="W564" s="4">
        <v>0</v>
      </c>
    </row>
    <row r="565" spans="1:25" x14ac:dyDescent="0.25">
      <c r="A565" s="4" t="s">
        <v>133</v>
      </c>
      <c r="B565" s="4" t="s">
        <v>134</v>
      </c>
      <c r="C565" s="4">
        <v>4</v>
      </c>
      <c r="D565" s="4">
        <v>3</v>
      </c>
      <c r="E565" s="4">
        <f t="shared" ref="E565:E591" si="112">C565*D565</f>
        <v>12</v>
      </c>
      <c r="F565" s="4">
        <v>3129.99</v>
      </c>
      <c r="G565" s="4">
        <v>8294.48</v>
      </c>
      <c r="H565" s="4">
        <v>1302.388839</v>
      </c>
      <c r="I565" s="4">
        <v>1.302388839</v>
      </c>
      <c r="J565" s="4">
        <v>1.3023889999999999E-3</v>
      </c>
      <c r="K565" s="4">
        <v>2.8712724820000002</v>
      </c>
      <c r="L565" s="4">
        <v>1.2699999999999999E-2</v>
      </c>
      <c r="M565" s="4">
        <v>3.1</v>
      </c>
      <c r="N565" s="4">
        <v>41.345787909999999</v>
      </c>
      <c r="O565" s="4">
        <f t="shared" si="106"/>
        <v>21.930454529672875</v>
      </c>
      <c r="P565" s="4">
        <f t="shared" si="107"/>
        <v>31.363724347247629</v>
      </c>
      <c r="Q565" s="4">
        <f t="shared" si="111"/>
        <v>79.663859842008975</v>
      </c>
      <c r="R565" s="4">
        <f t="shared" si="108"/>
        <v>9947.4986753603225</v>
      </c>
      <c r="S565" s="4">
        <f t="shared" si="109"/>
        <v>23906.509674021447</v>
      </c>
      <c r="T565" s="4">
        <f t="shared" si="110"/>
        <v>63352.25063615683</v>
      </c>
      <c r="U565" s="4">
        <v>114</v>
      </c>
      <c r="V565" s="4">
        <v>0.1</v>
      </c>
      <c r="W565" s="4">
        <v>0</v>
      </c>
    </row>
    <row r="566" spans="1:25" x14ac:dyDescent="0.25">
      <c r="A566" s="4" t="s">
        <v>133</v>
      </c>
      <c r="B566" s="4" t="s">
        <v>134</v>
      </c>
      <c r="C566" s="4">
        <v>5</v>
      </c>
      <c r="D566" s="4">
        <v>3</v>
      </c>
      <c r="E566" s="4">
        <f t="shared" si="112"/>
        <v>15</v>
      </c>
      <c r="F566" s="4">
        <v>7000</v>
      </c>
      <c r="G566" s="4">
        <v>18550</v>
      </c>
      <c r="H566" s="4">
        <v>2912.7</v>
      </c>
      <c r="I566" s="4">
        <v>2.9127000000000001</v>
      </c>
      <c r="J566" s="4">
        <v>2.9126999999999998E-3</v>
      </c>
      <c r="K566" s="4">
        <v>6.4213966740000004</v>
      </c>
      <c r="L566" s="4">
        <v>1.2699999999999999E-2</v>
      </c>
      <c r="M566" s="4">
        <v>3.1</v>
      </c>
      <c r="N566" s="4">
        <v>53.603232339999998</v>
      </c>
      <c r="O566" s="4">
        <f t="shared" si="106"/>
        <v>30.452441187409729</v>
      </c>
      <c r="P566" s="4">
        <f t="shared" si="107"/>
        <v>34.867386513023227</v>
      </c>
      <c r="Q566" s="4">
        <f t="shared" si="111"/>
        <v>88.563161743079007</v>
      </c>
      <c r="R566" s="4">
        <f t="shared" si="108"/>
        <v>13813.011397614886</v>
      </c>
      <c r="S566" s="4">
        <f t="shared" si="109"/>
        <v>33196.374423491674</v>
      </c>
      <c r="T566" s="4">
        <f t="shared" si="110"/>
        <v>87970.392222252936</v>
      </c>
      <c r="U566" s="4">
        <v>114</v>
      </c>
      <c r="V566" s="4">
        <v>0.1</v>
      </c>
      <c r="W566" s="4">
        <v>0</v>
      </c>
    </row>
    <row r="567" spans="1:25" x14ac:dyDescent="0.25">
      <c r="A567" s="4" t="s">
        <v>133</v>
      </c>
      <c r="B567" s="4" t="s">
        <v>134</v>
      </c>
      <c r="C567" s="4">
        <v>6</v>
      </c>
      <c r="D567" s="4">
        <v>3</v>
      </c>
      <c r="E567" s="4">
        <f t="shared" si="112"/>
        <v>18</v>
      </c>
      <c r="F567" s="4">
        <v>9000</v>
      </c>
      <c r="G567" s="4">
        <v>23850</v>
      </c>
      <c r="H567" s="4">
        <v>3744.9</v>
      </c>
      <c r="I567" s="4">
        <v>3.7448999999999999</v>
      </c>
      <c r="J567" s="4">
        <v>3.7448999999999998E-3</v>
      </c>
      <c r="K567" s="4">
        <v>8.2560814380000007</v>
      </c>
      <c r="L567" s="4">
        <v>1.2699999999999999E-2</v>
      </c>
      <c r="M567" s="4">
        <v>3.1</v>
      </c>
      <c r="N567" s="4">
        <v>58.129805840000003</v>
      </c>
      <c r="O567" s="4">
        <f t="shared" si="106"/>
        <v>38.044210688328377</v>
      </c>
      <c r="P567" s="4">
        <f t="shared" si="107"/>
        <v>37.462963284542965</v>
      </c>
      <c r="Q567" s="4">
        <f t="shared" si="111"/>
        <v>95.155926742739126</v>
      </c>
      <c r="R567" s="4">
        <f t="shared" si="108"/>
        <v>17256.584213301328</v>
      </c>
      <c r="S567" s="4">
        <f t="shared" si="109"/>
        <v>41472.204309784494</v>
      </c>
      <c r="T567" s="4">
        <f t="shared" si="110"/>
        <v>109901.3414209289</v>
      </c>
      <c r="U567" s="4">
        <v>114</v>
      </c>
      <c r="V567" s="4">
        <v>0.1</v>
      </c>
      <c r="W567" s="4">
        <v>0</v>
      </c>
    </row>
    <row r="568" spans="1:25" x14ac:dyDescent="0.25">
      <c r="A568" s="4" t="s">
        <v>133</v>
      </c>
      <c r="B568" s="4" t="s">
        <v>134</v>
      </c>
      <c r="C568" s="4">
        <v>7</v>
      </c>
      <c r="D568" s="4">
        <v>3</v>
      </c>
      <c r="E568" s="4">
        <f t="shared" si="112"/>
        <v>21</v>
      </c>
      <c r="F568" s="4">
        <v>13000</v>
      </c>
      <c r="G568" s="4">
        <v>34450</v>
      </c>
      <c r="H568" s="4">
        <v>5409.3</v>
      </c>
      <c r="I568" s="4">
        <v>5.4093</v>
      </c>
      <c r="J568" s="4">
        <v>5.4092999999999997E-3</v>
      </c>
      <c r="K568" s="4">
        <v>11.92545097</v>
      </c>
      <c r="L568" s="4">
        <v>1.2699999999999999E-2</v>
      </c>
      <c r="M568" s="4">
        <v>3.1</v>
      </c>
      <c r="N568" s="4">
        <v>65.450847319999994</v>
      </c>
      <c r="O568" s="4">
        <f t="shared" si="106"/>
        <v>44.429910633084837</v>
      </c>
      <c r="P568" s="4">
        <f t="shared" si="107"/>
        <v>39.385813850063023</v>
      </c>
      <c r="Q568" s="4">
        <f t="shared" si="111"/>
        <v>100.03996717916007</v>
      </c>
      <c r="R568" s="4">
        <f t="shared" si="108"/>
        <v>20153.092430026416</v>
      </c>
      <c r="S568" s="4">
        <f t="shared" si="109"/>
        <v>48433.291107970232</v>
      </c>
      <c r="T568" s="4">
        <f t="shared" si="110"/>
        <v>128348.22143612111</v>
      </c>
      <c r="U568" s="4">
        <v>114</v>
      </c>
      <c r="V568" s="4">
        <v>0.1</v>
      </c>
      <c r="W568" s="4">
        <v>0</v>
      </c>
    </row>
    <row r="569" spans="1:25" x14ac:dyDescent="0.25">
      <c r="A569" s="4" t="s">
        <v>133</v>
      </c>
      <c r="B569" s="4" t="s">
        <v>134</v>
      </c>
      <c r="C569" s="4">
        <v>8</v>
      </c>
      <c r="D569" s="4">
        <v>3</v>
      </c>
      <c r="E569" s="4">
        <f t="shared" si="112"/>
        <v>24</v>
      </c>
      <c r="F569" s="4">
        <v>18000</v>
      </c>
      <c r="G569" s="4">
        <v>40770</v>
      </c>
      <c r="H569" s="4">
        <v>7489.8</v>
      </c>
      <c r="I569" s="4">
        <v>7.4897999999999998</v>
      </c>
      <c r="J569" s="4">
        <v>7.4897999999999996E-3</v>
      </c>
      <c r="K569" s="4">
        <v>16.512162880000002</v>
      </c>
      <c r="L569" s="4">
        <v>1.2699999999999999E-2</v>
      </c>
      <c r="M569" s="4">
        <v>3.1</v>
      </c>
      <c r="N569" s="4">
        <v>72.695130840000004</v>
      </c>
      <c r="O569" s="4">
        <f t="shared" si="106"/>
        <v>49.603030832113362</v>
      </c>
      <c r="P569" s="4">
        <f t="shared" si="107"/>
        <v>40.81029658464842</v>
      </c>
      <c r="Q569" s="4">
        <f t="shared" si="111"/>
        <v>103.65815332500698</v>
      </c>
      <c r="R569" s="4">
        <f t="shared" si="108"/>
        <v>22499.58307196404</v>
      </c>
      <c r="S569" s="4">
        <f t="shared" si="109"/>
        <v>54072.538024426911</v>
      </c>
      <c r="T569" s="4">
        <f t="shared" si="110"/>
        <v>143292.22576473129</v>
      </c>
      <c r="U569" s="4">
        <v>114</v>
      </c>
      <c r="V569" s="4">
        <v>0.1</v>
      </c>
      <c r="W569" s="4">
        <v>0</v>
      </c>
    </row>
    <row r="570" spans="1:25" x14ac:dyDescent="0.25">
      <c r="A570" s="4" t="s">
        <v>133</v>
      </c>
      <c r="B570" s="4" t="s">
        <v>134</v>
      </c>
      <c r="C570" s="4">
        <v>9</v>
      </c>
      <c r="D570" s="4">
        <v>3</v>
      </c>
      <c r="E570" s="4">
        <f t="shared" si="112"/>
        <v>27</v>
      </c>
      <c r="F570" s="4">
        <v>30000</v>
      </c>
      <c r="G570" s="4">
        <v>79500</v>
      </c>
      <c r="H570" s="4">
        <v>12483</v>
      </c>
      <c r="I570" s="4">
        <v>12.483000000000001</v>
      </c>
      <c r="J570" s="4">
        <v>1.2482999999999999E-2</v>
      </c>
      <c r="K570" s="4">
        <v>27.52027146</v>
      </c>
      <c r="L570" s="4">
        <v>1.2699999999999999E-2</v>
      </c>
      <c r="M570" s="4">
        <v>3.1</v>
      </c>
      <c r="N570" s="4">
        <v>85.717488009999997</v>
      </c>
      <c r="O570" s="4">
        <f t="shared" si="106"/>
        <v>53.688220868751316</v>
      </c>
      <c r="P570" s="4">
        <f t="shared" si="107"/>
        <v>41.865579349475802</v>
      </c>
      <c r="Q570" s="4">
        <f t="shared" si="111"/>
        <v>106.33857154766854</v>
      </c>
      <c r="R570" s="4">
        <f t="shared" si="108"/>
        <v>24352.596306280138</v>
      </c>
      <c r="S570" s="4">
        <f t="shared" si="109"/>
        <v>58525.826258784276</v>
      </c>
      <c r="T570" s="4">
        <f t="shared" si="110"/>
        <v>155093.43958577834</v>
      </c>
      <c r="U570" s="4">
        <v>114</v>
      </c>
      <c r="V570" s="4">
        <v>0.1</v>
      </c>
      <c r="W570" s="4">
        <v>0</v>
      </c>
    </row>
    <row r="571" spans="1:25" x14ac:dyDescent="0.25">
      <c r="A571" s="4" t="s">
        <v>133</v>
      </c>
      <c r="B571" s="4" t="s">
        <v>134</v>
      </c>
      <c r="C571" s="4">
        <v>10</v>
      </c>
      <c r="D571" s="4">
        <v>3</v>
      </c>
      <c r="E571" s="4">
        <f t="shared" si="112"/>
        <v>30</v>
      </c>
      <c r="F571" s="4">
        <v>32000</v>
      </c>
      <c r="G571" s="4">
        <v>85500</v>
      </c>
      <c r="H571" s="4">
        <v>13315.2</v>
      </c>
      <c r="I571" s="4">
        <v>13.315200000000001</v>
      </c>
      <c r="J571" s="4">
        <v>1.3315199999999999E-2</v>
      </c>
      <c r="K571" s="4">
        <v>29.354956219999998</v>
      </c>
      <c r="L571" s="4">
        <v>1.2699999999999999E-2</v>
      </c>
      <c r="M571" s="4">
        <v>3.1</v>
      </c>
      <c r="N571" s="4">
        <v>87.520735579999993</v>
      </c>
      <c r="O571" s="4">
        <f t="shared" si="106"/>
        <v>56.857453685651627</v>
      </c>
      <c r="P571" s="4">
        <f t="shared" si="107"/>
        <v>42.647352049631301</v>
      </c>
      <c r="Q571" s="4">
        <f t="shared" si="111"/>
        <v>108.32427420606351</v>
      </c>
      <c r="R571" s="4">
        <f t="shared" si="108"/>
        <v>25790.137840376858</v>
      </c>
      <c r="S571" s="4">
        <f t="shared" si="109"/>
        <v>61980.624466178459</v>
      </c>
      <c r="T571" s="4">
        <f t="shared" si="110"/>
        <v>164248.6548353729</v>
      </c>
      <c r="U571" s="4">
        <v>114</v>
      </c>
      <c r="V571" s="4">
        <v>0.1</v>
      </c>
      <c r="W571" s="4">
        <v>0</v>
      </c>
    </row>
    <row r="572" spans="1:25" x14ac:dyDescent="0.25">
      <c r="A572" s="4" t="s">
        <v>135</v>
      </c>
      <c r="B572" s="4" t="s">
        <v>136</v>
      </c>
      <c r="C572" s="4">
        <v>1</v>
      </c>
      <c r="D572" s="4">
        <v>2</v>
      </c>
      <c r="E572" s="4">
        <f t="shared" si="112"/>
        <v>2</v>
      </c>
      <c r="F572" s="4">
        <v>476.02739730000002</v>
      </c>
      <c r="G572" s="4">
        <v>1261.4726029999999</v>
      </c>
      <c r="H572" s="4">
        <v>198.07499999999999</v>
      </c>
      <c r="I572" s="4">
        <v>0.198075</v>
      </c>
      <c r="J572" s="4">
        <v>1.98075E-4</v>
      </c>
      <c r="K572" s="4">
        <v>0.43668010699999998</v>
      </c>
      <c r="L572" s="4">
        <v>1.2E-2</v>
      </c>
      <c r="M572" s="4">
        <v>3</v>
      </c>
      <c r="N572" s="4">
        <v>25.46143086</v>
      </c>
      <c r="O572" s="4">
        <f t="shared" si="106"/>
        <v>3.3956176932488723E-2</v>
      </c>
      <c r="P572" s="4">
        <f t="shared" si="107"/>
        <v>4.2785920807721345</v>
      </c>
      <c r="Q572" s="4">
        <f t="shared" si="111"/>
        <v>10.867623885161221</v>
      </c>
      <c r="R572" s="4">
        <f t="shared" si="108"/>
        <v>15.402281088118915</v>
      </c>
      <c r="S572" s="4">
        <f t="shared" si="109"/>
        <v>37.015816121410516</v>
      </c>
      <c r="T572" s="4">
        <f t="shared" si="110"/>
        <v>98.09191272173787</v>
      </c>
      <c r="U572" s="4">
        <v>60.5</v>
      </c>
      <c r="V572" s="4">
        <v>9.9000000000000005E-2</v>
      </c>
      <c r="W572" s="4">
        <v>0</v>
      </c>
      <c r="Y572" s="4" t="s">
        <v>750</v>
      </c>
    </row>
    <row r="573" spans="1:25" x14ac:dyDescent="0.25">
      <c r="A573" s="4" t="s">
        <v>135</v>
      </c>
      <c r="B573" s="4" t="s">
        <v>136</v>
      </c>
      <c r="C573" s="4">
        <v>2</v>
      </c>
      <c r="D573" s="4">
        <v>2</v>
      </c>
      <c r="E573" s="4">
        <f t="shared" si="112"/>
        <v>4</v>
      </c>
      <c r="F573" s="4">
        <v>1129.488104</v>
      </c>
      <c r="G573" s="4">
        <v>2993.143474</v>
      </c>
      <c r="H573" s="4">
        <v>469.98000009999998</v>
      </c>
      <c r="I573" s="4">
        <v>0.46998000000000001</v>
      </c>
      <c r="J573" s="4">
        <v>4.6998E-4</v>
      </c>
      <c r="K573" s="4">
        <v>1.036127308</v>
      </c>
      <c r="L573" s="4">
        <v>1.2E-2</v>
      </c>
      <c r="M573" s="4">
        <v>3</v>
      </c>
      <c r="N573" s="4">
        <v>33.959871919999998</v>
      </c>
      <c r="O573" s="4">
        <f t="shared" si="106"/>
        <v>0.20483194631379331</v>
      </c>
      <c r="P573" s="4">
        <f t="shared" si="107"/>
        <v>7.7886200377118602</v>
      </c>
      <c r="Q573" s="4">
        <f t="shared" si="111"/>
        <v>19.783094895788125</v>
      </c>
      <c r="R573" s="4">
        <f t="shared" si="108"/>
        <v>92.910318473838259</v>
      </c>
      <c r="S573" s="4">
        <f t="shared" si="109"/>
        <v>223.28843661100279</v>
      </c>
      <c r="T573" s="4">
        <f t="shared" si="110"/>
        <v>591.71435701915743</v>
      </c>
      <c r="U573" s="4">
        <v>60.5</v>
      </c>
      <c r="V573" s="4">
        <v>9.9000000000000005E-2</v>
      </c>
      <c r="W573" s="4">
        <v>0</v>
      </c>
    </row>
    <row r="574" spans="1:25" x14ac:dyDescent="0.25">
      <c r="A574" s="4" t="s">
        <v>135</v>
      </c>
      <c r="B574" s="4" t="s">
        <v>136</v>
      </c>
      <c r="C574" s="4">
        <v>3</v>
      </c>
      <c r="D574" s="4">
        <v>2</v>
      </c>
      <c r="E574" s="4">
        <f t="shared" si="112"/>
        <v>6</v>
      </c>
      <c r="F574" s="4">
        <v>1548.9065129999999</v>
      </c>
      <c r="G574" s="4">
        <v>4104.6022599999997</v>
      </c>
      <c r="H574" s="4">
        <v>644.50000009999997</v>
      </c>
      <c r="I574" s="4">
        <v>0.64449999999999996</v>
      </c>
      <c r="J574" s="4">
        <v>6.445E-4</v>
      </c>
      <c r="K574" s="4">
        <v>1.4208775899999999</v>
      </c>
      <c r="L574" s="4">
        <v>1.2E-2</v>
      </c>
      <c r="M574" s="4">
        <v>3</v>
      </c>
      <c r="N574" s="4">
        <v>37.729457320000002</v>
      </c>
      <c r="O574" s="4">
        <f t="shared" si="106"/>
        <v>0.52635941956984167</v>
      </c>
      <c r="P574" s="4">
        <f t="shared" si="107"/>
        <v>10.66814115725618</v>
      </c>
      <c r="Q574" s="4">
        <f t="shared" si="111"/>
        <v>27.097078539430697</v>
      </c>
      <c r="R574" s="4">
        <f t="shared" si="108"/>
        <v>238.75290053153907</v>
      </c>
      <c r="S574" s="4">
        <f t="shared" si="109"/>
        <v>573.7873120200411</v>
      </c>
      <c r="T574" s="4">
        <f t="shared" si="110"/>
        <v>1520.5363768531088</v>
      </c>
      <c r="U574" s="4">
        <v>60.5</v>
      </c>
      <c r="V574" s="4">
        <v>9.9000000000000005E-2</v>
      </c>
      <c r="W574" s="4">
        <v>0</v>
      </c>
    </row>
    <row r="575" spans="1:25" x14ac:dyDescent="0.25">
      <c r="A575" s="4" t="s">
        <v>135</v>
      </c>
      <c r="B575" s="4" t="s">
        <v>136</v>
      </c>
      <c r="C575" s="4">
        <v>4</v>
      </c>
      <c r="D575" s="4">
        <v>2</v>
      </c>
      <c r="E575" s="4">
        <f t="shared" si="112"/>
        <v>8</v>
      </c>
      <c r="F575" s="4">
        <v>2095.4578219999999</v>
      </c>
      <c r="G575" s="4">
        <v>5552.9632300000003</v>
      </c>
      <c r="H575" s="4">
        <v>871.91999969999995</v>
      </c>
      <c r="I575" s="4">
        <v>0.87192000000000003</v>
      </c>
      <c r="J575" s="4">
        <v>8.7191999999999999E-4</v>
      </c>
      <c r="K575" s="4">
        <v>1.92225227</v>
      </c>
      <c r="L575" s="4">
        <v>1.2E-2</v>
      </c>
      <c r="M575" s="4">
        <v>3</v>
      </c>
      <c r="N575" s="4">
        <v>41.728406249999999</v>
      </c>
      <c r="O575" s="4">
        <f t="shared" si="106"/>
        <v>0.95915927150425351</v>
      </c>
      <c r="P575" s="4">
        <f t="shared" si="107"/>
        <v>13.030413475204041</v>
      </c>
      <c r="Q575" s="4">
        <f t="shared" si="111"/>
        <v>33.097250227018264</v>
      </c>
      <c r="R575" s="4">
        <f t="shared" si="108"/>
        <v>435.06784457378302</v>
      </c>
      <c r="S575" s="4">
        <f t="shared" si="109"/>
        <v>1045.5848223354553</v>
      </c>
      <c r="T575" s="4">
        <f t="shared" si="110"/>
        <v>2770.7997791889566</v>
      </c>
      <c r="U575" s="4">
        <v>60.5</v>
      </c>
      <c r="V575" s="4">
        <v>9.9000000000000005E-2</v>
      </c>
      <c r="W575" s="4">
        <v>0</v>
      </c>
    </row>
    <row r="576" spans="1:25" x14ac:dyDescent="0.25">
      <c r="A576" s="4" t="s">
        <v>135</v>
      </c>
      <c r="B576" s="4" t="s">
        <v>136</v>
      </c>
      <c r="C576" s="4">
        <v>5</v>
      </c>
      <c r="D576" s="4">
        <v>2</v>
      </c>
      <c r="E576" s="4">
        <f t="shared" si="112"/>
        <v>10</v>
      </c>
      <c r="F576" s="4">
        <v>2636.890171</v>
      </c>
      <c r="G576" s="4">
        <v>6987.7589529999996</v>
      </c>
      <c r="H576" s="4">
        <v>1097.21</v>
      </c>
      <c r="I576" s="4">
        <v>1.09721</v>
      </c>
      <c r="J576" s="4">
        <v>1.0972099999999999E-3</v>
      </c>
      <c r="K576" s="4">
        <v>2.418931111</v>
      </c>
      <c r="L576" s="4">
        <v>1.2E-2</v>
      </c>
      <c r="M576" s="4">
        <v>3</v>
      </c>
      <c r="N576" s="4">
        <v>45.050834190000003</v>
      </c>
      <c r="O576" s="4">
        <f t="shared" si="106"/>
        <v>1.4539114892034266</v>
      </c>
      <c r="P576" s="4">
        <f t="shared" si="107"/>
        <v>14.968350469750487</v>
      </c>
      <c r="Q576" s="4">
        <f t="shared" si="111"/>
        <v>38.019610193166237</v>
      </c>
      <c r="R576" s="4">
        <f t="shared" si="108"/>
        <v>659.48394244968597</v>
      </c>
      <c r="S576" s="4">
        <f t="shared" si="109"/>
        <v>1584.916948929791</v>
      </c>
      <c r="T576" s="4">
        <f t="shared" si="110"/>
        <v>4200.0299146639463</v>
      </c>
      <c r="U576" s="4">
        <v>60.5</v>
      </c>
      <c r="V576" s="4">
        <v>9.9000000000000005E-2</v>
      </c>
      <c r="W576" s="4">
        <v>0</v>
      </c>
    </row>
    <row r="577" spans="1:25" x14ac:dyDescent="0.25">
      <c r="A577" s="4" t="s">
        <v>135</v>
      </c>
      <c r="B577" s="4" t="s">
        <v>136</v>
      </c>
      <c r="C577" s="4">
        <v>6</v>
      </c>
      <c r="D577" s="4">
        <v>2</v>
      </c>
      <c r="E577" s="4">
        <f t="shared" si="112"/>
        <v>12</v>
      </c>
      <c r="F577" s="4">
        <v>2919.850997</v>
      </c>
      <c r="G577" s="4">
        <v>7737.6051429999998</v>
      </c>
      <c r="H577" s="4">
        <v>1214.95</v>
      </c>
      <c r="I577" s="4">
        <v>1.21495</v>
      </c>
      <c r="J577" s="4">
        <v>1.21495E-3</v>
      </c>
      <c r="K577" s="4">
        <v>2.678503069</v>
      </c>
      <c r="L577" s="4">
        <v>1.2E-2</v>
      </c>
      <c r="M577" s="4">
        <v>3</v>
      </c>
      <c r="N577" s="4">
        <v>46.607848230000002</v>
      </c>
      <c r="O577" s="4">
        <f t="shared" si="106"/>
        <v>1.968129121612461</v>
      </c>
      <c r="P577" s="4">
        <f t="shared" si="107"/>
        <v>16.558175557356925</v>
      </c>
      <c r="Q577" s="4">
        <f t="shared" si="111"/>
        <v>42.057765915686595</v>
      </c>
      <c r="R577" s="4">
        <f t="shared" si="108"/>
        <v>892.72941441720616</v>
      </c>
      <c r="S577" s="4">
        <f t="shared" si="109"/>
        <v>2145.4684316683638</v>
      </c>
      <c r="T577" s="4">
        <f t="shared" si="110"/>
        <v>5685.4913439211641</v>
      </c>
      <c r="U577" s="4">
        <v>60.5</v>
      </c>
      <c r="V577" s="4">
        <v>9.9000000000000005E-2</v>
      </c>
      <c r="W577" s="4">
        <v>0</v>
      </c>
    </row>
    <row r="578" spans="1:25" x14ac:dyDescent="0.25">
      <c r="A578" s="4" t="s">
        <v>135</v>
      </c>
      <c r="B578" s="4" t="s">
        <v>136</v>
      </c>
      <c r="C578" s="4">
        <v>7</v>
      </c>
      <c r="D578" s="4">
        <v>2</v>
      </c>
      <c r="E578" s="4">
        <f t="shared" si="112"/>
        <v>14</v>
      </c>
      <c r="F578" s="4">
        <v>3445.5659700000001</v>
      </c>
      <c r="G578" s="4">
        <v>9130.7498190000006</v>
      </c>
      <c r="H578" s="4">
        <v>1433.7</v>
      </c>
      <c r="I578" s="4">
        <v>1.4337</v>
      </c>
      <c r="J578" s="4">
        <v>1.4337E-3</v>
      </c>
      <c r="K578" s="4">
        <v>3.1607636939999999</v>
      </c>
      <c r="L578" s="4">
        <v>1.2E-2</v>
      </c>
      <c r="M578" s="4">
        <v>3</v>
      </c>
      <c r="N578" s="4">
        <v>49.252205150000002</v>
      </c>
      <c r="O578" s="4">
        <f t="shared" ref="O578:O591" si="113">R578*0.00220462</f>
        <v>2.4707968479792131</v>
      </c>
      <c r="P578" s="4">
        <f t="shared" ref="P578:P591" si="114">Q578/2.54</f>
        <v>17.86242013099146</v>
      </c>
      <c r="Q578" s="4">
        <f t="shared" si="111"/>
        <v>45.370547132718308</v>
      </c>
      <c r="R578" s="4">
        <f t="shared" ref="R578:R591" si="115">L578*(Q578^M578)</f>
        <v>1120.7359308992993</v>
      </c>
      <c r="S578" s="4">
        <f t="shared" ref="S578:S591" si="116">R578/20/5.7/3.65*1000</f>
        <v>2693.429298003603</v>
      </c>
      <c r="T578" s="4">
        <f t="shared" ref="T578:T591" si="117">S578*2.65</f>
        <v>7137.5876397095481</v>
      </c>
      <c r="U578" s="4">
        <v>60.5</v>
      </c>
      <c r="V578" s="4">
        <v>9.9000000000000005E-2</v>
      </c>
      <c r="W578" s="4">
        <v>0</v>
      </c>
    </row>
    <row r="579" spans="1:25" x14ac:dyDescent="0.25">
      <c r="A579" s="4" t="s">
        <v>135</v>
      </c>
      <c r="B579" s="4" t="s">
        <v>136</v>
      </c>
      <c r="C579" s="4">
        <v>8</v>
      </c>
      <c r="D579" s="4">
        <v>2</v>
      </c>
      <c r="E579" s="4">
        <f t="shared" si="112"/>
        <v>16</v>
      </c>
      <c r="F579" s="4">
        <v>3970.9204519999998</v>
      </c>
      <c r="G579" s="4">
        <v>10522.939200000001</v>
      </c>
      <c r="H579" s="4">
        <v>1652.3</v>
      </c>
      <c r="I579" s="4">
        <v>1.6523000000000001</v>
      </c>
      <c r="J579" s="4">
        <v>1.6523E-3</v>
      </c>
      <c r="K579" s="4">
        <v>3.6426936259999998</v>
      </c>
      <c r="L579" s="4">
        <v>1.2E-2</v>
      </c>
      <c r="M579" s="4">
        <v>3</v>
      </c>
      <c r="N579" s="4">
        <v>51.637976899999998</v>
      </c>
      <c r="O579" s="4">
        <f t="shared" si="113"/>
        <v>2.941927648731653</v>
      </c>
      <c r="P579" s="4">
        <f t="shared" si="114"/>
        <v>18.932383060319836</v>
      </c>
      <c r="Q579" s="4">
        <f t="shared" ref="Q579:Q591" si="118">U579*(1-EXP(-V579*(E579-W579)))</f>
        <v>48.088252973212384</v>
      </c>
      <c r="R579" s="4">
        <f t="shared" si="115"/>
        <v>1334.4375215373411</v>
      </c>
      <c r="S579" s="4">
        <f t="shared" si="116"/>
        <v>3207.0115874485491</v>
      </c>
      <c r="T579" s="4">
        <f t="shared" si="117"/>
        <v>8498.580706738654</v>
      </c>
      <c r="U579" s="4">
        <v>60.5</v>
      </c>
      <c r="V579" s="4">
        <v>9.9000000000000005E-2</v>
      </c>
      <c r="W579" s="4">
        <v>0</v>
      </c>
    </row>
    <row r="580" spans="1:25" x14ac:dyDescent="0.25">
      <c r="A580" s="4" t="s">
        <v>135</v>
      </c>
      <c r="B580" s="4" t="s">
        <v>136</v>
      </c>
      <c r="C580" s="4">
        <v>9</v>
      </c>
      <c r="D580" s="4">
        <v>2</v>
      </c>
      <c r="E580" s="4">
        <f t="shared" si="112"/>
        <v>18</v>
      </c>
      <c r="F580" s="4">
        <v>4109.5890410000002</v>
      </c>
      <c r="G580" s="4">
        <v>10890.410959999999</v>
      </c>
      <c r="H580" s="4">
        <v>1710</v>
      </c>
      <c r="I580" s="4">
        <v>1.71</v>
      </c>
      <c r="J580" s="4">
        <v>1.7099999999999999E-3</v>
      </c>
      <c r="K580" s="4">
        <v>3.7699001999999999</v>
      </c>
      <c r="L580" s="4">
        <v>1.2E-2</v>
      </c>
      <c r="M580" s="4">
        <v>3</v>
      </c>
      <c r="N580" s="4">
        <v>52.232196340000002</v>
      </c>
      <c r="O580" s="4">
        <f t="shared" si="113"/>
        <v>3.3703835388024546</v>
      </c>
      <c r="P580" s="4">
        <f t="shared" si="114"/>
        <v>19.810148391515881</v>
      </c>
      <c r="Q580" s="4">
        <f t="shared" si="118"/>
        <v>50.317776914450334</v>
      </c>
      <c r="R580" s="4">
        <f t="shared" si="115"/>
        <v>1528.7820752793925</v>
      </c>
      <c r="S580" s="4">
        <f t="shared" si="116"/>
        <v>3674.0737209310082</v>
      </c>
      <c r="T580" s="4">
        <f t="shared" si="117"/>
        <v>9736.2953604671711</v>
      </c>
      <c r="U580" s="4">
        <v>60.5</v>
      </c>
      <c r="V580" s="4">
        <v>9.9000000000000005E-2</v>
      </c>
      <c r="W580" s="4">
        <v>0</v>
      </c>
    </row>
    <row r="581" spans="1:25" x14ac:dyDescent="0.25">
      <c r="A581" s="4" t="s">
        <v>135</v>
      </c>
      <c r="B581" s="4" t="s">
        <v>136</v>
      </c>
      <c r="C581" s="4">
        <v>10</v>
      </c>
      <c r="D581" s="4">
        <v>2</v>
      </c>
      <c r="E581" s="4">
        <f t="shared" si="112"/>
        <v>20</v>
      </c>
      <c r="F581" s="4">
        <v>4373.9485699999996</v>
      </c>
      <c r="G581" s="4">
        <v>11590.96371</v>
      </c>
      <c r="H581" s="4">
        <v>1820</v>
      </c>
      <c r="I581" s="4">
        <v>1.82</v>
      </c>
      <c r="J581" s="4">
        <v>1.82E-3</v>
      </c>
      <c r="K581" s="4">
        <v>4.0124084</v>
      </c>
      <c r="L581" s="4">
        <v>1.2E-2</v>
      </c>
      <c r="M581" s="4">
        <v>3</v>
      </c>
      <c r="N581" s="4">
        <v>53.328992700000001</v>
      </c>
      <c r="O581" s="4">
        <f t="shared" si="113"/>
        <v>3.7514421734161894</v>
      </c>
      <c r="P581" s="4">
        <f t="shared" si="114"/>
        <v>20.530240607358657</v>
      </c>
      <c r="Q581" s="4">
        <f t="shared" si="118"/>
        <v>52.146811142690986</v>
      </c>
      <c r="R581" s="4">
        <f t="shared" si="115"/>
        <v>1701.6275700194089</v>
      </c>
      <c r="S581" s="4">
        <f t="shared" si="116"/>
        <v>4089.4678443148491</v>
      </c>
      <c r="T581" s="4">
        <f t="shared" si="117"/>
        <v>10837.08978743435</v>
      </c>
      <c r="U581" s="4">
        <v>60.5</v>
      </c>
      <c r="V581" s="4">
        <v>9.9000000000000005E-2</v>
      </c>
      <c r="W581" s="4">
        <v>0</v>
      </c>
    </row>
    <row r="582" spans="1:25" x14ac:dyDescent="0.25">
      <c r="A582" s="4" t="s">
        <v>137</v>
      </c>
      <c r="B582" s="4" t="s">
        <v>138</v>
      </c>
      <c r="C582" s="4">
        <v>1</v>
      </c>
      <c r="D582" s="4">
        <v>1</v>
      </c>
      <c r="E582" s="4">
        <f t="shared" si="112"/>
        <v>1</v>
      </c>
      <c r="F582" s="4">
        <v>37.010334049999997</v>
      </c>
      <c r="G582" s="4">
        <v>98.077385239999998</v>
      </c>
      <c r="H582" s="4">
        <v>15.4</v>
      </c>
      <c r="I582" s="4">
        <v>1.54E-2</v>
      </c>
      <c r="J582" s="4">
        <v>1.5400000000000002E-5</v>
      </c>
      <c r="K582" s="4">
        <v>3.3951148E-2</v>
      </c>
      <c r="L582" s="4">
        <v>1.2500000000000001E-2</v>
      </c>
      <c r="M582" s="4">
        <v>2.82</v>
      </c>
      <c r="N582" s="4">
        <v>12.472722040000001</v>
      </c>
      <c r="O582" s="4">
        <f t="shared" si="113"/>
        <v>4.9266076436141004E-2</v>
      </c>
      <c r="P582" s="4">
        <f t="shared" si="114"/>
        <v>5.6035809773118128</v>
      </c>
      <c r="Q582" s="4">
        <f t="shared" si="118"/>
        <v>14.233095682372005</v>
      </c>
      <c r="R582" s="4">
        <f t="shared" si="115"/>
        <v>22.34674294714781</v>
      </c>
      <c r="S582" s="4">
        <f t="shared" si="116"/>
        <v>53.705222175313168</v>
      </c>
      <c r="T582" s="4">
        <f t="shared" si="117"/>
        <v>142.31883876457988</v>
      </c>
      <c r="U582" s="4">
        <v>50</v>
      </c>
      <c r="V582" s="4">
        <v>0.33500000000000002</v>
      </c>
      <c r="W582" s="4">
        <v>0</v>
      </c>
      <c r="Y582" s="4" t="s">
        <v>751</v>
      </c>
    </row>
    <row r="583" spans="1:25" x14ac:dyDescent="0.25">
      <c r="A583" s="4" t="s">
        <v>137</v>
      </c>
      <c r="B583" s="4" t="s">
        <v>138</v>
      </c>
      <c r="C583" s="4">
        <v>2</v>
      </c>
      <c r="D583" s="4">
        <v>1</v>
      </c>
      <c r="E583" s="4">
        <f t="shared" si="112"/>
        <v>2</v>
      </c>
      <c r="F583" s="4">
        <v>236.0009613</v>
      </c>
      <c r="G583" s="4">
        <v>625.40254749999997</v>
      </c>
      <c r="H583" s="4">
        <v>98.2</v>
      </c>
      <c r="I583" s="4">
        <v>9.8199999999999996E-2</v>
      </c>
      <c r="J583" s="4">
        <v>9.8200000000000002E-5</v>
      </c>
      <c r="K583" s="4">
        <v>0.21649368399999999</v>
      </c>
      <c r="L583" s="4">
        <v>1.2500000000000001E-2</v>
      </c>
      <c r="M583" s="4">
        <v>2.82</v>
      </c>
      <c r="N583" s="4">
        <v>24.058974880000001</v>
      </c>
      <c r="O583" s="4">
        <f t="shared" si="113"/>
        <v>0.22563902603855754</v>
      </c>
      <c r="P583" s="4">
        <f t="shared" si="114"/>
        <v>9.6120358703436519</v>
      </c>
      <c r="Q583" s="4">
        <f t="shared" si="118"/>
        <v>24.414571110672878</v>
      </c>
      <c r="R583" s="4">
        <f t="shared" si="115"/>
        <v>102.34826230305337</v>
      </c>
      <c r="S583" s="4">
        <f t="shared" si="116"/>
        <v>245.97034920224314</v>
      </c>
      <c r="T583" s="4">
        <f t="shared" si="117"/>
        <v>651.82142538594428</v>
      </c>
      <c r="U583" s="4">
        <v>50</v>
      </c>
      <c r="V583" s="4">
        <v>0.33500000000000002</v>
      </c>
      <c r="W583" s="4">
        <v>0</v>
      </c>
    </row>
    <row r="584" spans="1:25" x14ac:dyDescent="0.25">
      <c r="A584" s="4" t="s">
        <v>137</v>
      </c>
      <c r="B584" s="4" t="s">
        <v>138</v>
      </c>
      <c r="C584" s="4">
        <v>3</v>
      </c>
      <c r="D584" s="4">
        <v>1</v>
      </c>
      <c r="E584" s="4">
        <f t="shared" si="112"/>
        <v>3</v>
      </c>
      <c r="F584" s="4">
        <v>518.3850036</v>
      </c>
      <c r="G584" s="4">
        <v>1373.7202600000001</v>
      </c>
      <c r="H584" s="4">
        <v>215.7</v>
      </c>
      <c r="I584" s="4">
        <v>0.2157</v>
      </c>
      <c r="J584" s="4">
        <v>2.1570000000000001E-4</v>
      </c>
      <c r="K584" s="4">
        <v>0.47553653400000001</v>
      </c>
      <c r="L584" s="4">
        <v>1.2500000000000001E-2</v>
      </c>
      <c r="M584" s="4">
        <v>2.82</v>
      </c>
      <c r="N584" s="4">
        <v>31.802483779999999</v>
      </c>
      <c r="O584" s="4">
        <f t="shared" si="113"/>
        <v>0.47113422091654195</v>
      </c>
      <c r="P584" s="4">
        <f t="shared" si="114"/>
        <v>12.479436322755602</v>
      </c>
      <c r="Q584" s="4">
        <f t="shared" si="118"/>
        <v>31.697768259799229</v>
      </c>
      <c r="R584" s="4">
        <f t="shared" si="115"/>
        <v>213.70314200022767</v>
      </c>
      <c r="S584" s="4">
        <f t="shared" si="116"/>
        <v>513.58601778473371</v>
      </c>
      <c r="T584" s="4">
        <f t="shared" si="117"/>
        <v>1361.0029471295443</v>
      </c>
      <c r="U584" s="4">
        <v>50</v>
      </c>
      <c r="V584" s="4">
        <v>0.33500000000000002</v>
      </c>
      <c r="W584" s="4">
        <v>0</v>
      </c>
    </row>
    <row r="585" spans="1:25" x14ac:dyDescent="0.25">
      <c r="A585" s="4" t="s">
        <v>137</v>
      </c>
      <c r="B585" s="4" t="s">
        <v>138</v>
      </c>
      <c r="C585" s="4">
        <v>4</v>
      </c>
      <c r="D585" s="4">
        <v>1</v>
      </c>
      <c r="E585" s="4">
        <f t="shared" si="112"/>
        <v>4</v>
      </c>
      <c r="F585" s="4">
        <v>871.90579170000001</v>
      </c>
      <c r="G585" s="4">
        <v>2310.5503480000002</v>
      </c>
      <c r="H585" s="4">
        <v>362.79999989999999</v>
      </c>
      <c r="I585" s="4">
        <v>0.36280000000000001</v>
      </c>
      <c r="J585" s="4">
        <v>3.6279999999999998E-4</v>
      </c>
      <c r="K585" s="4">
        <v>0.79983613600000003</v>
      </c>
      <c r="L585" s="4">
        <v>1.2500000000000001E-2</v>
      </c>
      <c r="M585" s="4">
        <v>2.82</v>
      </c>
      <c r="N585" s="4">
        <v>38.241774589999999</v>
      </c>
      <c r="O585" s="4">
        <f t="shared" si="113"/>
        <v>0.72362605313298989</v>
      </c>
      <c r="P585" s="4">
        <f t="shared" si="114"/>
        <v>14.530597075190434</v>
      </c>
      <c r="Q585" s="4">
        <f t="shared" si="118"/>
        <v>36.907716570983702</v>
      </c>
      <c r="R585" s="4">
        <f t="shared" si="115"/>
        <v>328.23164678402168</v>
      </c>
      <c r="S585" s="4">
        <f t="shared" si="116"/>
        <v>788.8287593944284</v>
      </c>
      <c r="T585" s="4">
        <f t="shared" si="117"/>
        <v>2090.3962123952351</v>
      </c>
      <c r="U585" s="4">
        <v>50</v>
      </c>
      <c r="V585" s="4">
        <v>0.33500000000000002</v>
      </c>
      <c r="W585" s="4">
        <v>0</v>
      </c>
    </row>
    <row r="586" spans="1:25" x14ac:dyDescent="0.25">
      <c r="A586" s="4" t="s">
        <v>137</v>
      </c>
      <c r="B586" s="4" t="s">
        <v>138</v>
      </c>
      <c r="C586" s="4">
        <v>5</v>
      </c>
      <c r="D586" s="4">
        <v>1</v>
      </c>
      <c r="E586" s="4">
        <f t="shared" si="112"/>
        <v>5</v>
      </c>
      <c r="F586" s="4">
        <v>1241.7688049999999</v>
      </c>
      <c r="G586" s="4">
        <v>3290.6873340000002</v>
      </c>
      <c r="H586" s="4">
        <v>516.6999998</v>
      </c>
      <c r="I586" s="4">
        <v>0.51670000000000005</v>
      </c>
      <c r="J586" s="4">
        <v>5.1670000000000004E-4</v>
      </c>
      <c r="K586" s="4">
        <v>1.139127153</v>
      </c>
      <c r="L586" s="4">
        <v>1.2500000000000001E-2</v>
      </c>
      <c r="M586" s="4">
        <v>2.82</v>
      </c>
      <c r="N586" s="4">
        <v>43.350678950000002</v>
      </c>
      <c r="O586" s="4">
        <f t="shared" si="113"/>
        <v>0.94913977708671626</v>
      </c>
      <c r="P586" s="4">
        <f t="shared" si="114"/>
        <v>15.997870482638643</v>
      </c>
      <c r="Q586" s="4">
        <f t="shared" si="118"/>
        <v>40.634591025902154</v>
      </c>
      <c r="R586" s="4">
        <f t="shared" si="115"/>
        <v>430.52307294985815</v>
      </c>
      <c r="S586" s="4">
        <f t="shared" si="116"/>
        <v>1034.6625161015577</v>
      </c>
      <c r="T586" s="4">
        <f t="shared" si="117"/>
        <v>2741.8556676691278</v>
      </c>
      <c r="U586" s="4">
        <v>50</v>
      </c>
      <c r="V586" s="4">
        <v>0.33500000000000002</v>
      </c>
      <c r="W586" s="4">
        <v>0</v>
      </c>
    </row>
    <row r="587" spans="1:25" x14ac:dyDescent="0.25">
      <c r="A587" s="4" t="s">
        <v>137</v>
      </c>
      <c r="B587" s="4" t="s">
        <v>138</v>
      </c>
      <c r="C587" s="4">
        <v>6</v>
      </c>
      <c r="D587" s="4">
        <v>1</v>
      </c>
      <c r="E587" s="4">
        <f t="shared" si="112"/>
        <v>6</v>
      </c>
      <c r="F587" s="4">
        <v>1659.2165339999999</v>
      </c>
      <c r="G587" s="4">
        <v>4396.9238160000004</v>
      </c>
      <c r="H587" s="4">
        <v>690.39999980000005</v>
      </c>
      <c r="I587" s="4">
        <v>0.69040000000000001</v>
      </c>
      <c r="J587" s="4">
        <v>6.9039999999999998E-4</v>
      </c>
      <c r="K587" s="4">
        <v>1.522069648</v>
      </c>
      <c r="L587" s="4">
        <v>1.2500000000000001E-2</v>
      </c>
      <c r="M587" s="4">
        <v>2.82</v>
      </c>
      <c r="N587" s="4">
        <v>48.042758149999997</v>
      </c>
      <c r="O587" s="4">
        <f t="shared" si="113"/>
        <v>1.1354176474011326</v>
      </c>
      <c r="P587" s="4">
        <f t="shared" si="114"/>
        <v>17.047467034078643</v>
      </c>
      <c r="Q587" s="4">
        <f t="shared" si="118"/>
        <v>43.300566266559755</v>
      </c>
      <c r="R587" s="4">
        <f t="shared" si="115"/>
        <v>515.01739410924904</v>
      </c>
      <c r="S587" s="4">
        <f t="shared" si="116"/>
        <v>1237.7250519328265</v>
      </c>
      <c r="T587" s="4">
        <f t="shared" si="117"/>
        <v>3279.9713876219903</v>
      </c>
      <c r="U587" s="4">
        <v>50</v>
      </c>
      <c r="V587" s="4">
        <v>0.33500000000000002</v>
      </c>
      <c r="W587" s="4">
        <v>0</v>
      </c>
    </row>
    <row r="588" spans="1:25" x14ac:dyDescent="0.25">
      <c r="A588" s="4" t="s">
        <v>137</v>
      </c>
      <c r="B588" s="4" t="s">
        <v>138</v>
      </c>
      <c r="C588" s="4">
        <v>7</v>
      </c>
      <c r="D588" s="4">
        <v>1</v>
      </c>
      <c r="E588" s="4">
        <f t="shared" si="112"/>
        <v>7</v>
      </c>
      <c r="F588" s="4">
        <v>2118.4811340000001</v>
      </c>
      <c r="G588" s="4">
        <v>5613.9750059999997</v>
      </c>
      <c r="H588" s="4">
        <v>881.49999990000003</v>
      </c>
      <c r="I588" s="4">
        <v>0.88149999999999995</v>
      </c>
      <c r="J588" s="4">
        <v>8.8150000000000001E-4</v>
      </c>
      <c r="K588" s="4">
        <v>1.94337253</v>
      </c>
      <c r="L588" s="4">
        <v>1.2500000000000001E-2</v>
      </c>
      <c r="M588" s="4">
        <v>2.82</v>
      </c>
      <c r="N588" s="4">
        <v>52.391361189999998</v>
      </c>
      <c r="O588" s="4">
        <f t="shared" si="113"/>
        <v>1.2821567714150832</v>
      </c>
      <c r="P588" s="4">
        <f t="shared" si="114"/>
        <v>17.798283422627978</v>
      </c>
      <c r="Q588" s="4">
        <f t="shared" si="118"/>
        <v>45.207639893475069</v>
      </c>
      <c r="R588" s="4">
        <f t="shared" si="115"/>
        <v>581.57722029877402</v>
      </c>
      <c r="S588" s="4">
        <f t="shared" si="116"/>
        <v>1397.686181924475</v>
      </c>
      <c r="T588" s="4">
        <f t="shared" si="117"/>
        <v>3703.8683820998585</v>
      </c>
      <c r="U588" s="4">
        <v>50</v>
      </c>
      <c r="V588" s="4">
        <v>0.33500000000000002</v>
      </c>
      <c r="W588" s="4">
        <v>0</v>
      </c>
    </row>
    <row r="589" spans="1:25" x14ac:dyDescent="0.25">
      <c r="A589" s="4" t="s">
        <v>137</v>
      </c>
      <c r="B589" s="4" t="s">
        <v>138</v>
      </c>
      <c r="C589" s="4">
        <v>8</v>
      </c>
      <c r="D589" s="4">
        <v>1</v>
      </c>
      <c r="E589" s="4">
        <f t="shared" si="112"/>
        <v>8</v>
      </c>
      <c r="F589" s="4">
        <v>2453.016102</v>
      </c>
      <c r="G589" s="4">
        <v>6500.492671</v>
      </c>
      <c r="H589" s="4">
        <v>1020.7</v>
      </c>
      <c r="I589" s="4">
        <v>1.0206999999999999</v>
      </c>
      <c r="J589" s="4">
        <v>1.0207E-3</v>
      </c>
      <c r="K589" s="4">
        <v>2.2502556340000002</v>
      </c>
      <c r="L589" s="4">
        <v>1.2500000000000001E-2</v>
      </c>
      <c r="M589" s="4">
        <v>2.82</v>
      </c>
      <c r="N589" s="4">
        <v>55.187376929999999</v>
      </c>
      <c r="O589" s="4">
        <f t="shared" si="113"/>
        <v>1.3942857702158813</v>
      </c>
      <c r="P589" s="4">
        <f t="shared" si="114"/>
        <v>18.335370981215004</v>
      </c>
      <c r="Q589" s="4">
        <f t="shared" si="118"/>
        <v>46.571842292286107</v>
      </c>
      <c r="R589" s="4">
        <f t="shared" si="115"/>
        <v>632.43813909693336</v>
      </c>
      <c r="S589" s="4">
        <f t="shared" si="116"/>
        <v>1519.9186231601377</v>
      </c>
      <c r="T589" s="4">
        <f t="shared" si="117"/>
        <v>4027.7843513743646</v>
      </c>
      <c r="U589" s="4">
        <v>50</v>
      </c>
      <c r="V589" s="4">
        <v>0.33500000000000002</v>
      </c>
      <c r="W589" s="4">
        <v>0</v>
      </c>
    </row>
    <row r="590" spans="1:25" x14ac:dyDescent="0.25">
      <c r="A590" s="4" t="s">
        <v>137</v>
      </c>
      <c r="B590" s="4" t="s">
        <v>138</v>
      </c>
      <c r="C590" s="4">
        <v>9</v>
      </c>
      <c r="D590" s="4">
        <v>1</v>
      </c>
      <c r="E590" s="4">
        <f t="shared" si="112"/>
        <v>9</v>
      </c>
      <c r="F590" s="4">
        <v>2682.2879109999999</v>
      </c>
      <c r="G590" s="4">
        <v>7108.0629650000001</v>
      </c>
      <c r="H590" s="4">
        <v>1116.0999999999999</v>
      </c>
      <c r="I590" s="4">
        <v>1.1161000000000001</v>
      </c>
      <c r="J590" s="4">
        <v>1.1161000000000001E-3</v>
      </c>
      <c r="K590" s="4">
        <v>2.4605763810000001</v>
      </c>
      <c r="L590" s="4">
        <v>1.2500000000000001E-2</v>
      </c>
      <c r="M590" s="4">
        <v>2.82</v>
      </c>
      <c r="N590" s="4">
        <v>56.963988270000002</v>
      </c>
      <c r="O590" s="4">
        <f t="shared" si="113"/>
        <v>1.4782544566298856</v>
      </c>
      <c r="P590" s="4">
        <f t="shared" si="114"/>
        <v>18.719570167578411</v>
      </c>
      <c r="Q590" s="4">
        <f t="shared" si="118"/>
        <v>47.547708225649167</v>
      </c>
      <c r="R590" s="4">
        <f t="shared" si="115"/>
        <v>670.5257398689505</v>
      </c>
      <c r="S590" s="4">
        <f t="shared" si="116"/>
        <v>1611.4533522445338</v>
      </c>
      <c r="T590" s="4">
        <f t="shared" si="117"/>
        <v>4270.3513834480145</v>
      </c>
      <c r="U590" s="4">
        <v>50</v>
      </c>
      <c r="V590" s="4">
        <v>0.33500000000000002</v>
      </c>
      <c r="W590" s="4">
        <v>0</v>
      </c>
    </row>
    <row r="591" spans="1:25" x14ac:dyDescent="0.25">
      <c r="A591" s="4" t="s">
        <v>137</v>
      </c>
      <c r="B591" s="4" t="s">
        <v>138</v>
      </c>
      <c r="C591" s="4">
        <v>10</v>
      </c>
      <c r="D591" s="4">
        <v>1</v>
      </c>
      <c r="E591" s="4">
        <f t="shared" si="112"/>
        <v>10</v>
      </c>
      <c r="F591" s="4">
        <v>2907.954819</v>
      </c>
      <c r="G591" s="4">
        <v>7706.080269</v>
      </c>
      <c r="H591" s="4">
        <v>1210</v>
      </c>
      <c r="I591" s="4">
        <v>1.21</v>
      </c>
      <c r="J591" s="4">
        <v>1.2099999999999999E-3</v>
      </c>
      <c r="K591" s="4">
        <v>2.6675901999999998</v>
      </c>
      <c r="L591" s="4">
        <v>1.2500000000000001E-2</v>
      </c>
      <c r="M591" s="4">
        <v>2.82</v>
      </c>
      <c r="N591" s="4">
        <v>58.619337639999998</v>
      </c>
      <c r="O591" s="4">
        <f t="shared" si="113"/>
        <v>1.5402780654167569</v>
      </c>
      <c r="P591" s="4">
        <f t="shared" si="114"/>
        <v>18.994402478329821</v>
      </c>
      <c r="Q591" s="4">
        <f t="shared" si="118"/>
        <v>48.245782294957749</v>
      </c>
      <c r="R591" s="4">
        <f t="shared" si="115"/>
        <v>698.65920903228539</v>
      </c>
      <c r="S591" s="4">
        <f t="shared" si="116"/>
        <v>1679.0656309355575</v>
      </c>
      <c r="T591" s="4">
        <f t="shared" si="117"/>
        <v>4449.5239219792275</v>
      </c>
      <c r="U591" s="4">
        <v>50</v>
      </c>
      <c r="V591" s="4">
        <v>0.33500000000000002</v>
      </c>
      <c r="W591" s="4">
        <v>0</v>
      </c>
    </row>
  </sheetData>
  <conditionalFormatting sqref="W1:W1048576">
    <cfRule type="cellIs" dxfId="4" priority="2" operator="lessThan">
      <formula>0</formula>
    </cfRule>
  </conditionalFormatting>
  <conditionalFormatting sqref="D1:D1048576">
    <cfRule type="cellIs" dxfId="3" priority="1" operator="greaterThan">
      <formula>3</formula>
    </cfRule>
  </conditionalFormatting>
  <hyperlinks>
    <hyperlink ref="Y58" r:id="rId1"/>
    <hyperlink ref="Z58" r:id="rId2"/>
    <hyperlink ref="AA58" r:id="rId3"/>
    <hyperlink ref="AB58" r:id="rId4"/>
    <hyperlink ref="AC58" r:id="rId5"/>
    <hyperlink ref="AD58" r:id="rId6"/>
    <hyperlink ref="AE58" r:id="rId7"/>
    <hyperlink ref="AF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88" r:id="rId19"/>
    <hyperlink ref="AA88" r:id="rId20"/>
    <hyperlink ref="AB88" r:id="rId21"/>
    <hyperlink ref="Y118" r:id="rId22"/>
    <hyperlink ref="Z118" r:id="rId23"/>
    <hyperlink ref="AA118" r:id="rId24"/>
    <hyperlink ref="Y128" r:id="rId25"/>
    <hyperlink ref="Z128" r:id="rId26"/>
    <hyperlink ref="AA128" r:id="rId27"/>
    <hyperlink ref="AB128" r:id="rId28"/>
    <hyperlink ref="AC128" r:id="rId29"/>
    <hyperlink ref="AD128" r:id="rId30"/>
    <hyperlink ref="AE128" r:id="rId31"/>
    <hyperlink ref="AF128" r:id="rId32"/>
    <hyperlink ref="AG128" r:id="rId33"/>
    <hyperlink ref="AH128" r:id="rId34"/>
    <hyperlink ref="AI128" r:id="rId35"/>
    <hyperlink ref="Y138" r:id="rId36"/>
    <hyperlink ref="Z138" r:id="rId37"/>
    <hyperlink ref="AA138" r:id="rId38"/>
    <hyperlink ref="AB138" r:id="rId39"/>
    <hyperlink ref="AC138" r:id="rId40"/>
    <hyperlink ref="AD138" r:id="rId41"/>
    <hyperlink ref="AE138" r:id="rId42"/>
    <hyperlink ref="AF138" r:id="rId43"/>
    <hyperlink ref="Y148" r:id="rId44"/>
    <hyperlink ref="Z148" r:id="rId45"/>
    <hyperlink ref="AA148" r:id="rId46"/>
    <hyperlink ref="AB148" r:id="rId47"/>
    <hyperlink ref="Y158" r:id="rId48"/>
    <hyperlink ref="Z158" r:id="rId49"/>
    <hyperlink ref="AA158" r:id="rId50"/>
    <hyperlink ref="Z258" r:id="rId51"/>
    <hyperlink ref="AA258" r:id="rId52"/>
    <hyperlink ref="AB258" r:id="rId53"/>
    <hyperlink ref="Y288" r:id="rId54"/>
    <hyperlink ref="Z288" r:id="rId55"/>
    <hyperlink ref="AA288" r:id="rId56"/>
    <hyperlink ref="Y328" r:id="rId57"/>
    <hyperlink ref="Z328" r:id="rId58"/>
    <hyperlink ref="AA328" r:id="rId59"/>
    <hyperlink ref="AB328" r:id="rId60"/>
    <hyperlink ref="AC328" r:id="rId61"/>
    <hyperlink ref="AD328" r:id="rId62"/>
    <hyperlink ref="AE328" r:id="rId63"/>
    <hyperlink ref="AF328" r:id="rId64"/>
    <hyperlink ref="AG328" r:id="rId65"/>
    <hyperlink ref="AH328" r:id="rId66"/>
    <hyperlink ref="Y348" r:id="rId67"/>
    <hyperlink ref="Z348" r:id="rId68"/>
    <hyperlink ref="AB348" r:id="rId69"/>
    <hyperlink ref="Y368" r:id="rId70"/>
    <hyperlink ref="X385" r:id="rId71"/>
    <hyperlink ref="Z385" r:id="rId72"/>
    <hyperlink ref="Y408" r:id="rId73"/>
    <hyperlink ref="AB408" r:id="rId74"/>
    <hyperlink ref="AC408" r:id="rId75"/>
    <hyperlink ref="AF408" r:id="rId76"/>
    <hyperlink ref="AA428" r:id="rId77"/>
    <hyperlink ref="AB428" r:id="rId78"/>
    <hyperlink ref="AC428" r:id="rId79"/>
    <hyperlink ref="AD428" r:id="rId80"/>
    <hyperlink ref="AE428" r:id="rId81"/>
    <hyperlink ref="AF428" r:id="rId82"/>
    <hyperlink ref="Y478" r:id="rId83"/>
    <hyperlink ref="Z478" r:id="rId84"/>
    <hyperlink ref="AA478" r:id="rId85"/>
    <hyperlink ref="Y498" r:id="rId86"/>
    <hyperlink ref="AA498" r:id="rId87"/>
    <hyperlink ref="AB498" r:id="rId88"/>
    <hyperlink ref="AD498" r:id="rId89"/>
    <hyperlink ref="AE498" r:id="rId90"/>
    <hyperlink ref="Y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pane ySplit="1" topLeftCell="A23" activePane="bottomLeft" state="frozen"/>
      <selection activeCell="B1" sqref="B1"/>
      <selection pane="bottomLeft" activeCell="B1" sqref="B1"/>
    </sheetView>
  </sheetViews>
  <sheetFormatPr defaultRowHeight="15" x14ac:dyDescent="0.25"/>
  <cols>
    <col min="1" max="1" width="5.42578125"/>
    <col min="2" max="2" width="24.7109375"/>
    <col min="3" max="3" width="6.85546875"/>
    <col min="4" max="4" width="7.42578125"/>
    <col min="5" max="5" width="4"/>
    <col min="6" max="11" width="11.7109375"/>
    <col min="12" max="12" width="7.85546875"/>
    <col min="13" max="13" width="5.85546875"/>
    <col min="14" max="20" width="11.7109375"/>
    <col min="21" max="21" width="12.5703125"/>
    <col min="22" max="1025" width="7.28515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21</v>
      </c>
      <c r="B3" t="s">
        <v>22</v>
      </c>
      <c r="C3">
        <v>2</v>
      </c>
      <c r="D3">
        <v>1</v>
      </c>
      <c r="E3"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v>6.9567101230611001</v>
      </c>
      <c r="P3">
        <v>5.3868105799443802</v>
      </c>
      <c r="Q3">
        <v>12.9459518864321</v>
      </c>
      <c r="R3">
        <v>34.306772499045003</v>
      </c>
      <c r="S3">
        <v>13.8</v>
      </c>
      <c r="T3">
        <v>0.21</v>
      </c>
      <c r="U3">
        <v>-1.34</v>
      </c>
    </row>
    <row r="4" spans="1:21" x14ac:dyDescent="0.25">
      <c r="A4" t="s">
        <v>21</v>
      </c>
      <c r="B4" t="s">
        <v>22</v>
      </c>
      <c r="C4">
        <v>3</v>
      </c>
      <c r="D4">
        <v>1</v>
      </c>
      <c r="E4"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v>8.2529370351460702</v>
      </c>
      <c r="P4">
        <v>8.9938487101930598</v>
      </c>
      <c r="Q4">
        <v>21.614632805078202</v>
      </c>
      <c r="R4">
        <v>57.278776933457301</v>
      </c>
      <c r="S4">
        <v>13.8</v>
      </c>
      <c r="T4">
        <v>0.21</v>
      </c>
      <c r="U4">
        <v>-1.34</v>
      </c>
    </row>
    <row r="5" spans="1:21" x14ac:dyDescent="0.25">
      <c r="A5" t="s">
        <v>21</v>
      </c>
      <c r="B5" t="s">
        <v>22</v>
      </c>
      <c r="C5">
        <v>4</v>
      </c>
      <c r="D5">
        <v>1</v>
      </c>
      <c r="E5"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v>9.3036381492847298</v>
      </c>
      <c r="P5">
        <v>12.8848217588975</v>
      </c>
      <c r="Q5">
        <v>30.9656855537071</v>
      </c>
      <c r="R5">
        <v>82.059066717323901</v>
      </c>
      <c r="S5">
        <v>13.8</v>
      </c>
      <c r="T5">
        <v>0.21</v>
      </c>
      <c r="U5">
        <v>-1.34</v>
      </c>
    </row>
    <row r="6" spans="1:21" x14ac:dyDescent="0.25">
      <c r="A6" t="s">
        <v>21</v>
      </c>
      <c r="B6" t="s">
        <v>22</v>
      </c>
      <c r="C6">
        <v>5</v>
      </c>
      <c r="D6">
        <v>1</v>
      </c>
      <c r="E6"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v>10.1553199196288</v>
      </c>
      <c r="P6">
        <v>16.757175219079901</v>
      </c>
      <c r="Q6">
        <v>40.271990432780299</v>
      </c>
      <c r="R6">
        <v>106.72077464686799</v>
      </c>
      <c r="S6">
        <v>13.8</v>
      </c>
      <c r="T6">
        <v>0.21</v>
      </c>
      <c r="U6">
        <v>-1.34</v>
      </c>
    </row>
    <row r="7" spans="1:21" x14ac:dyDescent="0.25">
      <c r="A7" t="s">
        <v>21</v>
      </c>
      <c r="B7" t="s">
        <v>22</v>
      </c>
      <c r="C7">
        <v>6</v>
      </c>
      <c r="D7">
        <v>1</v>
      </c>
      <c r="E7"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v>10.8456797452498</v>
      </c>
      <c r="P7">
        <v>20.4122233421221</v>
      </c>
      <c r="Q7">
        <v>49.0560522521561</v>
      </c>
      <c r="R7">
        <v>129.99853846821401</v>
      </c>
      <c r="S7">
        <v>13.8</v>
      </c>
      <c r="T7">
        <v>0.21</v>
      </c>
      <c r="U7">
        <v>-1.34</v>
      </c>
    </row>
    <row r="8" spans="1:21" x14ac:dyDescent="0.25">
      <c r="A8" t="s">
        <v>21</v>
      </c>
      <c r="B8" t="s">
        <v>22</v>
      </c>
      <c r="C8">
        <v>7</v>
      </c>
      <c r="D8">
        <v>1</v>
      </c>
      <c r="E8"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v>11.405274543948799</v>
      </c>
      <c r="P8">
        <v>23.737622253013601</v>
      </c>
      <c r="Q8">
        <v>57.0478785220227</v>
      </c>
      <c r="R8">
        <v>151.17687808336001</v>
      </c>
      <c r="S8">
        <v>13.8</v>
      </c>
      <c r="T8">
        <v>0.21</v>
      </c>
      <c r="U8">
        <v>-1.34</v>
      </c>
    </row>
    <row r="9" spans="1:21" x14ac:dyDescent="0.25">
      <c r="A9" t="s">
        <v>21</v>
      </c>
      <c r="B9" t="s">
        <v>22</v>
      </c>
      <c r="C9">
        <v>8</v>
      </c>
      <c r="D9">
        <v>1</v>
      </c>
      <c r="E9"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v>11.858873271901199</v>
      </c>
      <c r="P9">
        <v>26.6839591327501</v>
      </c>
      <c r="Q9">
        <v>64.128716973684504</v>
      </c>
      <c r="R9">
        <v>169.941099980264</v>
      </c>
      <c r="S9">
        <v>13.8</v>
      </c>
      <c r="T9">
        <v>0.21</v>
      </c>
      <c r="U9">
        <v>-1.34</v>
      </c>
    </row>
    <row r="10" spans="1:21" x14ac:dyDescent="0.25">
      <c r="A10" t="s">
        <v>21</v>
      </c>
      <c r="B10" t="s">
        <v>22</v>
      </c>
      <c r="C10">
        <v>9</v>
      </c>
      <c r="D10">
        <v>1</v>
      </c>
      <c r="E10"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v>12.2265532547714</v>
      </c>
      <c r="P10">
        <v>29.243686140799799</v>
      </c>
      <c r="Q10">
        <v>70.280428120162995</v>
      </c>
      <c r="R10">
        <v>186.24313451843199</v>
      </c>
      <c r="S10">
        <v>13.8</v>
      </c>
      <c r="T10">
        <v>0.21</v>
      </c>
      <c r="U10">
        <v>-1.34</v>
      </c>
    </row>
    <row r="11" spans="1:21" x14ac:dyDescent="0.25">
      <c r="A11" t="s">
        <v>21</v>
      </c>
      <c r="B11" t="s">
        <v>22</v>
      </c>
      <c r="C11">
        <v>10</v>
      </c>
      <c r="D11">
        <v>1</v>
      </c>
      <c r="E11"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v>12.5245888564447</v>
      </c>
      <c r="P11">
        <v>31.4347794283191</v>
      </c>
      <c r="Q11">
        <v>75.546213478296295</v>
      </c>
      <c r="R11">
        <v>200.19746571748499</v>
      </c>
      <c r="S11">
        <v>13.8</v>
      </c>
      <c r="T11">
        <v>0.21</v>
      </c>
      <c r="U11">
        <v>-1.34</v>
      </c>
    </row>
    <row r="12" spans="1:21" x14ac:dyDescent="0.25">
      <c r="A12" t="s">
        <v>23</v>
      </c>
      <c r="B12" t="s">
        <v>24</v>
      </c>
      <c r="C12">
        <v>1</v>
      </c>
      <c r="D12">
        <v>3</v>
      </c>
      <c r="E12"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v>48.279812187087401</v>
      </c>
      <c r="P12">
        <v>1296.2217182591</v>
      </c>
      <c r="Q12">
        <v>3115.1687533263698</v>
      </c>
      <c r="R12">
        <v>8255.1971963148899</v>
      </c>
      <c r="S12">
        <v>314.89999999999998</v>
      </c>
      <c r="T12">
        <v>8.8999999999999996E-2</v>
      </c>
      <c r="U12">
        <v>-1.1299999999999999</v>
      </c>
    </row>
    <row r="13" spans="1:21" x14ac:dyDescent="0.25">
      <c r="A13" t="s">
        <v>23</v>
      </c>
      <c r="B13" t="s">
        <v>24</v>
      </c>
      <c r="C13">
        <v>2</v>
      </c>
      <c r="D13">
        <v>3</v>
      </c>
      <c r="E13"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v>110.756101882612</v>
      </c>
      <c r="P13">
        <v>13144.955654073299</v>
      </c>
      <c r="Q13">
        <v>31590.857135480201</v>
      </c>
      <c r="R13">
        <v>83715.771409022607</v>
      </c>
      <c r="S13">
        <v>314.89999999999998</v>
      </c>
      <c r="T13">
        <v>8.8999999999999996E-2</v>
      </c>
      <c r="U13">
        <v>-1.1299999999999999</v>
      </c>
    </row>
    <row r="14" spans="1:21" x14ac:dyDescent="0.25">
      <c r="A14" t="s">
        <v>23</v>
      </c>
      <c r="B14" t="s">
        <v>24</v>
      </c>
      <c r="C14">
        <v>3</v>
      </c>
      <c r="D14">
        <v>3</v>
      </c>
      <c r="E14"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v>158.59251450754499</v>
      </c>
      <c r="P14">
        <v>35790.028072359702</v>
      </c>
      <c r="Q14">
        <v>86013.045115019704</v>
      </c>
      <c r="R14">
        <v>227934.569554802</v>
      </c>
      <c r="S14">
        <v>314.89999999999998</v>
      </c>
      <c r="T14">
        <v>8.8999999999999996E-2</v>
      </c>
      <c r="U14">
        <v>-1.1299999999999999</v>
      </c>
    </row>
    <row r="15" spans="1:21" x14ac:dyDescent="0.25">
      <c r="A15" t="s">
        <v>23</v>
      </c>
      <c r="B15" t="s">
        <v>24</v>
      </c>
      <c r="C15">
        <v>4</v>
      </c>
      <c r="D15">
        <v>3</v>
      </c>
      <c r="E15"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v>195.219567489963</v>
      </c>
      <c r="P15">
        <v>63904.800593289401</v>
      </c>
      <c r="Q15">
        <v>153580.39075532201</v>
      </c>
      <c r="R15">
        <v>406988.03550160298</v>
      </c>
      <c r="S15">
        <v>314.89999999999998</v>
      </c>
      <c r="T15">
        <v>8.8999999999999996E-2</v>
      </c>
      <c r="U15">
        <v>-1.1299999999999999</v>
      </c>
    </row>
    <row r="16" spans="1:21" x14ac:dyDescent="0.25">
      <c r="A16" t="s">
        <v>23</v>
      </c>
      <c r="B16" t="s">
        <v>24</v>
      </c>
      <c r="C16">
        <v>5</v>
      </c>
      <c r="D16">
        <v>3</v>
      </c>
      <c r="E16"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v>223.26391564573601</v>
      </c>
      <c r="P16">
        <v>92934.521414995499</v>
      </c>
      <c r="Q16">
        <v>223346.60277576401</v>
      </c>
      <c r="R16">
        <v>591868.49735577498</v>
      </c>
      <c r="S16">
        <v>314.89999999999998</v>
      </c>
      <c r="T16">
        <v>8.8999999999999996E-2</v>
      </c>
      <c r="U16">
        <v>-1.1299999999999999</v>
      </c>
    </row>
    <row r="17" spans="1:21" x14ac:dyDescent="0.25">
      <c r="A17" t="s">
        <v>23</v>
      </c>
      <c r="B17" t="s">
        <v>24</v>
      </c>
      <c r="C17">
        <v>6</v>
      </c>
      <c r="D17">
        <v>3</v>
      </c>
      <c r="E17"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v>244.73671783540999</v>
      </c>
      <c r="P17">
        <v>120072.60272624101</v>
      </c>
      <c r="Q17">
        <v>288566.69725124101</v>
      </c>
      <c r="R17">
        <v>764701.74771578796</v>
      </c>
      <c r="S17">
        <v>314.89999999999998</v>
      </c>
      <c r="T17">
        <v>8.8999999999999996E-2</v>
      </c>
      <c r="U17">
        <v>-1.1299999999999999</v>
      </c>
    </row>
    <row r="18" spans="1:21" x14ac:dyDescent="0.25">
      <c r="A18" t="s">
        <v>23</v>
      </c>
      <c r="B18" t="s">
        <v>24</v>
      </c>
      <c r="C18">
        <v>7</v>
      </c>
      <c r="D18">
        <v>3</v>
      </c>
      <c r="E18"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v>261.17786424094697</v>
      </c>
      <c r="P18">
        <v>143954.68698504401</v>
      </c>
      <c r="Q18">
        <v>345961.75675328902</v>
      </c>
      <c r="R18">
        <v>916798.65539621701</v>
      </c>
      <c r="S18">
        <v>314.89999999999998</v>
      </c>
      <c r="T18">
        <v>8.8999999999999996E-2</v>
      </c>
      <c r="U18">
        <v>-1.1299999999999999</v>
      </c>
    </row>
    <row r="19" spans="1:21" x14ac:dyDescent="0.25">
      <c r="A19" t="s">
        <v>23</v>
      </c>
      <c r="B19" t="s">
        <v>24</v>
      </c>
      <c r="C19">
        <v>8</v>
      </c>
      <c r="D19">
        <v>3</v>
      </c>
      <c r="E19"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v>273.76640730768599</v>
      </c>
      <c r="P19">
        <v>164158.73057242401</v>
      </c>
      <c r="Q19">
        <v>394517.49716996902</v>
      </c>
      <c r="R19">
        <v>1045471.36750042</v>
      </c>
      <c r="S19">
        <v>314.89999999999998</v>
      </c>
      <c r="T19">
        <v>8.8999999999999996E-2</v>
      </c>
      <c r="U19">
        <v>-1.1299999999999999</v>
      </c>
    </row>
    <row r="20" spans="1:21" x14ac:dyDescent="0.25">
      <c r="A20" t="s">
        <v>23</v>
      </c>
      <c r="B20" t="s">
        <v>24</v>
      </c>
      <c r="C20">
        <v>9</v>
      </c>
      <c r="D20">
        <v>3</v>
      </c>
      <c r="E20"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v>283.40511574287001</v>
      </c>
      <c r="P20">
        <v>180796.821177259</v>
      </c>
      <c r="Q20">
        <v>434503.295307038</v>
      </c>
      <c r="R20">
        <v>1151433.73256365</v>
      </c>
      <c r="S20">
        <v>314.89999999999998</v>
      </c>
      <c r="T20">
        <v>8.8999999999999996E-2</v>
      </c>
      <c r="U20">
        <v>-1.1299999999999999</v>
      </c>
    </row>
    <row r="21" spans="1:21" x14ac:dyDescent="0.25">
      <c r="A21" t="s">
        <v>23</v>
      </c>
      <c r="B21" t="s">
        <v>24</v>
      </c>
      <c r="C21">
        <v>10</v>
      </c>
      <c r="D21">
        <v>3</v>
      </c>
      <c r="E21"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v>290.785215235397</v>
      </c>
      <c r="P21">
        <v>194240.65083008999</v>
      </c>
      <c r="Q21">
        <v>466812.42689279001</v>
      </c>
      <c r="R21">
        <v>1237052.9312658899</v>
      </c>
      <c r="S21">
        <v>314.89999999999998</v>
      </c>
      <c r="T21">
        <v>8.8999999999999996E-2</v>
      </c>
      <c r="U21">
        <v>-1.1299999999999999</v>
      </c>
    </row>
    <row r="22" spans="1:21" x14ac:dyDescent="0.25">
      <c r="A22" t="s">
        <v>25</v>
      </c>
      <c r="B22" t="s">
        <v>26</v>
      </c>
      <c r="C22">
        <v>1</v>
      </c>
      <c r="D22">
        <v>3</v>
      </c>
      <c r="E22"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v>33.658006569474097</v>
      </c>
      <c r="P22">
        <v>708.91703154675895</v>
      </c>
      <c r="Q22">
        <v>1703.71793209988</v>
      </c>
      <c r="R22">
        <v>4514.85252006467</v>
      </c>
      <c r="S22">
        <v>358.7</v>
      </c>
      <c r="T22">
        <v>9.1999999999999998E-2</v>
      </c>
      <c r="U22">
        <v>-1.929</v>
      </c>
    </row>
    <row r="23" spans="1:21" x14ac:dyDescent="0.25">
      <c r="A23" t="s">
        <v>25</v>
      </c>
      <c r="B23" t="s">
        <v>26</v>
      </c>
      <c r="C23">
        <v>2</v>
      </c>
      <c r="D23">
        <v>3</v>
      </c>
      <c r="E23"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v>112.05393234450599</v>
      </c>
      <c r="P23">
        <v>24929.754124324802</v>
      </c>
      <c r="Q23">
        <v>59912.891430725402</v>
      </c>
      <c r="R23">
        <v>158769.16229142199</v>
      </c>
      <c r="S23">
        <v>358.7</v>
      </c>
      <c r="T23">
        <v>9.1999999999999998E-2</v>
      </c>
      <c r="U23">
        <v>-1.929</v>
      </c>
    </row>
    <row r="24" spans="1:21" x14ac:dyDescent="0.25">
      <c r="A24" t="s">
        <v>25</v>
      </c>
      <c r="B24" t="s">
        <v>26</v>
      </c>
      <c r="C24">
        <v>3</v>
      </c>
      <c r="D24">
        <v>3</v>
      </c>
      <c r="E24"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v>171.54177454160001</v>
      </c>
      <c r="P24">
        <v>87932.348526784801</v>
      </c>
      <c r="Q24">
        <v>211325.03851666601</v>
      </c>
      <c r="R24">
        <v>560011.35206916498</v>
      </c>
      <c r="S24">
        <v>358.7</v>
      </c>
      <c r="T24">
        <v>9.1999999999999998E-2</v>
      </c>
      <c r="U24">
        <v>-1.929</v>
      </c>
    </row>
    <row r="25" spans="1:21" x14ac:dyDescent="0.25">
      <c r="A25" t="s">
        <v>25</v>
      </c>
      <c r="B25" t="s">
        <v>26</v>
      </c>
      <c r="C25">
        <v>4</v>
      </c>
      <c r="D25">
        <v>3</v>
      </c>
      <c r="E25"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v>216.681918423838</v>
      </c>
      <c r="P25">
        <v>175569.42327319901</v>
      </c>
      <c r="Q25">
        <v>421940.45487430599</v>
      </c>
      <c r="R25">
        <v>1118142.2054169099</v>
      </c>
      <c r="S25">
        <v>358.7</v>
      </c>
      <c r="T25">
        <v>9.1999999999999998E-2</v>
      </c>
      <c r="U25">
        <v>-1.929</v>
      </c>
    </row>
    <row r="26" spans="1:21" x14ac:dyDescent="0.25">
      <c r="A26" t="s">
        <v>25</v>
      </c>
      <c r="B26" t="s">
        <v>26</v>
      </c>
      <c r="C26">
        <v>5</v>
      </c>
      <c r="D26">
        <v>3</v>
      </c>
      <c r="E26"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v>250.934843298103</v>
      </c>
      <c r="P26">
        <v>271090.46444670402</v>
      </c>
      <c r="Q26">
        <v>651503.15896828601</v>
      </c>
      <c r="R26">
        <v>1726483.3712659599</v>
      </c>
      <c r="S26">
        <v>358.7</v>
      </c>
      <c r="T26">
        <v>9.1999999999999998E-2</v>
      </c>
      <c r="U26">
        <v>-1.929</v>
      </c>
    </row>
    <row r="27" spans="1:21" x14ac:dyDescent="0.25">
      <c r="A27" t="s">
        <v>25</v>
      </c>
      <c r="B27" t="s">
        <v>26</v>
      </c>
      <c r="C27">
        <v>6</v>
      </c>
      <c r="D27">
        <v>3</v>
      </c>
      <c r="E27"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v>276.92640560908899</v>
      </c>
      <c r="P27">
        <v>362921.17215070501</v>
      </c>
      <c r="Q27">
        <v>872197.00108316599</v>
      </c>
      <c r="R27">
        <v>2311322.05287039</v>
      </c>
      <c r="S27">
        <v>358.7</v>
      </c>
      <c r="T27">
        <v>9.1999999999999998E-2</v>
      </c>
      <c r="U27">
        <v>-1.929</v>
      </c>
    </row>
    <row r="28" spans="1:21" x14ac:dyDescent="0.25">
      <c r="A28" t="s">
        <v>25</v>
      </c>
      <c r="B28" t="s">
        <v>26</v>
      </c>
      <c r="C28">
        <v>7</v>
      </c>
      <c r="D28">
        <v>3</v>
      </c>
      <c r="E28"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v>296.64913918135198</v>
      </c>
      <c r="P28">
        <v>444890.69960510498</v>
      </c>
      <c r="Q28">
        <v>1069191.7798728801</v>
      </c>
      <c r="R28">
        <v>2833358.2166631301</v>
      </c>
      <c r="S28">
        <v>358.7</v>
      </c>
      <c r="T28">
        <v>9.1999999999999998E-2</v>
      </c>
      <c r="U28">
        <v>-1.929</v>
      </c>
    </row>
    <row r="29" spans="1:21" x14ac:dyDescent="0.25">
      <c r="A29" t="s">
        <v>25</v>
      </c>
      <c r="B29" t="s">
        <v>26</v>
      </c>
      <c r="C29">
        <v>8</v>
      </c>
      <c r="D29">
        <v>3</v>
      </c>
      <c r="E29"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v>311.61500444594401</v>
      </c>
      <c r="P29">
        <v>514664.39223161998</v>
      </c>
      <c r="Q29">
        <v>1236876.6936592599</v>
      </c>
      <c r="R29">
        <v>3277723.2381970501</v>
      </c>
      <c r="S29">
        <v>358.7</v>
      </c>
      <c r="T29">
        <v>9.1999999999999998E-2</v>
      </c>
      <c r="U29">
        <v>-1.929</v>
      </c>
    </row>
    <row r="30" spans="1:21" x14ac:dyDescent="0.25">
      <c r="A30" t="s">
        <v>25</v>
      </c>
      <c r="B30" t="s">
        <v>26</v>
      </c>
      <c r="C30">
        <v>9</v>
      </c>
      <c r="D30">
        <v>3</v>
      </c>
      <c r="E30"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v>322.97129652874702</v>
      </c>
      <c r="P30">
        <v>572188.33147296798</v>
      </c>
      <c r="Q30">
        <v>1375122.1616750001</v>
      </c>
      <c r="R30">
        <v>3644073.7284387499</v>
      </c>
      <c r="S30">
        <v>358.7</v>
      </c>
      <c r="T30">
        <v>9.1999999999999998E-2</v>
      </c>
      <c r="U30">
        <v>-1.929</v>
      </c>
    </row>
    <row r="31" spans="1:21" x14ac:dyDescent="0.25">
      <c r="A31" t="s">
        <v>25</v>
      </c>
      <c r="B31" t="s">
        <v>26</v>
      </c>
      <c r="C31">
        <v>10</v>
      </c>
      <c r="D31">
        <v>3</v>
      </c>
      <c r="E31"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v>331.58859780667899</v>
      </c>
      <c r="P31">
        <v>618569.57439944602</v>
      </c>
      <c r="Q31">
        <v>1486588.7392440401</v>
      </c>
      <c r="R31">
        <v>3939460.1589967101</v>
      </c>
      <c r="S31">
        <v>358.7</v>
      </c>
      <c r="T31">
        <v>9.1999999999999998E-2</v>
      </c>
      <c r="U31">
        <v>-1.929</v>
      </c>
    </row>
    <row r="32" spans="1:21" x14ac:dyDescent="0.25">
      <c r="A32" t="s">
        <v>27</v>
      </c>
      <c r="B32" t="s">
        <v>28</v>
      </c>
      <c r="C32">
        <v>1</v>
      </c>
      <c r="D32">
        <v>1</v>
      </c>
      <c r="E32"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v>27.042514542150101</v>
      </c>
      <c r="P32">
        <v>156.43329523840299</v>
      </c>
      <c r="Q32">
        <v>375.95120220717001</v>
      </c>
      <c r="R32">
        <v>996.27068584899905</v>
      </c>
      <c r="S32">
        <v>81.53</v>
      </c>
      <c r="T32">
        <v>0.31</v>
      </c>
      <c r="U32">
        <v>-0.3</v>
      </c>
    </row>
    <row r="33" spans="1:21" x14ac:dyDescent="0.25">
      <c r="A33" t="s">
        <v>27</v>
      </c>
      <c r="B33" t="s">
        <v>28</v>
      </c>
      <c r="C33">
        <v>2</v>
      </c>
      <c r="D33">
        <v>1</v>
      </c>
      <c r="E33"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v>41.566319638624798</v>
      </c>
      <c r="P33">
        <v>544.18084001262002</v>
      </c>
      <c r="Q33">
        <v>1307.8126412223501</v>
      </c>
      <c r="R33">
        <v>3465.70349923923</v>
      </c>
      <c r="S33">
        <v>81.53</v>
      </c>
      <c r="T33">
        <v>0.31</v>
      </c>
      <c r="U33">
        <v>-0.3</v>
      </c>
    </row>
    <row r="34" spans="1:21" x14ac:dyDescent="0.25">
      <c r="A34" t="s">
        <v>27</v>
      </c>
      <c r="B34" t="s">
        <v>28</v>
      </c>
      <c r="C34">
        <v>3</v>
      </c>
      <c r="D34">
        <v>1</v>
      </c>
      <c r="E34"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v>52.218760279428999</v>
      </c>
      <c r="P34">
        <v>1054.6046955131501</v>
      </c>
      <c r="Q34">
        <v>2534.4981867655702</v>
      </c>
      <c r="R34">
        <v>6716.4201949287599</v>
      </c>
      <c r="S34">
        <v>81.53</v>
      </c>
      <c r="T34">
        <v>0.31</v>
      </c>
      <c r="U34">
        <v>-0.3</v>
      </c>
    </row>
    <row r="35" spans="1:21" x14ac:dyDescent="0.25">
      <c r="A35" t="s">
        <v>27</v>
      </c>
      <c r="B35" t="s">
        <v>28</v>
      </c>
      <c r="C35">
        <v>4</v>
      </c>
      <c r="D35">
        <v>1</v>
      </c>
      <c r="E35"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v>60.031760443786702</v>
      </c>
      <c r="P35">
        <v>1580.14817967457</v>
      </c>
      <c r="Q35">
        <v>3797.5202587709</v>
      </c>
      <c r="R35">
        <v>10063.4286857429</v>
      </c>
      <c r="S35">
        <v>81.53</v>
      </c>
      <c r="T35">
        <v>0.31</v>
      </c>
      <c r="U35">
        <v>-0.3</v>
      </c>
    </row>
    <row r="36" spans="1:21" x14ac:dyDescent="0.25">
      <c r="A36" t="s">
        <v>27</v>
      </c>
      <c r="B36" t="s">
        <v>28</v>
      </c>
      <c r="C36">
        <v>5</v>
      </c>
      <c r="D36">
        <v>1</v>
      </c>
      <c r="E36"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v>65.762181633314697</v>
      </c>
      <c r="P36">
        <v>2058.37121948809</v>
      </c>
      <c r="Q36">
        <v>4946.8186000675096</v>
      </c>
      <c r="R36">
        <v>13109.069290178901</v>
      </c>
      <c r="S36">
        <v>81.53</v>
      </c>
      <c r="T36">
        <v>0.31</v>
      </c>
      <c r="U36">
        <v>-0.3</v>
      </c>
    </row>
    <row r="37" spans="1:21" x14ac:dyDescent="0.25">
      <c r="A37" t="s">
        <v>27</v>
      </c>
      <c r="B37" t="s">
        <v>28</v>
      </c>
      <c r="C37">
        <v>6</v>
      </c>
      <c r="D37">
        <v>1</v>
      </c>
      <c r="E37"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v>69.965141612657206</v>
      </c>
      <c r="P37">
        <v>2463.4835460760801</v>
      </c>
      <c r="Q37">
        <v>5920.4122712715198</v>
      </c>
      <c r="R37">
        <v>15689.0925188695</v>
      </c>
      <c r="S37">
        <v>81.53</v>
      </c>
      <c r="T37">
        <v>0.31</v>
      </c>
      <c r="U37">
        <v>-0.3</v>
      </c>
    </row>
    <row r="38" spans="1:21" x14ac:dyDescent="0.25">
      <c r="A38" t="s">
        <v>27</v>
      </c>
      <c r="B38" t="s">
        <v>28</v>
      </c>
      <c r="C38">
        <v>7</v>
      </c>
      <c r="D38">
        <v>1</v>
      </c>
      <c r="E38"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v>73.047789816638499</v>
      </c>
      <c r="P38">
        <v>2791.6001798030702</v>
      </c>
      <c r="Q38">
        <v>6708.9646234152196</v>
      </c>
      <c r="R38">
        <v>17778.756252050302</v>
      </c>
      <c r="S38">
        <v>81.53</v>
      </c>
      <c r="T38">
        <v>0.31</v>
      </c>
      <c r="U38">
        <v>-0.3</v>
      </c>
    </row>
    <row r="39" spans="1:21" x14ac:dyDescent="0.25">
      <c r="A39" t="s">
        <v>27</v>
      </c>
      <c r="B39" t="s">
        <v>28</v>
      </c>
      <c r="C39">
        <v>8</v>
      </c>
      <c r="D39">
        <v>1</v>
      </c>
      <c r="E39"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v>75.308748758958799</v>
      </c>
      <c r="P39">
        <v>3049.61094600149</v>
      </c>
      <c r="Q39">
        <v>7329.0337563121702</v>
      </c>
      <c r="R39">
        <v>19421.939454227198</v>
      </c>
      <c r="S39">
        <v>81.53</v>
      </c>
      <c r="T39">
        <v>0.31</v>
      </c>
      <c r="U39">
        <v>-0.3</v>
      </c>
    </row>
    <row r="40" spans="1:21" x14ac:dyDescent="0.25">
      <c r="A40" t="s">
        <v>27</v>
      </c>
      <c r="B40" t="s">
        <v>28</v>
      </c>
      <c r="C40">
        <v>9</v>
      </c>
      <c r="D40">
        <v>1</v>
      </c>
      <c r="E40"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v>76.967042213351803</v>
      </c>
      <c r="P40">
        <v>3248.4530720549801</v>
      </c>
      <c r="Q40">
        <v>7806.9047634101898</v>
      </c>
      <c r="R40">
        <v>20688.297623037</v>
      </c>
      <c r="S40">
        <v>81.53</v>
      </c>
      <c r="T40">
        <v>0.31</v>
      </c>
      <c r="U40">
        <v>-0.3</v>
      </c>
    </row>
    <row r="41" spans="1:21" x14ac:dyDescent="0.25">
      <c r="A41" t="s">
        <v>27</v>
      </c>
      <c r="B41" t="s">
        <v>28</v>
      </c>
      <c r="C41">
        <v>10</v>
      </c>
      <c r="D41">
        <v>1</v>
      </c>
      <c r="E41"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v>78.183312500002899</v>
      </c>
      <c r="P41">
        <v>3399.5660148577499</v>
      </c>
      <c r="Q41">
        <v>8170.0697304920704</v>
      </c>
      <c r="R41">
        <v>21650.684785803998</v>
      </c>
      <c r="S41">
        <v>81.53</v>
      </c>
      <c r="T41">
        <v>0.31</v>
      </c>
      <c r="U41">
        <v>-0.3</v>
      </c>
    </row>
    <row r="42" spans="1:21" x14ac:dyDescent="0.25">
      <c r="A42" t="s">
        <v>29</v>
      </c>
      <c r="B42" t="s">
        <v>30</v>
      </c>
      <c r="C42">
        <v>1</v>
      </c>
      <c r="D42">
        <v>7</v>
      </c>
      <c r="E42" s="2"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v>219.265780084395</v>
      </c>
      <c r="P42">
        <v>34260.676659675199</v>
      </c>
      <c r="Q42">
        <v>82337.603123468507</v>
      </c>
      <c r="R42">
        <v>218194.648277192</v>
      </c>
      <c r="S42">
        <v>282</v>
      </c>
      <c r="T42">
        <v>0.18</v>
      </c>
      <c r="U42">
        <v>-1.35</v>
      </c>
    </row>
    <row r="43" spans="1:21" x14ac:dyDescent="0.25">
      <c r="A43" t="s">
        <v>29</v>
      </c>
      <c r="B43" t="s">
        <v>30</v>
      </c>
      <c r="C43">
        <v>2</v>
      </c>
      <c r="D43">
        <v>7</v>
      </c>
      <c r="E43" s="2"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v>264.20518592161699</v>
      </c>
      <c r="P43">
        <v>59938.707617156499</v>
      </c>
      <c r="Q43">
        <v>144048.804655507</v>
      </c>
      <c r="R43">
        <v>381729.33233709401</v>
      </c>
      <c r="S43">
        <v>282</v>
      </c>
      <c r="T43">
        <v>0.18</v>
      </c>
      <c r="U43">
        <v>-1.35</v>
      </c>
    </row>
    <row r="44" spans="1:21" x14ac:dyDescent="0.25">
      <c r="A44" t="s">
        <v>29</v>
      </c>
      <c r="B44" t="s">
        <v>30</v>
      </c>
      <c r="C44">
        <v>3</v>
      </c>
      <c r="D44">
        <v>7</v>
      </c>
      <c r="E44" s="2"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v>276.952429335852</v>
      </c>
      <c r="P44">
        <v>69039.700378839203</v>
      </c>
      <c r="Q44">
        <v>165920.93337860901</v>
      </c>
      <c r="R44">
        <v>439690.47345331399</v>
      </c>
      <c r="S44">
        <v>282</v>
      </c>
      <c r="T44">
        <v>0.18</v>
      </c>
      <c r="U44">
        <v>-1.35</v>
      </c>
    </row>
    <row r="45" spans="1:21" x14ac:dyDescent="0.25">
      <c r="A45" t="s">
        <v>29</v>
      </c>
      <c r="B45" t="s">
        <v>30</v>
      </c>
      <c r="C45">
        <v>4</v>
      </c>
      <c r="D45">
        <v>7</v>
      </c>
      <c r="E45" s="2"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v>280.56823625707199</v>
      </c>
      <c r="P45">
        <v>71779.2418875851</v>
      </c>
      <c r="Q45">
        <v>172504.78704057899</v>
      </c>
      <c r="R45">
        <v>457137.68565753498</v>
      </c>
      <c r="S45">
        <v>282</v>
      </c>
      <c r="T45">
        <v>0.18</v>
      </c>
      <c r="U45">
        <v>-1.35</v>
      </c>
    </row>
    <row r="46" spans="1:21" x14ac:dyDescent="0.25">
      <c r="A46" t="s">
        <v>29</v>
      </c>
      <c r="B46" t="s">
        <v>30</v>
      </c>
      <c r="C46">
        <v>5</v>
      </c>
      <c r="D46">
        <v>7</v>
      </c>
      <c r="E46" s="2"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v>281.59387444932202</v>
      </c>
      <c r="P46">
        <v>72569.306178378101</v>
      </c>
      <c r="Q46">
        <v>174403.52362023099</v>
      </c>
      <c r="R46">
        <v>462169.33759361203</v>
      </c>
      <c r="S46">
        <v>282</v>
      </c>
      <c r="T46">
        <v>0.18</v>
      </c>
      <c r="U46">
        <v>-1.35</v>
      </c>
    </row>
    <row r="47" spans="1:21" x14ac:dyDescent="0.25">
      <c r="A47" t="s">
        <v>29</v>
      </c>
      <c r="B47" t="s">
        <v>30</v>
      </c>
      <c r="C47">
        <v>6</v>
      </c>
      <c r="D47">
        <v>7</v>
      </c>
      <c r="E47" s="2"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v>281.88480085228599</v>
      </c>
      <c r="P47">
        <v>72794.461787243505</v>
      </c>
      <c r="Q47">
        <v>174944.632990251</v>
      </c>
      <c r="R47">
        <v>463603.27742416499</v>
      </c>
      <c r="S47">
        <v>282</v>
      </c>
      <c r="T47">
        <v>0.18</v>
      </c>
      <c r="U47">
        <v>-1.35</v>
      </c>
    </row>
    <row r="48" spans="1:21" x14ac:dyDescent="0.25">
      <c r="A48" t="s">
        <v>29</v>
      </c>
      <c r="B48" t="s">
        <v>30</v>
      </c>
      <c r="C48">
        <v>7</v>
      </c>
      <c r="D48">
        <v>7</v>
      </c>
      <c r="E48" s="2"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v>281.967323297902</v>
      </c>
      <c r="P48">
        <v>72858.412760649197</v>
      </c>
      <c r="Q48">
        <v>175098.32434667001</v>
      </c>
      <c r="R48">
        <v>464010.55951867398</v>
      </c>
      <c r="S48">
        <v>282</v>
      </c>
      <c r="T48">
        <v>0.18</v>
      </c>
      <c r="U48">
        <v>-1.35</v>
      </c>
    </row>
    <row r="49" spans="1:21" x14ac:dyDescent="0.25">
      <c r="A49" t="s">
        <v>29</v>
      </c>
      <c r="B49" t="s">
        <v>30</v>
      </c>
      <c r="C49">
        <v>8</v>
      </c>
      <c r="D49">
        <v>7</v>
      </c>
      <c r="E49" s="2"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v>281.99073112187699</v>
      </c>
      <c r="P49">
        <v>72876.559528140206</v>
      </c>
      <c r="Q49">
        <v>175141.93590036099</v>
      </c>
      <c r="R49">
        <v>464126.13013595698</v>
      </c>
      <c r="S49">
        <v>282</v>
      </c>
      <c r="T49">
        <v>0.18</v>
      </c>
      <c r="U49">
        <v>-1.35</v>
      </c>
    </row>
    <row r="50" spans="1:21" x14ac:dyDescent="0.25">
      <c r="A50" t="s">
        <v>29</v>
      </c>
      <c r="B50" t="s">
        <v>30</v>
      </c>
      <c r="C50">
        <v>9</v>
      </c>
      <c r="D50">
        <v>7</v>
      </c>
      <c r="E50" s="2"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v>281.99737084539902</v>
      </c>
      <c r="P50">
        <v>72881.707480323705</v>
      </c>
      <c r="Q50">
        <v>175154.30781140001</v>
      </c>
      <c r="R50">
        <v>464158.91570021102</v>
      </c>
      <c r="S50">
        <v>282</v>
      </c>
      <c r="T50">
        <v>0.18</v>
      </c>
      <c r="U50">
        <v>-1.35</v>
      </c>
    </row>
    <row r="51" spans="1:21" x14ac:dyDescent="0.25">
      <c r="A51" t="s">
        <v>29</v>
      </c>
      <c r="B51" t="s">
        <v>30</v>
      </c>
      <c r="C51">
        <v>10</v>
      </c>
      <c r="D51">
        <v>7</v>
      </c>
      <c r="E51" s="2"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v>281.99925422971103</v>
      </c>
      <c r="P51">
        <v>72883.167761823803</v>
      </c>
      <c r="Q51">
        <v>175157.817259851</v>
      </c>
      <c r="R51">
        <v>464168.21573860402</v>
      </c>
      <c r="S51">
        <v>282</v>
      </c>
      <c r="T51">
        <v>0.18</v>
      </c>
      <c r="U51">
        <v>-1.35</v>
      </c>
    </row>
    <row r="52" spans="1:21" x14ac:dyDescent="0.25">
      <c r="A52" s="2" t="s">
        <v>31</v>
      </c>
      <c r="B52" t="s">
        <v>32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v>20.469999999626999</v>
      </c>
      <c r="I52">
        <v>2.0469999999626998E-2</v>
      </c>
      <c r="J52">
        <v>2.0469999999626999E-5</v>
      </c>
      <c r="K52">
        <v>4.5128571399177697E-2</v>
      </c>
      <c r="L52" s="3">
        <v>1.1599999999999999E-2</v>
      </c>
      <c r="M52" s="3">
        <v>3</v>
      </c>
      <c r="N52">
        <v>12.084256948656501</v>
      </c>
      <c r="O52" s="2">
        <v>17.621741541719199</v>
      </c>
      <c r="P52" s="2">
        <v>63.475257401935899</v>
      </c>
      <c r="Q52" s="2">
        <v>152.54808315774099</v>
      </c>
      <c r="R52" s="2">
        <v>404.25242036801302</v>
      </c>
      <c r="S52" s="2">
        <v>29.1726666666667</v>
      </c>
      <c r="T52" s="2">
        <v>0.92646666666666699</v>
      </c>
      <c r="U52" s="2">
        <v>0</v>
      </c>
    </row>
    <row r="53" spans="1:21" x14ac:dyDescent="0.25">
      <c r="A53" s="2" t="s">
        <v>31</v>
      </c>
      <c r="B53" t="s">
        <v>32</v>
      </c>
      <c r="C53">
        <v>2</v>
      </c>
      <c r="D53">
        <v>1</v>
      </c>
      <c r="E53">
        <v>2</v>
      </c>
      <c r="F53">
        <v>86.10910835</v>
      </c>
      <c r="G53">
        <v>228.18913710000001</v>
      </c>
      <c r="H53">
        <v>35.829999984434998</v>
      </c>
      <c r="I53">
        <v>3.5829999984435E-2</v>
      </c>
      <c r="J53">
        <v>3.5829999984434998E-5</v>
      </c>
      <c r="K53">
        <v>7.8991534565685098E-2</v>
      </c>
      <c r="L53" s="3">
        <v>1.1599999999999999E-2</v>
      </c>
      <c r="M53" s="3">
        <v>3</v>
      </c>
      <c r="N53">
        <v>14.5634054165095</v>
      </c>
      <c r="O53" s="2">
        <v>24.5990747915504</v>
      </c>
      <c r="P53" s="2">
        <v>172.668973842546</v>
      </c>
      <c r="Q53" s="2">
        <v>414.969896281052</v>
      </c>
      <c r="R53" s="2">
        <v>1099.67022514479</v>
      </c>
      <c r="S53" s="2">
        <v>29.1726666666667</v>
      </c>
      <c r="T53" s="2">
        <v>0.92646666666666699</v>
      </c>
      <c r="U53" s="2">
        <v>0</v>
      </c>
    </row>
    <row r="54" spans="1:21" x14ac:dyDescent="0.25">
      <c r="A54" s="2" t="s">
        <v>31</v>
      </c>
      <c r="B54" t="s">
        <v>32</v>
      </c>
      <c r="C54">
        <v>3</v>
      </c>
      <c r="D54">
        <v>1</v>
      </c>
      <c r="E54">
        <v>3</v>
      </c>
      <c r="F54">
        <v>123.02331169999999</v>
      </c>
      <c r="G54">
        <v>326.011776</v>
      </c>
      <c r="H54">
        <v>51.189999998369998</v>
      </c>
      <c r="I54">
        <v>5.1189999998369998E-2</v>
      </c>
      <c r="J54">
        <v>5.118999999837E-5</v>
      </c>
      <c r="K54">
        <v>0.11285449779640599</v>
      </c>
      <c r="L54" s="3">
        <v>1.1599999999999999E-2</v>
      </c>
      <c r="M54" s="3">
        <v>3</v>
      </c>
      <c r="N54">
        <v>16.402462244751302</v>
      </c>
      <c r="O54" s="2">
        <v>27.361751747397399</v>
      </c>
      <c r="P54" s="2">
        <v>237.62366170011001</v>
      </c>
      <c r="Q54" s="2">
        <v>571.07344796950395</v>
      </c>
      <c r="R54" s="2">
        <v>1513.3446371191801</v>
      </c>
      <c r="S54" s="2">
        <v>29.1726666666667</v>
      </c>
      <c r="T54" s="2">
        <v>0.92646666666666699</v>
      </c>
      <c r="U54" s="2">
        <v>0</v>
      </c>
    </row>
    <row r="55" spans="1:21" x14ac:dyDescent="0.25">
      <c r="A55" s="2" t="s">
        <v>31</v>
      </c>
      <c r="B55" t="s">
        <v>32</v>
      </c>
      <c r="C55">
        <v>4</v>
      </c>
      <c r="D55">
        <v>1</v>
      </c>
      <c r="E55">
        <v>4</v>
      </c>
      <c r="F55">
        <v>164.56380680000001</v>
      </c>
      <c r="G55">
        <v>436.094088</v>
      </c>
      <c r="H55">
        <v>68.475000009479999</v>
      </c>
      <c r="I55">
        <v>6.8475000009479994E-2</v>
      </c>
      <c r="J55">
        <v>6.8475000009480004E-5</v>
      </c>
      <c r="K55">
        <v>0.15096135452090001</v>
      </c>
      <c r="L55" s="3">
        <v>1.1599999999999999E-2</v>
      </c>
      <c r="M55" s="3">
        <v>3</v>
      </c>
      <c r="N55">
        <v>18.072768429706201</v>
      </c>
      <c r="O55" s="2">
        <v>28.455634422780999</v>
      </c>
      <c r="P55" s="2">
        <v>267.27775043602998</v>
      </c>
      <c r="Q55" s="2">
        <v>642.34018369629803</v>
      </c>
      <c r="R55" s="2">
        <v>1702.20148679519</v>
      </c>
      <c r="S55" s="2">
        <v>29.1726666666667</v>
      </c>
      <c r="T55" s="2">
        <v>0.92646666666666699</v>
      </c>
      <c r="U55" s="2">
        <v>0</v>
      </c>
    </row>
    <row r="56" spans="1:21" x14ac:dyDescent="0.25">
      <c r="A56" s="2" t="s">
        <v>31</v>
      </c>
      <c r="B56" t="s">
        <v>32</v>
      </c>
      <c r="C56">
        <v>5</v>
      </c>
      <c r="D56">
        <v>1</v>
      </c>
      <c r="E56">
        <v>5</v>
      </c>
      <c r="F56">
        <v>206.1043018</v>
      </c>
      <c r="G56">
        <v>546.17639980000001</v>
      </c>
      <c r="H56">
        <v>85.759999978980005</v>
      </c>
      <c r="I56">
        <v>8.5759999978979998E-2</v>
      </c>
      <c r="J56">
        <v>8.5759999978979995E-5</v>
      </c>
      <c r="K56">
        <v>0.18906821115365899</v>
      </c>
      <c r="L56" s="3">
        <v>1.1599999999999999E-2</v>
      </c>
      <c r="M56" s="3">
        <v>3</v>
      </c>
      <c r="N56">
        <v>19.4808959921927</v>
      </c>
      <c r="O56" s="2">
        <v>28.888757559010099</v>
      </c>
      <c r="P56" s="2">
        <v>279.66916248891698</v>
      </c>
      <c r="Q56" s="2">
        <v>672.12007327305196</v>
      </c>
      <c r="R56" s="2">
        <v>1781.1181941735899</v>
      </c>
      <c r="S56" s="2">
        <v>29.1726666666667</v>
      </c>
      <c r="T56" s="2">
        <v>0.92646666666666699</v>
      </c>
      <c r="U56" s="2">
        <v>0</v>
      </c>
    </row>
    <row r="57" spans="1:21" x14ac:dyDescent="0.25">
      <c r="A57" s="2" t="s">
        <v>31</v>
      </c>
      <c r="B57" t="s">
        <v>32</v>
      </c>
      <c r="C57">
        <v>6</v>
      </c>
      <c r="D57">
        <v>1</v>
      </c>
      <c r="E57">
        <v>6</v>
      </c>
      <c r="F57">
        <v>244.71280949999999</v>
      </c>
      <c r="G57">
        <v>648.48894510000002</v>
      </c>
      <c r="H57">
        <v>101.82500003295</v>
      </c>
      <c r="I57">
        <v>0.10182500003295</v>
      </c>
      <c r="J57">
        <v>1.0182500003295E-4</v>
      </c>
      <c r="K57">
        <v>0.224485431572642</v>
      </c>
      <c r="L57" s="3">
        <v>1.1599999999999999E-2</v>
      </c>
      <c r="M57" s="3">
        <v>3</v>
      </c>
      <c r="N57">
        <v>20.6283967913844</v>
      </c>
      <c r="O57" s="2">
        <v>29.0602527799863</v>
      </c>
      <c r="P57" s="2">
        <v>284.67947239585698</v>
      </c>
      <c r="Q57" s="2">
        <v>684.16119297249895</v>
      </c>
      <c r="R57" s="2">
        <v>1813.0271613771199</v>
      </c>
      <c r="S57" s="2">
        <v>29.1726666666667</v>
      </c>
      <c r="T57" s="2">
        <v>0.92646666666666699</v>
      </c>
      <c r="U57" s="2">
        <v>0</v>
      </c>
    </row>
    <row r="58" spans="1:21" x14ac:dyDescent="0.25">
      <c r="A58" s="2" t="s">
        <v>31</v>
      </c>
      <c r="B58" t="s">
        <v>32</v>
      </c>
      <c r="C58">
        <v>7</v>
      </c>
      <c r="D58">
        <v>1</v>
      </c>
      <c r="E58">
        <v>7</v>
      </c>
      <c r="F58">
        <v>283.32131700000002</v>
      </c>
      <c r="G58">
        <v>750.80149010000002</v>
      </c>
      <c r="H58">
        <v>117.8900000037</v>
      </c>
      <c r="I58">
        <v>0.11789000000369999</v>
      </c>
      <c r="J58">
        <v>1.178900000037E-4</v>
      </c>
      <c r="K58">
        <v>0.25990265180815703</v>
      </c>
      <c r="L58" s="3">
        <v>1.1599999999999999E-2</v>
      </c>
      <c r="M58" s="3">
        <v>3</v>
      </c>
      <c r="N58">
        <v>21.660725206894199</v>
      </c>
      <c r="O58" s="2">
        <v>29.128156358339801</v>
      </c>
      <c r="P58" s="2">
        <v>286.67972607794502</v>
      </c>
      <c r="Q58" s="2">
        <v>688.96833952882605</v>
      </c>
      <c r="R58" s="2">
        <v>1825.7660997513899</v>
      </c>
      <c r="S58" s="2">
        <v>29.1726666666667</v>
      </c>
      <c r="T58" s="2">
        <v>0.92646666666666699</v>
      </c>
      <c r="U58" s="2">
        <v>0</v>
      </c>
    </row>
    <row r="59" spans="1:21" x14ac:dyDescent="0.25">
      <c r="A59" s="2" t="s">
        <v>31</v>
      </c>
      <c r="B59" t="s">
        <v>32</v>
      </c>
      <c r="C59">
        <v>8</v>
      </c>
      <c r="D59">
        <v>1</v>
      </c>
      <c r="E59">
        <v>8</v>
      </c>
      <c r="F59">
        <v>314.44364339999998</v>
      </c>
      <c r="G59">
        <v>833.27565500000003</v>
      </c>
      <c r="H59">
        <v>130.84000001874</v>
      </c>
      <c r="I59">
        <v>0.13084000001873999</v>
      </c>
      <c r="J59">
        <v>1.3084000001873999E-4</v>
      </c>
      <c r="K59">
        <v>0.28845248084131497</v>
      </c>
      <c r="L59" s="3">
        <v>1.1599999999999999E-2</v>
      </c>
      <c r="M59" s="3">
        <v>3</v>
      </c>
      <c r="N59">
        <v>22.4264663428077</v>
      </c>
      <c r="O59" s="2">
        <v>29.155042798247401</v>
      </c>
      <c r="P59" s="2">
        <v>287.474309221856</v>
      </c>
      <c r="Q59" s="2">
        <v>690.87793612558403</v>
      </c>
      <c r="R59" s="2">
        <v>1830.8265307327999</v>
      </c>
      <c r="S59" s="2">
        <v>29.1726666666667</v>
      </c>
      <c r="T59" s="2">
        <v>0.92646666666666699</v>
      </c>
      <c r="U59" s="2">
        <v>0</v>
      </c>
    </row>
    <row r="60" spans="1:21" x14ac:dyDescent="0.25">
      <c r="A60" s="2" t="s">
        <v>31</v>
      </c>
      <c r="B60" t="s">
        <v>32</v>
      </c>
      <c r="C60">
        <v>9</v>
      </c>
      <c r="D60">
        <v>1</v>
      </c>
      <c r="E60">
        <v>9</v>
      </c>
      <c r="F60">
        <v>345.5659698</v>
      </c>
      <c r="G60">
        <v>915.74981979999995</v>
      </c>
      <c r="H60">
        <v>143.79000003377999</v>
      </c>
      <c r="I60">
        <v>0.14379000003378001</v>
      </c>
      <c r="J60">
        <v>1.4379000003378E-4</v>
      </c>
      <c r="K60">
        <v>0.31700230987447198</v>
      </c>
      <c r="L60" s="3">
        <v>1.1599999999999999E-2</v>
      </c>
      <c r="M60" s="3">
        <v>3</v>
      </c>
      <c r="N60">
        <v>23.143208333852002</v>
      </c>
      <c r="O60" s="2">
        <v>29.165688491279099</v>
      </c>
      <c r="P60" s="2">
        <v>287.78932994100302</v>
      </c>
      <c r="Q60" s="2">
        <v>691.63501547945998</v>
      </c>
      <c r="R60" s="2">
        <v>1832.8327910205701</v>
      </c>
      <c r="S60" s="2">
        <v>29.1726666666667</v>
      </c>
      <c r="T60" s="2">
        <v>0.92646666666666699</v>
      </c>
      <c r="U60" s="2">
        <v>0</v>
      </c>
    </row>
    <row r="61" spans="1:21" x14ac:dyDescent="0.25">
      <c r="A61" s="2" t="s">
        <v>31</v>
      </c>
      <c r="B61" t="s">
        <v>32</v>
      </c>
      <c r="C61">
        <v>10</v>
      </c>
      <c r="D61">
        <v>1</v>
      </c>
      <c r="E61">
        <v>10</v>
      </c>
      <c r="F61">
        <v>372.74693589999998</v>
      </c>
      <c r="G61">
        <v>987.77937999999995</v>
      </c>
      <c r="H61">
        <v>155.10000002799001</v>
      </c>
      <c r="I61">
        <v>0.15510000002798999</v>
      </c>
      <c r="J61">
        <v>1.5510000002799001E-4</v>
      </c>
      <c r="K61">
        <v>0.34193656206170697</v>
      </c>
      <c r="L61" s="3">
        <v>1.1599999999999999E-2</v>
      </c>
      <c r="M61" s="3">
        <v>3</v>
      </c>
      <c r="N61">
        <v>23.734746790222701</v>
      </c>
      <c r="O61" s="2">
        <v>29.1699036562662</v>
      </c>
      <c r="P61" s="2">
        <v>287.91412605230499</v>
      </c>
      <c r="Q61" s="2">
        <v>691.93493403582204</v>
      </c>
      <c r="R61" s="2">
        <v>1833.6275751949299</v>
      </c>
      <c r="S61" s="2">
        <v>29.1726666666667</v>
      </c>
      <c r="T61" s="2">
        <v>0.92646666666666699</v>
      </c>
      <c r="U61" s="2">
        <v>0</v>
      </c>
    </row>
    <row r="62" spans="1:21" x14ac:dyDescent="0.25">
      <c r="A62" t="s">
        <v>33</v>
      </c>
      <c r="B62" t="s">
        <v>34</v>
      </c>
      <c r="C62">
        <v>1</v>
      </c>
      <c r="D62">
        <v>2</v>
      </c>
      <c r="E62"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v>19.1988128345637</v>
      </c>
      <c r="P62">
        <v>106.148627567673</v>
      </c>
      <c r="Q62">
        <v>255.10364712250299</v>
      </c>
      <c r="R62">
        <v>676.02466487463198</v>
      </c>
      <c r="S62" s="4">
        <v>58.9</v>
      </c>
      <c r="T62" s="4">
        <v>0.22</v>
      </c>
      <c r="U62" s="4">
        <v>0.20699999999999999</v>
      </c>
    </row>
    <row r="63" spans="1:21" x14ac:dyDescent="0.25">
      <c r="A63" t="s">
        <v>33</v>
      </c>
      <c r="B63" t="s">
        <v>34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v>33.330989505220401</v>
      </c>
      <c r="P63">
        <v>555.438372390013</v>
      </c>
      <c r="Q63">
        <v>1334.86751355447</v>
      </c>
      <c r="R63">
        <v>3537.3989109193299</v>
      </c>
      <c r="S63" s="4">
        <v>58.9</v>
      </c>
      <c r="T63" s="4">
        <v>0.22</v>
      </c>
      <c r="U63" s="4">
        <v>0.20699999999999999</v>
      </c>
    </row>
    <row r="64" spans="1:21" x14ac:dyDescent="0.25">
      <c r="A64" t="s">
        <v>33</v>
      </c>
      <c r="B64" t="s">
        <v>34</v>
      </c>
      <c r="C64">
        <v>3</v>
      </c>
      <c r="D64">
        <v>2</v>
      </c>
      <c r="E64"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v>42.432625990304899</v>
      </c>
      <c r="P64">
        <v>1146.0168080164101</v>
      </c>
      <c r="Q64">
        <v>2754.1860322432399</v>
      </c>
      <c r="R64">
        <v>7298.5929854445803</v>
      </c>
      <c r="S64" s="4">
        <v>58.9</v>
      </c>
      <c r="T64" s="4">
        <v>0.22</v>
      </c>
      <c r="U64" s="4">
        <v>0.20699999999999999</v>
      </c>
    </row>
    <row r="65" spans="1:21" x14ac:dyDescent="0.25">
      <c r="A65" t="s">
        <v>33</v>
      </c>
      <c r="B65" t="s">
        <v>34</v>
      </c>
      <c r="C65">
        <v>4</v>
      </c>
      <c r="D65">
        <v>2</v>
      </c>
      <c r="E65"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v>48.294411378158401</v>
      </c>
      <c r="P65">
        <v>1689.5921790812799</v>
      </c>
      <c r="Q65">
        <v>4060.5435690489899</v>
      </c>
      <c r="R65">
        <v>10760.440457979799</v>
      </c>
      <c r="S65" s="4">
        <v>58.9</v>
      </c>
      <c r="T65" s="4">
        <v>0.22</v>
      </c>
      <c r="U65" s="4">
        <v>0.20699999999999999</v>
      </c>
    </row>
    <row r="66" spans="1:21" x14ac:dyDescent="0.25">
      <c r="A66" t="s">
        <v>33</v>
      </c>
      <c r="B66" t="s">
        <v>34</v>
      </c>
      <c r="C66">
        <v>5</v>
      </c>
      <c r="D66">
        <v>2</v>
      </c>
      <c r="E66"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v>52.069614660509103</v>
      </c>
      <c r="P66">
        <v>2117.6020570614801</v>
      </c>
      <c r="Q66">
        <v>5089.1662029836198</v>
      </c>
      <c r="R66">
        <v>13486.2904379066</v>
      </c>
      <c r="S66" s="4">
        <v>58.9</v>
      </c>
      <c r="T66" s="4">
        <v>0.22</v>
      </c>
      <c r="U66" s="4">
        <v>0.20699999999999999</v>
      </c>
    </row>
    <row r="67" spans="1:21" x14ac:dyDescent="0.25">
      <c r="A67" t="s">
        <v>33</v>
      </c>
      <c r="B67" t="s">
        <v>34</v>
      </c>
      <c r="C67">
        <v>6</v>
      </c>
      <c r="D67">
        <v>2</v>
      </c>
      <c r="E67"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v>54.500983071335497</v>
      </c>
      <c r="P67">
        <v>2428.3107759137201</v>
      </c>
      <c r="Q67">
        <v>5835.8826626140899</v>
      </c>
      <c r="R67">
        <v>15465.089055927299</v>
      </c>
      <c r="S67" s="4">
        <v>58.9</v>
      </c>
      <c r="T67" s="4">
        <v>0.22</v>
      </c>
      <c r="U67" s="4">
        <v>0.20699999999999999</v>
      </c>
    </row>
    <row r="68" spans="1:21" x14ac:dyDescent="0.25">
      <c r="A68" t="s">
        <v>33</v>
      </c>
      <c r="B68" t="s">
        <v>34</v>
      </c>
      <c r="C68">
        <v>7</v>
      </c>
      <c r="D68">
        <v>2</v>
      </c>
      <c r="E68"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v>56.066872880978799</v>
      </c>
      <c r="P68">
        <v>2643.6883748447099</v>
      </c>
      <c r="Q68">
        <v>6353.4928499031703</v>
      </c>
      <c r="R68">
        <v>16836.7560522434</v>
      </c>
      <c r="S68" s="4">
        <v>58.9</v>
      </c>
      <c r="T68" s="4">
        <v>0.22</v>
      </c>
      <c r="U68" s="4">
        <v>0.20699999999999999</v>
      </c>
    </row>
    <row r="69" spans="1:21" x14ac:dyDescent="0.25">
      <c r="A69" t="s">
        <v>33</v>
      </c>
      <c r="B69" t="s">
        <v>34</v>
      </c>
      <c r="C69">
        <v>8</v>
      </c>
      <c r="D69">
        <v>2</v>
      </c>
      <c r="E69"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v>57.075362949792002</v>
      </c>
      <c r="P69">
        <v>2788.9280146025999</v>
      </c>
      <c r="Q69">
        <v>6702.5426931088796</v>
      </c>
      <c r="R69">
        <v>17761.738136738499</v>
      </c>
      <c r="S69" s="4">
        <v>58.9</v>
      </c>
      <c r="T69" s="4">
        <v>0.22</v>
      </c>
      <c r="U69" s="4">
        <v>0.20699999999999999</v>
      </c>
    </row>
    <row r="70" spans="1:21" x14ac:dyDescent="0.25">
      <c r="A70" t="s">
        <v>33</v>
      </c>
      <c r="B70" t="s">
        <v>34</v>
      </c>
      <c r="C70">
        <v>9</v>
      </c>
      <c r="D70">
        <v>2</v>
      </c>
      <c r="E70"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v>57.724867284408298</v>
      </c>
      <c r="P70">
        <v>2885.2276689179398</v>
      </c>
      <c r="Q70">
        <v>6933.9766135975597</v>
      </c>
      <c r="R70">
        <v>18375.038026033501</v>
      </c>
      <c r="S70" s="4">
        <v>58.9</v>
      </c>
      <c r="T70" s="4">
        <v>0.22</v>
      </c>
      <c r="U70" s="4">
        <v>0.20699999999999999</v>
      </c>
    </row>
    <row r="71" spans="1:21" x14ac:dyDescent="0.25">
      <c r="A71" t="s">
        <v>33</v>
      </c>
      <c r="B71" t="s">
        <v>34</v>
      </c>
      <c r="C71">
        <v>10</v>
      </c>
      <c r="D71">
        <v>2</v>
      </c>
      <c r="E71"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v>58.143171731552599</v>
      </c>
      <c r="P71">
        <v>2948.4068809014698</v>
      </c>
      <c r="Q71">
        <v>7085.8132201429098</v>
      </c>
      <c r="R71">
        <v>18777.405033378702</v>
      </c>
      <c r="S71" s="4">
        <v>58.9</v>
      </c>
      <c r="T71" s="4">
        <v>0.22</v>
      </c>
      <c r="U71" s="4">
        <v>0.20699999999999999</v>
      </c>
    </row>
    <row r="72" spans="1:21" x14ac:dyDescent="0.25">
      <c r="A72" t="s">
        <v>35</v>
      </c>
      <c r="B72" t="s">
        <v>36</v>
      </c>
      <c r="C72">
        <v>1</v>
      </c>
      <c r="D72">
        <v>1</v>
      </c>
      <c r="E72"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v>12.644084665180401</v>
      </c>
      <c r="P72">
        <v>42.450370046910898</v>
      </c>
      <c r="Q72">
        <v>102.019634815936</v>
      </c>
      <c r="R72">
        <v>270.35203226223001</v>
      </c>
      <c r="S72" s="4">
        <v>21.02</v>
      </c>
      <c r="T72" s="4">
        <v>0.86</v>
      </c>
      <c r="U72" s="4">
        <v>-6.9989999999999997E-2</v>
      </c>
    </row>
    <row r="73" spans="1:21" x14ac:dyDescent="0.25">
      <c r="A73" t="s">
        <v>35</v>
      </c>
      <c r="B73" t="s">
        <v>36</v>
      </c>
      <c r="C73">
        <v>2</v>
      </c>
      <c r="D73">
        <v>1</v>
      </c>
      <c r="E73"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v>17.4756302256006</v>
      </c>
      <c r="P73">
        <v>112.077345120461</v>
      </c>
      <c r="Q73">
        <v>269.35194693694001</v>
      </c>
      <c r="R73">
        <v>713.78265938289098</v>
      </c>
      <c r="S73" s="4">
        <v>21.02</v>
      </c>
      <c r="T73" s="4">
        <v>0.86</v>
      </c>
      <c r="U73" s="4">
        <v>-6.9989999999999997E-2</v>
      </c>
    </row>
    <row r="74" spans="1:21" x14ac:dyDescent="0.25">
      <c r="A74" t="s">
        <v>35</v>
      </c>
      <c r="B74" t="s">
        <v>36</v>
      </c>
      <c r="C74">
        <v>3</v>
      </c>
      <c r="D74">
        <v>1</v>
      </c>
      <c r="E74"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v>19.520157105761101</v>
      </c>
      <c r="P74">
        <v>156.195752908825</v>
      </c>
      <c r="Q74">
        <v>375.380324222122</v>
      </c>
      <c r="R74">
        <v>994.757859188623</v>
      </c>
      <c r="S74" s="4">
        <v>21.02</v>
      </c>
      <c r="T74" s="4">
        <v>0.86</v>
      </c>
      <c r="U74" s="4">
        <v>-6.9989999999999997E-2</v>
      </c>
    </row>
    <row r="75" spans="1:21" x14ac:dyDescent="0.25">
      <c r="A75" t="s">
        <v>35</v>
      </c>
      <c r="B75" t="s">
        <v>36</v>
      </c>
      <c r="C75">
        <v>4</v>
      </c>
      <c r="D75">
        <v>1</v>
      </c>
      <c r="E75"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v>20.385323357724399</v>
      </c>
      <c r="P75">
        <v>177.89842738929701</v>
      </c>
      <c r="Q75">
        <v>427.53767697499899</v>
      </c>
      <c r="R75">
        <v>1132.9748439837499</v>
      </c>
      <c r="S75" s="4">
        <v>21.02</v>
      </c>
      <c r="T75" s="4">
        <v>0.86</v>
      </c>
      <c r="U75" s="4">
        <v>-6.9989999999999997E-2</v>
      </c>
    </row>
    <row r="76" spans="1:21" x14ac:dyDescent="0.25">
      <c r="A76" t="s">
        <v>35</v>
      </c>
      <c r="B76" t="s">
        <v>36</v>
      </c>
      <c r="C76">
        <v>5</v>
      </c>
      <c r="D76">
        <v>1</v>
      </c>
      <c r="E76"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v>20.751428910456202</v>
      </c>
      <c r="P76">
        <v>187.656371865458</v>
      </c>
      <c r="Q76">
        <v>450.98863702345102</v>
      </c>
      <c r="R76">
        <v>1195.11988811214</v>
      </c>
      <c r="S76" s="4">
        <v>21.02</v>
      </c>
      <c r="T76" s="4">
        <v>0.86</v>
      </c>
      <c r="U76" s="4">
        <v>-6.9989999999999997E-2</v>
      </c>
    </row>
    <row r="77" spans="1:21" x14ac:dyDescent="0.25">
      <c r="A77" t="s">
        <v>35</v>
      </c>
      <c r="B77" t="s">
        <v>36</v>
      </c>
      <c r="C77">
        <v>6</v>
      </c>
      <c r="D77">
        <v>1</v>
      </c>
      <c r="E77"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v>20.9063508984983</v>
      </c>
      <c r="P77">
        <v>191.89073267934299</v>
      </c>
      <c r="Q77">
        <v>461.16494275256599</v>
      </c>
      <c r="R77">
        <v>1222.0870982942999</v>
      </c>
      <c r="S77" s="4">
        <v>21.02</v>
      </c>
      <c r="T77" s="4">
        <v>0.86</v>
      </c>
      <c r="U77" s="4">
        <v>-6.9989999999999997E-2</v>
      </c>
    </row>
    <row r="78" spans="1:21" x14ac:dyDescent="0.25">
      <c r="A78" t="s">
        <v>35</v>
      </c>
      <c r="B78" t="s">
        <v>36</v>
      </c>
      <c r="C78">
        <v>7</v>
      </c>
      <c r="D78">
        <v>1</v>
      </c>
      <c r="E78"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v>20.971908009555001</v>
      </c>
      <c r="P78">
        <v>193.70156382249999</v>
      </c>
      <c r="Q78">
        <v>465.51685609829298</v>
      </c>
      <c r="R78">
        <v>1233.6196686604801</v>
      </c>
      <c r="S78" s="4">
        <v>21.02</v>
      </c>
      <c r="T78" s="4">
        <v>0.86</v>
      </c>
      <c r="U78" s="4">
        <v>-6.9989999999999997E-2</v>
      </c>
    </row>
    <row r="79" spans="1:21" x14ac:dyDescent="0.25">
      <c r="A79" t="s">
        <v>35</v>
      </c>
      <c r="B79" t="s">
        <v>36</v>
      </c>
      <c r="C79">
        <v>8</v>
      </c>
      <c r="D79">
        <v>1</v>
      </c>
      <c r="E79"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v>20.9996492931805</v>
      </c>
      <c r="P79">
        <v>194.471256475155</v>
      </c>
      <c r="Q79">
        <v>467.366634162835</v>
      </c>
      <c r="R79">
        <v>1238.5215805315099</v>
      </c>
      <c r="S79" s="4">
        <v>21.02</v>
      </c>
      <c r="T79" s="4">
        <v>0.86</v>
      </c>
      <c r="U79" s="4">
        <v>-6.9989999999999997E-2</v>
      </c>
    </row>
    <row r="80" spans="1:21" x14ac:dyDescent="0.25">
      <c r="A80" t="s">
        <v>35</v>
      </c>
      <c r="B80" t="s">
        <v>36</v>
      </c>
      <c r="C80">
        <v>9</v>
      </c>
      <c r="D80">
        <v>1</v>
      </c>
      <c r="E80"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v>21.0113883525256</v>
      </c>
      <c r="P80">
        <v>194.797574215157</v>
      </c>
      <c r="Q80">
        <v>468.15086329045101</v>
      </c>
      <c r="R80">
        <v>1240.5997877197001</v>
      </c>
      <c r="S80" s="4">
        <v>21.02</v>
      </c>
      <c r="T80" s="4">
        <v>0.86</v>
      </c>
      <c r="U80" s="4">
        <v>-6.9989999999999997E-2</v>
      </c>
    </row>
    <row r="81" spans="1:21" x14ac:dyDescent="0.25">
      <c r="A81" t="s">
        <v>35</v>
      </c>
      <c r="B81" t="s">
        <v>36</v>
      </c>
      <c r="C81">
        <v>10</v>
      </c>
      <c r="D81">
        <v>1</v>
      </c>
      <c r="E81"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v>21.016355877322599</v>
      </c>
      <c r="P81">
        <v>194.93576935351501</v>
      </c>
      <c r="Q81">
        <v>468.48298330573198</v>
      </c>
      <c r="R81">
        <v>1241.4799057601899</v>
      </c>
      <c r="S81" s="4">
        <v>21.02</v>
      </c>
      <c r="T81" s="4">
        <v>0.86</v>
      </c>
      <c r="U81" s="4">
        <v>-6.9989999999999997E-2</v>
      </c>
    </row>
    <row r="82" spans="1:21" x14ac:dyDescent="0.25">
      <c r="A82" t="s">
        <v>37</v>
      </c>
      <c r="B82" t="s">
        <v>38</v>
      </c>
      <c r="C82">
        <v>1</v>
      </c>
      <c r="D82">
        <v>9</v>
      </c>
      <c r="E82"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 s="2">
        <v>2074.86068892197</v>
      </c>
      <c r="P82" s="2">
        <v>53594235.192170598</v>
      </c>
      <c r="Q82" s="2">
        <v>128801334.275824</v>
      </c>
      <c r="R82" s="2">
        <v>341323535.830935</v>
      </c>
      <c r="S82" s="2">
        <v>2097.36</v>
      </c>
      <c r="T82" s="2">
        <v>0.5</v>
      </c>
      <c r="U82" s="2">
        <v>0</v>
      </c>
    </row>
    <row r="83" spans="1:21" x14ac:dyDescent="0.25">
      <c r="A83" t="s">
        <v>37</v>
      </c>
      <c r="B83" t="s">
        <v>38</v>
      </c>
      <c r="C83">
        <v>2</v>
      </c>
      <c r="D83">
        <v>9</v>
      </c>
      <c r="E83"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 s="2">
        <v>2097.11005523112</v>
      </c>
      <c r="P83" s="2">
        <v>55336911.736742303</v>
      </c>
      <c r="Q83" s="2">
        <v>132989453.82538401</v>
      </c>
      <c r="R83" s="2">
        <v>352422052.63726699</v>
      </c>
      <c r="S83" s="2">
        <v>2097.36</v>
      </c>
      <c r="T83" s="2">
        <v>0.5</v>
      </c>
      <c r="U83" s="2">
        <v>0</v>
      </c>
    </row>
    <row r="84" spans="1:21" x14ac:dyDescent="0.25">
      <c r="A84" t="s">
        <v>37</v>
      </c>
      <c r="B84" t="s">
        <v>38</v>
      </c>
      <c r="C84">
        <v>3</v>
      </c>
      <c r="D84">
        <v>9</v>
      </c>
      <c r="E84"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 s="2">
        <v>2097.35722336443</v>
      </c>
      <c r="P84" s="2">
        <v>55356480.285264499</v>
      </c>
      <c r="Q84" s="2">
        <v>133036482.30056401</v>
      </c>
      <c r="R84" s="2">
        <v>352546678.09649402</v>
      </c>
      <c r="S84" s="2">
        <v>2097.36</v>
      </c>
      <c r="T84" s="2">
        <v>0.5</v>
      </c>
      <c r="U84" s="2">
        <v>0</v>
      </c>
    </row>
    <row r="85" spans="1:21" x14ac:dyDescent="0.25">
      <c r="A85" t="s">
        <v>37</v>
      </c>
      <c r="B85" t="s">
        <v>38</v>
      </c>
      <c r="C85">
        <v>4</v>
      </c>
      <c r="D85">
        <v>9</v>
      </c>
      <c r="E85"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 s="2">
        <v>2097.35996915436</v>
      </c>
      <c r="P85" s="2">
        <v>55356697.698107503</v>
      </c>
      <c r="Q85" s="2">
        <v>133037004.801989</v>
      </c>
      <c r="R85" s="2">
        <v>352548062.72526997</v>
      </c>
      <c r="S85" s="2">
        <v>2097.36</v>
      </c>
      <c r="T85" s="2">
        <v>0.5</v>
      </c>
      <c r="U85" s="2">
        <v>0</v>
      </c>
    </row>
    <row r="86" spans="1:21" x14ac:dyDescent="0.25">
      <c r="A86" t="s">
        <v>37</v>
      </c>
      <c r="B86" t="s">
        <v>38</v>
      </c>
      <c r="C86">
        <v>5</v>
      </c>
      <c r="D86">
        <v>9</v>
      </c>
      <c r="E86"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 s="2">
        <v>2097.3599996573398</v>
      </c>
      <c r="P86" s="2">
        <v>55356700.113349199</v>
      </c>
      <c r="Q86" s="2">
        <v>133037010.606463</v>
      </c>
      <c r="R86" s="2">
        <v>352548078.10712701</v>
      </c>
      <c r="S86" s="2">
        <v>2097.36</v>
      </c>
      <c r="T86" s="2">
        <v>0.5</v>
      </c>
      <c r="U86" s="2">
        <v>0</v>
      </c>
    </row>
    <row r="87" spans="1:21" x14ac:dyDescent="0.25">
      <c r="A87" t="s">
        <v>37</v>
      </c>
      <c r="B87" t="s">
        <v>38</v>
      </c>
      <c r="C87">
        <v>6</v>
      </c>
      <c r="D87">
        <v>9</v>
      </c>
      <c r="E87"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 s="2">
        <v>2097.3599999961898</v>
      </c>
      <c r="P87" s="2">
        <v>55356700.140180103</v>
      </c>
      <c r="Q87" s="2">
        <v>133037010.670945</v>
      </c>
      <c r="R87" s="2">
        <v>352548078.27800298</v>
      </c>
      <c r="S87" s="2">
        <v>2097.36</v>
      </c>
      <c r="T87" s="2">
        <v>0.5</v>
      </c>
      <c r="U87" s="2">
        <v>0</v>
      </c>
    </row>
    <row r="88" spans="1:21" x14ac:dyDescent="0.25">
      <c r="A88" t="s">
        <v>37</v>
      </c>
      <c r="B88" t="s">
        <v>38</v>
      </c>
      <c r="C88">
        <v>7</v>
      </c>
      <c r="D88">
        <v>9</v>
      </c>
      <c r="E88"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 s="2">
        <v>2097.3599999999601</v>
      </c>
      <c r="P88" s="2">
        <v>55356700.140478201</v>
      </c>
      <c r="Q88" s="2">
        <v>133037010.671661</v>
      </c>
      <c r="R88" s="2">
        <v>352548078.27990198</v>
      </c>
      <c r="S88" s="2">
        <v>2097.36</v>
      </c>
      <c r="T88" s="2">
        <v>0.5</v>
      </c>
      <c r="U88" s="2">
        <v>0</v>
      </c>
    </row>
    <row r="89" spans="1:21" x14ac:dyDescent="0.25">
      <c r="A89" t="s">
        <v>37</v>
      </c>
      <c r="B89" t="s">
        <v>38</v>
      </c>
      <c r="C89">
        <v>8</v>
      </c>
      <c r="D89">
        <v>9</v>
      </c>
      <c r="E89"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 s="2">
        <v>2097.36</v>
      </c>
      <c r="P89" s="2">
        <v>55356700.140481502</v>
      </c>
      <c r="Q89" s="2">
        <v>133037010.67166901</v>
      </c>
      <c r="R89" s="2">
        <v>352548078.27992302</v>
      </c>
      <c r="S89" s="2">
        <v>2097.36</v>
      </c>
      <c r="T89" s="2">
        <v>0.5</v>
      </c>
      <c r="U89" s="2">
        <v>0</v>
      </c>
    </row>
    <row r="90" spans="1:21" x14ac:dyDescent="0.25">
      <c r="A90" t="s">
        <v>37</v>
      </c>
      <c r="B90" t="s">
        <v>38</v>
      </c>
      <c r="C90">
        <v>9</v>
      </c>
      <c r="D90">
        <v>9</v>
      </c>
      <c r="E90"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 s="2">
        <v>2097.36</v>
      </c>
      <c r="P90" s="2">
        <v>55356700.140481502</v>
      </c>
      <c r="Q90" s="2">
        <v>133037010.67166901</v>
      </c>
      <c r="R90" s="2">
        <v>352548078.27992302</v>
      </c>
      <c r="S90" s="2">
        <v>2097.36</v>
      </c>
      <c r="T90" s="2">
        <v>0.5</v>
      </c>
      <c r="U90" s="2">
        <v>0</v>
      </c>
    </row>
    <row r="91" spans="1:21" x14ac:dyDescent="0.25">
      <c r="A91" t="s">
        <v>37</v>
      </c>
      <c r="B91" t="s">
        <v>38</v>
      </c>
      <c r="C91">
        <v>10</v>
      </c>
      <c r="D91">
        <v>9</v>
      </c>
      <c r="E91"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 s="2">
        <v>2097.36</v>
      </c>
      <c r="P91" s="2">
        <v>55356700.140481502</v>
      </c>
      <c r="Q91" s="2">
        <v>133037010.67166901</v>
      </c>
      <c r="R91" s="2">
        <v>352548078.27992302</v>
      </c>
      <c r="S91" s="2">
        <v>2097.36</v>
      </c>
      <c r="T91" s="2">
        <v>0.5</v>
      </c>
      <c r="U91" s="2">
        <v>0</v>
      </c>
    </row>
    <row r="92" spans="1:21" x14ac:dyDescent="0.25">
      <c r="A92" t="s">
        <v>39</v>
      </c>
      <c r="B92" t="s">
        <v>40</v>
      </c>
      <c r="C92">
        <v>1</v>
      </c>
      <c r="D92">
        <v>2</v>
      </c>
      <c r="E92"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v>28.0613187207728</v>
      </c>
      <c r="P92">
        <v>265.15845240718301</v>
      </c>
      <c r="Q92">
        <v>637.24694161783896</v>
      </c>
      <c r="R92">
        <v>1688.70439528727</v>
      </c>
      <c r="S92">
        <v>150.93</v>
      </c>
      <c r="T92">
        <v>0.11</v>
      </c>
      <c r="U92">
        <v>0.13</v>
      </c>
    </row>
    <row r="93" spans="1:21" x14ac:dyDescent="0.25">
      <c r="A93" t="s">
        <v>39</v>
      </c>
      <c r="B93" t="s">
        <v>40</v>
      </c>
      <c r="C93">
        <v>2</v>
      </c>
      <c r="D93">
        <v>2</v>
      </c>
      <c r="E93"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v>52.325573592559699</v>
      </c>
      <c r="P93">
        <v>1719.1874784798999</v>
      </c>
      <c r="Q93">
        <v>4131.6690182165303</v>
      </c>
      <c r="R93">
        <v>10948.9228982738</v>
      </c>
      <c r="S93">
        <v>150.93</v>
      </c>
      <c r="T93">
        <v>0.11</v>
      </c>
      <c r="U93">
        <v>0.13</v>
      </c>
    </row>
    <row r="94" spans="1:21" x14ac:dyDescent="0.25">
      <c r="A94" t="s">
        <v>39</v>
      </c>
      <c r="B94" t="s">
        <v>40</v>
      </c>
      <c r="C94">
        <v>3</v>
      </c>
      <c r="D94">
        <v>2</v>
      </c>
      <c r="E94"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v>71.798094245721302</v>
      </c>
      <c r="P94">
        <v>4441.4011070428996</v>
      </c>
      <c r="Q94">
        <v>10673.8791325232</v>
      </c>
      <c r="R94">
        <v>28285.7797011865</v>
      </c>
      <c r="S94">
        <v>150.93</v>
      </c>
      <c r="T94">
        <v>0.11</v>
      </c>
      <c r="U94">
        <v>0.13</v>
      </c>
    </row>
    <row r="95" spans="1:21" x14ac:dyDescent="0.25">
      <c r="A95" t="s">
        <v>39</v>
      </c>
      <c r="B95" t="s">
        <v>40</v>
      </c>
      <c r="C95">
        <v>4</v>
      </c>
      <c r="D95">
        <v>2</v>
      </c>
      <c r="E95"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v>87.425158113596197</v>
      </c>
      <c r="P95">
        <v>8018.4518441494702</v>
      </c>
      <c r="Q95">
        <v>19270.492295480599</v>
      </c>
      <c r="R95">
        <v>51066.804583023499</v>
      </c>
      <c r="S95">
        <v>150.93</v>
      </c>
      <c r="T95">
        <v>0.11</v>
      </c>
      <c r="U95">
        <v>0.13</v>
      </c>
    </row>
    <row r="96" spans="1:21" x14ac:dyDescent="0.25">
      <c r="A96" t="s">
        <v>39</v>
      </c>
      <c r="B96" t="s">
        <v>40</v>
      </c>
      <c r="C96">
        <v>5</v>
      </c>
      <c r="D96">
        <v>2</v>
      </c>
      <c r="E96"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v>99.966170624525901</v>
      </c>
      <c r="P96">
        <v>11987.8255443007</v>
      </c>
      <c r="Q96">
        <v>28809.962855805501</v>
      </c>
      <c r="R96">
        <v>76346.401567884604</v>
      </c>
      <c r="S96">
        <v>150.93</v>
      </c>
      <c r="T96">
        <v>0.11</v>
      </c>
      <c r="U96">
        <v>0.13</v>
      </c>
    </row>
    <row r="97" spans="1:21" x14ac:dyDescent="0.25">
      <c r="A97" t="s">
        <v>39</v>
      </c>
      <c r="B97" t="s">
        <v>40</v>
      </c>
      <c r="C97">
        <v>6</v>
      </c>
      <c r="D97">
        <v>2</v>
      </c>
      <c r="E97"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v>110.03056891003</v>
      </c>
      <c r="P97">
        <v>15985.319518006399</v>
      </c>
      <c r="Q97">
        <v>38417.013982231299</v>
      </c>
      <c r="R97">
        <v>101805.087052913</v>
      </c>
      <c r="S97">
        <v>150.93</v>
      </c>
      <c r="T97">
        <v>0.11</v>
      </c>
      <c r="U97">
        <v>0.13</v>
      </c>
    </row>
    <row r="98" spans="1:21" x14ac:dyDescent="0.25">
      <c r="A98" t="s">
        <v>39</v>
      </c>
      <c r="B98" t="s">
        <v>40</v>
      </c>
      <c r="C98">
        <v>7</v>
      </c>
      <c r="D98">
        <v>2</v>
      </c>
      <c r="E98"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v>118.10743772432799</v>
      </c>
      <c r="P98">
        <v>19770.287712418001</v>
      </c>
      <c r="Q98">
        <v>47513.308609512103</v>
      </c>
      <c r="R98">
        <v>125910.267815207</v>
      </c>
      <c r="S98">
        <v>150.93</v>
      </c>
      <c r="T98">
        <v>0.11</v>
      </c>
      <c r="U98">
        <v>0.13</v>
      </c>
    </row>
    <row r="99" spans="1:21" x14ac:dyDescent="0.25">
      <c r="A99" t="s">
        <v>39</v>
      </c>
      <c r="B99" t="s">
        <v>40</v>
      </c>
      <c r="C99">
        <v>8</v>
      </c>
      <c r="D99">
        <v>2</v>
      </c>
      <c r="E99"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v>124.589276776479</v>
      </c>
      <c r="P99">
        <v>23207.226476381598</v>
      </c>
      <c r="Q99">
        <v>55773.195088636297</v>
      </c>
      <c r="R99">
        <v>147798.96698488601</v>
      </c>
      <c r="S99">
        <v>150.93</v>
      </c>
      <c r="T99">
        <v>0.11</v>
      </c>
      <c r="U99">
        <v>0.13</v>
      </c>
    </row>
    <row r="100" spans="1:21" x14ac:dyDescent="0.25">
      <c r="A100" t="s">
        <v>39</v>
      </c>
      <c r="B100" t="s">
        <v>40</v>
      </c>
      <c r="C100">
        <v>9</v>
      </c>
      <c r="D100">
        <v>2</v>
      </c>
      <c r="E100"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v>129.79107446119801</v>
      </c>
      <c r="P100">
        <v>26237.093874199702</v>
      </c>
      <c r="Q100">
        <v>63054.779798605297</v>
      </c>
      <c r="R100">
        <v>167095.16646630401</v>
      </c>
      <c r="S100">
        <v>150.93</v>
      </c>
      <c r="T100">
        <v>0.11</v>
      </c>
      <c r="U100">
        <v>0.13</v>
      </c>
    </row>
    <row r="101" spans="1:21" x14ac:dyDescent="0.25">
      <c r="A101" t="s">
        <v>39</v>
      </c>
      <c r="B101" t="s">
        <v>40</v>
      </c>
      <c r="C101">
        <v>10</v>
      </c>
      <c r="D101">
        <v>2</v>
      </c>
      <c r="E101"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v>133.96561488638201</v>
      </c>
      <c r="P101">
        <v>28851.026615496699</v>
      </c>
      <c r="Q101">
        <v>69336.761873339696</v>
      </c>
      <c r="R101">
        <v>183742.41896435001</v>
      </c>
      <c r="S101">
        <v>150.93</v>
      </c>
      <c r="T101">
        <v>0.11</v>
      </c>
      <c r="U101">
        <v>0.13</v>
      </c>
    </row>
    <row r="102" spans="1:21" x14ac:dyDescent="0.25">
      <c r="A102" t="s">
        <v>41</v>
      </c>
      <c r="B102" t="s">
        <v>42</v>
      </c>
      <c r="C102">
        <v>1</v>
      </c>
      <c r="D102">
        <v>4</v>
      </c>
      <c r="E102"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v>36.422627340305503</v>
      </c>
      <c r="P102">
        <v>927.58931316686903</v>
      </c>
      <c r="Q102">
        <v>2229.2461263322998</v>
      </c>
      <c r="R102">
        <v>5907.5022347805898</v>
      </c>
      <c r="S102">
        <v>91.5</v>
      </c>
      <c r="T102">
        <v>0.12690000000000001</v>
      </c>
      <c r="U102">
        <v>0</v>
      </c>
    </row>
    <row r="103" spans="1:21" x14ac:dyDescent="0.25">
      <c r="A103" t="s">
        <v>41</v>
      </c>
      <c r="B103" t="s">
        <v>42</v>
      </c>
      <c r="C103">
        <v>2</v>
      </c>
      <c r="D103">
        <v>4</v>
      </c>
      <c r="E103"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v>58.346808971640797</v>
      </c>
      <c r="P103">
        <v>3997.2180213995698</v>
      </c>
      <c r="Q103">
        <v>9606.3879389559406</v>
      </c>
      <c r="R103">
        <v>25456.9280382332</v>
      </c>
      <c r="S103">
        <v>91.5</v>
      </c>
      <c r="T103">
        <v>0.12690000000000001</v>
      </c>
      <c r="U103">
        <v>0</v>
      </c>
    </row>
    <row r="104" spans="1:21" x14ac:dyDescent="0.25">
      <c r="A104" t="s">
        <v>41</v>
      </c>
      <c r="B104" t="s">
        <v>42</v>
      </c>
      <c r="C104">
        <v>3</v>
      </c>
      <c r="D104">
        <v>4</v>
      </c>
      <c r="E104"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v>71.543817954896397</v>
      </c>
      <c r="P104">
        <v>7521.0477792886604</v>
      </c>
      <c r="Q104">
        <v>18075.0968019434</v>
      </c>
      <c r="R104">
        <v>47899.0065251501</v>
      </c>
      <c r="S104">
        <v>91.5</v>
      </c>
      <c r="T104">
        <v>0.12690000000000001</v>
      </c>
      <c r="U104">
        <v>0</v>
      </c>
    </row>
    <row r="105" spans="1:21" x14ac:dyDescent="0.25">
      <c r="A105" t="s">
        <v>41</v>
      </c>
      <c r="B105" t="s">
        <v>42</v>
      </c>
      <c r="C105">
        <v>4</v>
      </c>
      <c r="D105">
        <v>4</v>
      </c>
      <c r="E105"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v>79.487605733739102</v>
      </c>
      <c r="P105">
        <v>10423.9660199672</v>
      </c>
      <c r="Q105">
        <v>25051.588608428799</v>
      </c>
      <c r="R105">
        <v>66386.709812336398</v>
      </c>
      <c r="S105">
        <v>91.5</v>
      </c>
      <c r="T105">
        <v>0.12690000000000001</v>
      </c>
      <c r="U105">
        <v>0</v>
      </c>
    </row>
    <row r="106" spans="1:21" x14ac:dyDescent="0.25">
      <c r="A106" t="s">
        <v>41</v>
      </c>
      <c r="B106" t="s">
        <v>42</v>
      </c>
      <c r="C106">
        <v>5</v>
      </c>
      <c r="D106">
        <v>4</v>
      </c>
      <c r="E106"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v>84.269277425813897</v>
      </c>
      <c r="P106">
        <v>12493.3680838173</v>
      </c>
      <c r="Q106">
        <v>30024.917288674202</v>
      </c>
      <c r="R106">
        <v>79566.030814986603</v>
      </c>
      <c r="S106">
        <v>91.5</v>
      </c>
      <c r="T106">
        <v>0.12690000000000001</v>
      </c>
      <c r="U106">
        <v>0</v>
      </c>
    </row>
    <row r="107" spans="1:21" x14ac:dyDescent="0.25">
      <c r="A107" t="s">
        <v>41</v>
      </c>
      <c r="B107" t="s">
        <v>42</v>
      </c>
      <c r="C107">
        <v>6</v>
      </c>
      <c r="D107">
        <v>4</v>
      </c>
      <c r="E107"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v>87.147549706914603</v>
      </c>
      <c r="P107">
        <v>13864.233325167101</v>
      </c>
      <c r="Q107">
        <v>33319.474465674401</v>
      </c>
      <c r="R107">
        <v>88296.607334037195</v>
      </c>
      <c r="S107">
        <v>91.5</v>
      </c>
      <c r="T107">
        <v>0.12690000000000001</v>
      </c>
      <c r="U107">
        <v>0</v>
      </c>
    </row>
    <row r="108" spans="1:21" x14ac:dyDescent="0.25">
      <c r="A108" t="s">
        <v>41</v>
      </c>
      <c r="B108" t="s">
        <v>42</v>
      </c>
      <c r="C108">
        <v>7</v>
      </c>
      <c r="D108">
        <v>4</v>
      </c>
      <c r="E108"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v>88.880092603551205</v>
      </c>
      <c r="P108">
        <v>14736.6491332853</v>
      </c>
      <c r="Q108">
        <v>35416.123848318501</v>
      </c>
      <c r="R108">
        <v>93852.7281980439</v>
      </c>
      <c r="S108">
        <v>91.5</v>
      </c>
      <c r="T108">
        <v>0.12690000000000001</v>
      </c>
      <c r="U108">
        <v>0</v>
      </c>
    </row>
    <row r="109" spans="1:21" x14ac:dyDescent="0.25">
      <c r="A109" t="s">
        <v>41</v>
      </c>
      <c r="B109" t="s">
        <v>42</v>
      </c>
      <c r="C109">
        <v>8</v>
      </c>
      <c r="D109">
        <v>4</v>
      </c>
      <c r="E109"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v>89.922976874228397</v>
      </c>
      <c r="P109">
        <v>15279.315297302401</v>
      </c>
      <c r="Q109">
        <v>36720.2963165162</v>
      </c>
      <c r="R109">
        <v>97308.785238768003</v>
      </c>
      <c r="S109">
        <v>91.5</v>
      </c>
      <c r="T109">
        <v>0.12690000000000001</v>
      </c>
      <c r="U109">
        <v>0</v>
      </c>
    </row>
    <row r="110" spans="1:21" x14ac:dyDescent="0.25">
      <c r="A110" t="s">
        <v>41</v>
      </c>
      <c r="B110" t="s">
        <v>42</v>
      </c>
      <c r="C110">
        <v>9</v>
      </c>
      <c r="D110">
        <v>4</v>
      </c>
      <c r="E110"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v>90.550729066764205</v>
      </c>
      <c r="P110">
        <v>15612.4063975565</v>
      </c>
      <c r="Q110">
        <v>37520.803647095803</v>
      </c>
      <c r="R110">
        <v>99430.129664803797</v>
      </c>
      <c r="S110">
        <v>91.5</v>
      </c>
      <c r="T110">
        <v>0.12690000000000001</v>
      </c>
      <c r="U110">
        <v>0</v>
      </c>
    </row>
    <row r="111" spans="1:21" x14ac:dyDescent="0.25">
      <c r="A111" t="s">
        <v>41</v>
      </c>
      <c r="B111" t="s">
        <v>42</v>
      </c>
      <c r="C111">
        <v>10</v>
      </c>
      <c r="D111">
        <v>4</v>
      </c>
      <c r="E111"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v>90.928597279291296</v>
      </c>
      <c r="P111">
        <v>15815.2594832019</v>
      </c>
      <c r="Q111">
        <v>38008.314066815503</v>
      </c>
      <c r="R111">
        <v>100722.03227706099</v>
      </c>
      <c r="S111">
        <v>91.5</v>
      </c>
      <c r="T111">
        <v>0.12690000000000001</v>
      </c>
      <c r="U111">
        <v>0</v>
      </c>
    </row>
    <row r="112" spans="1:21" x14ac:dyDescent="0.25">
      <c r="A112" t="s">
        <v>43</v>
      </c>
      <c r="B112" t="s">
        <v>44</v>
      </c>
      <c r="C112">
        <v>1</v>
      </c>
      <c r="D112">
        <v>2</v>
      </c>
      <c r="E112"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 s="2">
        <v>28.1894449982616</v>
      </c>
      <c r="P112" s="2">
        <v>322.56858449086297</v>
      </c>
      <c r="Q112" s="2">
        <v>775.21890048272701</v>
      </c>
      <c r="R112" s="2">
        <v>2054.3300862792298</v>
      </c>
      <c r="S112" s="2">
        <v>47.633333333333297</v>
      </c>
      <c r="T112" s="2">
        <v>0.44800000000000001</v>
      </c>
      <c r="U112" s="2">
        <v>0</v>
      </c>
    </row>
    <row r="113" spans="1:21" x14ac:dyDescent="0.25">
      <c r="A113" t="s">
        <v>43</v>
      </c>
      <c r="B113" t="s">
        <v>44</v>
      </c>
      <c r="C113">
        <v>2</v>
      </c>
      <c r="D113">
        <v>2</v>
      </c>
      <c r="E113"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 s="2">
        <v>39.696353761883302</v>
      </c>
      <c r="P113" s="2">
        <v>900.77089226532598</v>
      </c>
      <c r="Q113" s="2">
        <v>2164.7942616326</v>
      </c>
      <c r="R113" s="2">
        <v>5736.7047933263902</v>
      </c>
      <c r="S113" s="2">
        <v>47.633333333333297</v>
      </c>
      <c r="T113" s="2">
        <v>0.44800000000000001</v>
      </c>
      <c r="U113" s="2">
        <v>0</v>
      </c>
    </row>
    <row r="114" spans="1:21" x14ac:dyDescent="0.25">
      <c r="A114" t="s">
        <v>43</v>
      </c>
      <c r="B114" t="s">
        <v>44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 s="2">
        <v>44.3934646593301</v>
      </c>
      <c r="P114" s="2">
        <v>1259.85224392177</v>
      </c>
      <c r="Q114" s="2">
        <v>3027.7631432871199</v>
      </c>
      <c r="R114" s="2">
        <v>8023.5723297108698</v>
      </c>
      <c r="S114" s="2">
        <v>47.633333333333297</v>
      </c>
      <c r="T114" s="2">
        <v>0.44800000000000001</v>
      </c>
      <c r="U114" s="2">
        <v>0</v>
      </c>
    </row>
    <row r="115" spans="1:21" x14ac:dyDescent="0.25">
      <c r="A115" t="s">
        <v>43</v>
      </c>
      <c r="B115" t="s">
        <v>44</v>
      </c>
      <c r="C115">
        <v>4</v>
      </c>
      <c r="D115">
        <v>2</v>
      </c>
      <c r="E115"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 s="2">
        <v>46.310821547799101</v>
      </c>
      <c r="P115" s="2">
        <v>1430.2433865410001</v>
      </c>
      <c r="Q115" s="2">
        <v>3437.2587996659399</v>
      </c>
      <c r="R115" s="2">
        <v>9108.7358191147505</v>
      </c>
      <c r="S115" s="2">
        <v>47.633333333333297</v>
      </c>
      <c r="T115" s="2">
        <v>0.44800000000000001</v>
      </c>
      <c r="U115" s="2">
        <v>0</v>
      </c>
    </row>
    <row r="116" spans="1:21" x14ac:dyDescent="0.25">
      <c r="A116" t="s">
        <v>43</v>
      </c>
      <c r="B116" t="s">
        <v>44</v>
      </c>
      <c r="C116">
        <v>5</v>
      </c>
      <c r="D116">
        <v>2</v>
      </c>
      <c r="E116"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 s="2">
        <v>47.093485086732699</v>
      </c>
      <c r="P116" s="2">
        <v>1503.9901260122399</v>
      </c>
      <c r="Q116" s="2">
        <v>3614.4920115650998</v>
      </c>
      <c r="R116" s="2">
        <v>9578.4038306475304</v>
      </c>
      <c r="S116" s="2">
        <v>47.633333333333297</v>
      </c>
      <c r="T116" s="2">
        <v>0.44800000000000001</v>
      </c>
      <c r="U116" s="2">
        <v>0</v>
      </c>
    </row>
    <row r="117" spans="1:21" x14ac:dyDescent="0.25">
      <c r="A117" t="s">
        <v>43</v>
      </c>
      <c r="B117" t="s">
        <v>44</v>
      </c>
      <c r="C117">
        <v>6</v>
      </c>
      <c r="D117">
        <v>2</v>
      </c>
      <c r="E117"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 s="2">
        <v>47.412967713498801</v>
      </c>
      <c r="P117" s="2">
        <v>1534.8074966596901</v>
      </c>
      <c r="Q117" s="2">
        <v>3688.5544260026199</v>
      </c>
      <c r="R117" s="2">
        <v>9774.6692289069306</v>
      </c>
      <c r="S117" s="2">
        <v>47.633333333333297</v>
      </c>
      <c r="T117" s="2">
        <v>0.44800000000000001</v>
      </c>
      <c r="U117" s="2">
        <v>0</v>
      </c>
    </row>
    <row r="118" spans="1:21" x14ac:dyDescent="0.25">
      <c r="A118" t="s">
        <v>43</v>
      </c>
      <c r="B118" t="s">
        <v>44</v>
      </c>
      <c r="C118">
        <v>7</v>
      </c>
      <c r="D118">
        <v>2</v>
      </c>
      <c r="E118"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 s="2">
        <v>47.543380264649898</v>
      </c>
      <c r="P118" s="2">
        <v>1547.50713712176</v>
      </c>
      <c r="Q118" s="2">
        <v>3719.07507118904</v>
      </c>
      <c r="R118" s="2">
        <v>9855.5489386509507</v>
      </c>
      <c r="S118" s="2">
        <v>47.633333333333297</v>
      </c>
      <c r="T118" s="2">
        <v>0.44800000000000001</v>
      </c>
      <c r="U118" s="2">
        <v>0</v>
      </c>
    </row>
    <row r="119" spans="1:21" x14ac:dyDescent="0.25">
      <c r="A119" t="s">
        <v>43</v>
      </c>
      <c r="B119" t="s">
        <v>44</v>
      </c>
      <c r="C119">
        <v>8</v>
      </c>
      <c r="D119">
        <v>2</v>
      </c>
      <c r="E119"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 s="2">
        <v>47.596614563084003</v>
      </c>
      <c r="P119" s="2">
        <v>1552.7111885852801</v>
      </c>
      <c r="Q119" s="2">
        <v>3731.58180385791</v>
      </c>
      <c r="R119" s="2">
        <v>9888.6917802234693</v>
      </c>
      <c r="S119" s="2">
        <v>47.633333333333297</v>
      </c>
      <c r="T119" s="2">
        <v>0.44800000000000001</v>
      </c>
      <c r="U119" s="2">
        <v>0</v>
      </c>
    </row>
    <row r="120" spans="1:21" x14ac:dyDescent="0.25">
      <c r="A120" t="s">
        <v>43</v>
      </c>
      <c r="B120" t="s">
        <v>44</v>
      </c>
      <c r="C120">
        <v>9</v>
      </c>
      <c r="D120">
        <v>2</v>
      </c>
      <c r="E120"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 s="2">
        <v>47.618344760866002</v>
      </c>
      <c r="P120" s="2">
        <v>1554.8388269591901</v>
      </c>
      <c r="Q120" s="2">
        <v>3736.6950900244801</v>
      </c>
      <c r="R120" s="2">
        <v>9902.2419885648796</v>
      </c>
      <c r="S120" s="2">
        <v>47.633333333333297</v>
      </c>
      <c r="T120" s="2">
        <v>0.44800000000000001</v>
      </c>
      <c r="U120" s="2">
        <v>0</v>
      </c>
    </row>
    <row r="121" spans="1:21" x14ac:dyDescent="0.25">
      <c r="A121" t="s">
        <v>43</v>
      </c>
      <c r="B121" t="s">
        <v>44</v>
      </c>
      <c r="C121">
        <v>10</v>
      </c>
      <c r="D121">
        <v>2</v>
      </c>
      <c r="E121"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 s="2">
        <v>47.627215010113801</v>
      </c>
      <c r="P121" s="2">
        <v>1555.7078855504301</v>
      </c>
      <c r="Q121" s="2">
        <v>3738.7836711137402</v>
      </c>
      <c r="R121" s="2">
        <v>9907.7767284513993</v>
      </c>
      <c r="S121" s="2">
        <v>47.633333333333297</v>
      </c>
      <c r="T121" s="2">
        <v>0.44800000000000001</v>
      </c>
      <c r="U121" s="2">
        <v>0</v>
      </c>
    </row>
    <row r="122" spans="1:21" x14ac:dyDescent="0.25">
      <c r="A122" t="s">
        <v>45</v>
      </c>
      <c r="B122" t="s">
        <v>46</v>
      </c>
      <c r="C122">
        <v>1</v>
      </c>
      <c r="D122">
        <v>5</v>
      </c>
      <c r="E122"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 s="2">
        <v>210.25548566594</v>
      </c>
      <c r="P122" s="2">
        <v>107272.06964857</v>
      </c>
      <c r="Q122" s="2">
        <v>257803.58002540399</v>
      </c>
      <c r="R122" s="2">
        <v>683179.48706732003</v>
      </c>
      <c r="S122" s="2">
        <v>300.78571428571399</v>
      </c>
      <c r="T122" s="2">
        <v>0.24014285714285699</v>
      </c>
      <c r="U122" s="2">
        <v>0</v>
      </c>
    </row>
    <row r="123" spans="1:21" x14ac:dyDescent="0.25">
      <c r="A123" t="s">
        <v>45</v>
      </c>
      <c r="B123" t="s">
        <v>46</v>
      </c>
      <c r="C123">
        <v>2</v>
      </c>
      <c r="D123">
        <v>5</v>
      </c>
      <c r="E123"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 s="2">
        <v>266.14213576925499</v>
      </c>
      <c r="P123" s="2">
        <v>228065.097309423</v>
      </c>
      <c r="Q123" s="2">
        <v>548101.65178904904</v>
      </c>
      <c r="R123" s="2">
        <v>1452469.37724098</v>
      </c>
      <c r="S123" s="2">
        <v>300.78571428571399</v>
      </c>
      <c r="T123" s="2">
        <v>0.24014285714285699</v>
      </c>
      <c r="U123" s="2">
        <v>1</v>
      </c>
    </row>
    <row r="124" spans="1:21" x14ac:dyDescent="0.25">
      <c r="A124" t="s">
        <v>45</v>
      </c>
      <c r="B124" t="s">
        <v>46</v>
      </c>
      <c r="C124">
        <v>3</v>
      </c>
      <c r="D124">
        <v>5</v>
      </c>
      <c r="E124"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 s="2">
        <v>287.52851223592398</v>
      </c>
      <c r="P124" s="2">
        <v>292061.37189564598</v>
      </c>
      <c r="Q124" s="2">
        <v>701901.87910513405</v>
      </c>
      <c r="R124" s="2">
        <v>1860039.9796285999</v>
      </c>
      <c r="S124" s="2">
        <v>300.78571428571399</v>
      </c>
      <c r="T124" s="2">
        <v>0.24014285714285699</v>
      </c>
      <c r="U124" s="2">
        <v>2</v>
      </c>
    </row>
    <row r="125" spans="1:21" x14ac:dyDescent="0.25">
      <c r="A125" t="s">
        <v>45</v>
      </c>
      <c r="B125" t="s">
        <v>46</v>
      </c>
      <c r="C125">
        <v>4</v>
      </c>
      <c r="D125">
        <v>5</v>
      </c>
      <c r="E125"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 s="2">
        <v>295.71252572623899</v>
      </c>
      <c r="P125" s="2">
        <v>319505.46579705598</v>
      </c>
      <c r="Q125" s="2">
        <v>767857.40398235095</v>
      </c>
      <c r="R125" s="2">
        <v>2034822.1205532299</v>
      </c>
      <c r="S125" s="2">
        <v>300.78571428571399</v>
      </c>
      <c r="T125" s="2">
        <v>0.24014285714285699</v>
      </c>
      <c r="U125" s="2">
        <v>3</v>
      </c>
    </row>
    <row r="126" spans="1:21" x14ac:dyDescent="0.25">
      <c r="A126" t="s">
        <v>45</v>
      </c>
      <c r="B126" t="s">
        <v>46</v>
      </c>
      <c r="C126">
        <v>5</v>
      </c>
      <c r="D126">
        <v>5</v>
      </c>
      <c r="E126"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 s="2">
        <v>298.84433615303402</v>
      </c>
      <c r="P126" s="2">
        <v>330460.28998611099</v>
      </c>
      <c r="Q126" s="2">
        <v>794184.78727736499</v>
      </c>
      <c r="R126" s="2">
        <v>2104589.6862850199</v>
      </c>
      <c r="S126" s="2">
        <v>300.78571428571399</v>
      </c>
      <c r="T126" s="2">
        <v>0.24014285714285699</v>
      </c>
      <c r="U126" s="2">
        <v>4</v>
      </c>
    </row>
    <row r="127" spans="1:21" x14ac:dyDescent="0.25">
      <c r="A127" t="s">
        <v>45</v>
      </c>
      <c r="B127" t="s">
        <v>46</v>
      </c>
      <c r="C127">
        <v>6</v>
      </c>
      <c r="D127">
        <v>5</v>
      </c>
      <c r="E127"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 s="2">
        <v>300.04279905402802</v>
      </c>
      <c r="P127" s="2">
        <v>334719.83781043102</v>
      </c>
      <c r="Q127" s="2">
        <v>804421.62415388296</v>
      </c>
      <c r="R127" s="2">
        <v>2131717.3040077901</v>
      </c>
      <c r="S127" s="2">
        <v>300.78571428571399</v>
      </c>
      <c r="T127" s="2">
        <v>0.24014285714285699</v>
      </c>
      <c r="U127" s="2">
        <v>5</v>
      </c>
    </row>
    <row r="128" spans="1:21" x14ac:dyDescent="0.25">
      <c r="A128" t="s">
        <v>45</v>
      </c>
      <c r="B128" t="s">
        <v>46</v>
      </c>
      <c r="C128">
        <v>7</v>
      </c>
      <c r="D128">
        <v>5</v>
      </c>
      <c r="E128"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 s="2">
        <v>300.50141982901903</v>
      </c>
      <c r="P128" s="2">
        <v>336359.79302631901</v>
      </c>
      <c r="Q128" s="2">
        <v>808362.87677558104</v>
      </c>
      <c r="R128" s="2">
        <v>2142161.6234552902</v>
      </c>
      <c r="S128" s="2">
        <v>300.78571428571399</v>
      </c>
      <c r="T128" s="2">
        <v>0.24014285714285699</v>
      </c>
      <c r="U128" s="2">
        <v>6</v>
      </c>
    </row>
    <row r="129" spans="1:21" x14ac:dyDescent="0.25">
      <c r="A129" t="s">
        <v>45</v>
      </c>
      <c r="B129" t="s">
        <v>46</v>
      </c>
      <c r="C129">
        <v>8</v>
      </c>
      <c r="D129">
        <v>5</v>
      </c>
      <c r="E129"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 s="2">
        <v>300.67692214542598</v>
      </c>
      <c r="P129" s="2">
        <v>336988.82013305998</v>
      </c>
      <c r="Q129" s="2">
        <v>809874.59777231305</v>
      </c>
      <c r="R129" s="2">
        <v>2146167.6840966302</v>
      </c>
      <c r="S129" s="2">
        <v>300.78571428571399</v>
      </c>
      <c r="T129" s="2">
        <v>0.24014285714285699</v>
      </c>
      <c r="U129" s="2">
        <v>7</v>
      </c>
    </row>
    <row r="130" spans="1:21" x14ac:dyDescent="0.25">
      <c r="A130" t="s">
        <v>45</v>
      </c>
      <c r="B130" t="s">
        <v>46</v>
      </c>
      <c r="C130">
        <v>9</v>
      </c>
      <c r="D130">
        <v>5</v>
      </c>
      <c r="E130"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 s="2">
        <v>300.744082345626</v>
      </c>
      <c r="P130" s="2">
        <v>337229.74634921202</v>
      </c>
      <c r="Q130" s="2">
        <v>810453.60814518703</v>
      </c>
      <c r="R130" s="2">
        <v>2147702.0615847399</v>
      </c>
      <c r="S130" s="2">
        <v>300.78571428571399</v>
      </c>
      <c r="T130" s="2">
        <v>0.24014285714285699</v>
      </c>
      <c r="U130" s="2">
        <v>8</v>
      </c>
    </row>
    <row r="131" spans="1:21" x14ac:dyDescent="0.25">
      <c r="A131" t="s">
        <v>45</v>
      </c>
      <c r="B131" t="s">
        <v>46</v>
      </c>
      <c r="C131">
        <v>10</v>
      </c>
      <c r="D131">
        <v>5</v>
      </c>
      <c r="E131"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 s="2">
        <v>300.76978281832203</v>
      </c>
      <c r="P131" s="2">
        <v>337321.973904919</v>
      </c>
      <c r="Q131" s="2">
        <v>810675.25571958395</v>
      </c>
      <c r="R131" s="2">
        <v>2148289.4276569001</v>
      </c>
      <c r="S131" s="2">
        <v>300.78571428571399</v>
      </c>
      <c r="T131" s="2">
        <v>0.24014285714285699</v>
      </c>
      <c r="U131" s="2">
        <v>9</v>
      </c>
    </row>
    <row r="132" spans="1:21" x14ac:dyDescent="0.25">
      <c r="A132" s="2" t="s">
        <v>47</v>
      </c>
      <c r="B132" t="s">
        <v>48</v>
      </c>
      <c r="C132">
        <v>1</v>
      </c>
      <c r="D132">
        <v>1</v>
      </c>
      <c r="E132">
        <v>1</v>
      </c>
      <c r="F132">
        <v>48.065368900000003</v>
      </c>
      <c r="G132">
        <v>127.37322760000001</v>
      </c>
      <c r="H132">
        <v>19.999999999290001</v>
      </c>
      <c r="I132">
        <v>1.9999999999289999E-2</v>
      </c>
      <c r="J132">
        <v>1.9999999999290002E-5</v>
      </c>
      <c r="K132">
        <v>4.40923999984347E-2</v>
      </c>
      <c r="L132" s="3">
        <v>1.23E-2</v>
      </c>
      <c r="M132" s="3">
        <v>3.2</v>
      </c>
      <c r="N132">
        <v>10.080371233277299</v>
      </c>
      <c r="O132" s="2">
        <v>17.377043611361099</v>
      </c>
      <c r="P132" s="2">
        <v>114.242569590294</v>
      </c>
      <c r="Q132" s="2">
        <v>274.55556258181798</v>
      </c>
      <c r="R132" s="2">
        <v>727.57224084181701</v>
      </c>
      <c r="S132" s="2">
        <v>39.200000000000003</v>
      </c>
      <c r="T132" s="2">
        <v>0.58571428571428596</v>
      </c>
      <c r="U132" s="2">
        <v>0</v>
      </c>
    </row>
    <row r="133" spans="1:21" x14ac:dyDescent="0.25">
      <c r="A133" s="2" t="s">
        <v>47</v>
      </c>
      <c r="B133" t="s">
        <v>48</v>
      </c>
      <c r="C133">
        <v>2</v>
      </c>
      <c r="D133">
        <v>1</v>
      </c>
      <c r="E133">
        <v>2</v>
      </c>
      <c r="F133">
        <v>120.16342229999999</v>
      </c>
      <c r="G133">
        <v>318.43306899999999</v>
      </c>
      <c r="H133">
        <v>50.000000019029997</v>
      </c>
      <c r="I133">
        <v>5.0000000019030003E-2</v>
      </c>
      <c r="J133">
        <v>5.000000001903E-5</v>
      </c>
      <c r="K133">
        <v>0.11023100004195401</v>
      </c>
      <c r="L133" s="3">
        <v>1.23E-2</v>
      </c>
      <c r="M133" s="3">
        <v>3.2</v>
      </c>
      <c r="N133">
        <v>13.422480419128</v>
      </c>
      <c r="O133" s="2">
        <v>27.050984042335799</v>
      </c>
      <c r="P133" s="2">
        <v>470.85905826241498</v>
      </c>
      <c r="Q133" s="2">
        <v>1131.6007168046499</v>
      </c>
      <c r="R133" s="2">
        <v>2998.7418995323201</v>
      </c>
      <c r="S133" s="2">
        <v>39.200000000000003</v>
      </c>
      <c r="T133" s="2">
        <v>0.58571428571428596</v>
      </c>
      <c r="U133" s="2">
        <v>0</v>
      </c>
    </row>
    <row r="134" spans="1:21" x14ac:dyDescent="0.25">
      <c r="A134" s="2" t="s">
        <v>47</v>
      </c>
      <c r="B134" t="s">
        <v>48</v>
      </c>
      <c r="C134">
        <v>3</v>
      </c>
      <c r="D134">
        <v>1</v>
      </c>
      <c r="E134">
        <v>3</v>
      </c>
      <c r="F134">
        <v>192.26147560000001</v>
      </c>
      <c r="G134">
        <v>509.49291040000003</v>
      </c>
      <c r="H134">
        <v>79.999999997160003</v>
      </c>
      <c r="I134">
        <v>7.9999999997159996E-2</v>
      </c>
      <c r="J134">
        <v>7.9999999997160007E-5</v>
      </c>
      <c r="K134">
        <v>0.176369599993739</v>
      </c>
      <c r="L134" s="3">
        <v>1.23E-2</v>
      </c>
      <c r="M134" s="3">
        <v>3.2</v>
      </c>
      <c r="N134">
        <v>15.546057640091</v>
      </c>
      <c r="O134" s="2">
        <v>32.4365447599749</v>
      </c>
      <c r="P134" s="2">
        <v>841.813304763318</v>
      </c>
      <c r="Q134" s="2">
        <v>2023.10335199067</v>
      </c>
      <c r="R134" s="2">
        <v>5361.2238827752699</v>
      </c>
      <c r="S134" s="2">
        <v>39.200000000000003</v>
      </c>
      <c r="T134" s="2">
        <v>0.58571428571428596</v>
      </c>
      <c r="U134" s="2">
        <v>0</v>
      </c>
    </row>
    <row r="135" spans="1:21" x14ac:dyDescent="0.25">
      <c r="A135" s="2" t="s">
        <v>47</v>
      </c>
      <c r="B135" t="s">
        <v>48</v>
      </c>
      <c r="C135">
        <v>4</v>
      </c>
      <c r="D135">
        <v>1</v>
      </c>
      <c r="E135">
        <v>4</v>
      </c>
      <c r="F135">
        <v>242.73011299999999</v>
      </c>
      <c r="G135">
        <v>643.23479940000004</v>
      </c>
      <c r="H135">
        <v>101.0000000193</v>
      </c>
      <c r="I135">
        <v>0.1010000000193</v>
      </c>
      <c r="J135">
        <v>1.0100000001929999E-4</v>
      </c>
      <c r="K135">
        <v>0.222666620042549</v>
      </c>
      <c r="L135" s="3">
        <v>1.23E-2</v>
      </c>
      <c r="M135" s="3">
        <v>3.2</v>
      </c>
      <c r="N135">
        <v>16.720724143912001</v>
      </c>
      <c r="O135" s="2">
        <v>35.434729879092401</v>
      </c>
      <c r="P135" s="2">
        <v>1117.06466933811</v>
      </c>
      <c r="Q135" s="2">
        <v>2684.6062709399298</v>
      </c>
      <c r="R135" s="2">
        <v>7114.2066179908197</v>
      </c>
      <c r="S135" s="2">
        <v>39.200000000000003</v>
      </c>
      <c r="T135" s="2">
        <v>0.58571428571428596</v>
      </c>
      <c r="U135" s="2">
        <v>0</v>
      </c>
    </row>
    <row r="136" spans="1:21" x14ac:dyDescent="0.25">
      <c r="A136" s="2" t="s">
        <v>47</v>
      </c>
      <c r="B136" t="s">
        <v>48</v>
      </c>
      <c r="C136">
        <v>5</v>
      </c>
      <c r="D136">
        <v>1</v>
      </c>
      <c r="E136">
        <v>5</v>
      </c>
      <c r="F136">
        <v>254.74645520000001</v>
      </c>
      <c r="G136">
        <v>675.07810619999998</v>
      </c>
      <c r="H136">
        <v>106.00000000871999</v>
      </c>
      <c r="I136">
        <v>0.10600000000871999</v>
      </c>
      <c r="J136">
        <v>1.0600000000872E-4</v>
      </c>
      <c r="K136">
        <v>0.233689720019224</v>
      </c>
      <c r="L136" s="3">
        <v>1.23E-2</v>
      </c>
      <c r="M136" s="3">
        <v>3.2</v>
      </c>
      <c r="N136">
        <v>16.975115407979299</v>
      </c>
      <c r="O136" s="2">
        <v>37.103843733673202</v>
      </c>
      <c r="P136" s="2">
        <v>1294.33173211756</v>
      </c>
      <c r="Q136" s="2">
        <v>3110.6266092707501</v>
      </c>
      <c r="R136" s="2">
        <v>8243.1605145674694</v>
      </c>
      <c r="S136" s="2">
        <v>39.200000000000003</v>
      </c>
      <c r="T136" s="2">
        <v>0.58571428571428596</v>
      </c>
      <c r="U136" s="2">
        <v>0</v>
      </c>
    </row>
    <row r="137" spans="1:21" x14ac:dyDescent="0.25">
      <c r="A137" s="2" t="s">
        <v>47</v>
      </c>
      <c r="B137" t="s">
        <v>48</v>
      </c>
      <c r="C137">
        <v>6</v>
      </c>
      <c r="D137">
        <v>1</v>
      </c>
      <c r="E137">
        <v>6</v>
      </c>
      <c r="F137">
        <v>283.32131700000002</v>
      </c>
      <c r="G137">
        <v>750.80149010000002</v>
      </c>
      <c r="H137">
        <v>117.8900000037</v>
      </c>
      <c r="I137">
        <v>0.11789000000369999</v>
      </c>
      <c r="J137">
        <v>1.178900000037E-4</v>
      </c>
      <c r="K137">
        <v>0.25990265180815703</v>
      </c>
      <c r="L137" s="3">
        <v>1.23E-2</v>
      </c>
      <c r="M137" s="3">
        <v>3.2</v>
      </c>
      <c r="N137">
        <v>17.548548692677901</v>
      </c>
      <c r="O137" s="2">
        <v>38.033052888167802</v>
      </c>
      <c r="P137" s="2">
        <v>1400.9444367063199</v>
      </c>
      <c r="Q137" s="2">
        <v>3366.8455580541199</v>
      </c>
      <c r="R137" s="2">
        <v>8922.1407288434293</v>
      </c>
      <c r="S137" s="2">
        <v>39.200000000000003</v>
      </c>
      <c r="T137" s="2">
        <v>0.58571428571428596</v>
      </c>
      <c r="U137" s="2">
        <v>0</v>
      </c>
    </row>
    <row r="138" spans="1:21" x14ac:dyDescent="0.25">
      <c r="A138" s="2" t="s">
        <v>47</v>
      </c>
      <c r="B138" t="s">
        <v>48</v>
      </c>
      <c r="C138">
        <v>7</v>
      </c>
      <c r="D138">
        <v>1</v>
      </c>
      <c r="E138">
        <v>7</v>
      </c>
      <c r="F138">
        <v>314.44364339999998</v>
      </c>
      <c r="G138">
        <v>833.27565500000003</v>
      </c>
      <c r="H138">
        <v>130.84000001874</v>
      </c>
      <c r="I138">
        <v>0.13084000001873999</v>
      </c>
      <c r="J138">
        <v>1.3084000001873999E-4</v>
      </c>
      <c r="K138">
        <v>0.28845248084131497</v>
      </c>
      <c r="L138" s="3">
        <v>1.23E-2</v>
      </c>
      <c r="M138" s="3">
        <v>3.2</v>
      </c>
      <c r="N138">
        <v>18.1295101576066</v>
      </c>
      <c r="O138" s="2">
        <v>38.550351124251002</v>
      </c>
      <c r="P138" s="2">
        <v>1462.83651709122</v>
      </c>
      <c r="Q138" s="2">
        <v>3515.5888418438399</v>
      </c>
      <c r="R138" s="2">
        <v>9316.3104308861693</v>
      </c>
      <c r="S138" s="2">
        <v>39.200000000000003</v>
      </c>
      <c r="T138" s="2">
        <v>0.58571428571428596</v>
      </c>
      <c r="U138" s="2">
        <v>0</v>
      </c>
    </row>
    <row r="139" spans="1:21" x14ac:dyDescent="0.25">
      <c r="A139" s="2" t="s">
        <v>47</v>
      </c>
      <c r="B139" t="s">
        <v>48</v>
      </c>
      <c r="C139">
        <v>8</v>
      </c>
      <c r="D139">
        <v>1</v>
      </c>
      <c r="E139">
        <v>8</v>
      </c>
      <c r="F139">
        <v>345.5659698</v>
      </c>
      <c r="G139">
        <v>915.74981979999995</v>
      </c>
      <c r="H139">
        <v>143.79000003377999</v>
      </c>
      <c r="I139">
        <v>0.14379000003378001</v>
      </c>
      <c r="J139">
        <v>1.4379000003378E-4</v>
      </c>
      <c r="K139">
        <v>0.31700230987447198</v>
      </c>
      <c r="L139" s="3">
        <v>1.23E-2</v>
      </c>
      <c r="M139" s="3">
        <v>3.2</v>
      </c>
      <c r="N139">
        <v>18.672173165729799</v>
      </c>
      <c r="O139" s="2">
        <v>38.838335227464299</v>
      </c>
      <c r="P139" s="2">
        <v>1498.0939513752</v>
      </c>
      <c r="Q139" s="2">
        <v>3600.3219211132</v>
      </c>
      <c r="R139" s="2">
        <v>9540.8530909499696</v>
      </c>
      <c r="S139" s="2">
        <v>39.200000000000003</v>
      </c>
      <c r="T139" s="2">
        <v>0.58571428571428596</v>
      </c>
      <c r="U139" s="2">
        <v>0</v>
      </c>
    </row>
    <row r="140" spans="1:21" x14ac:dyDescent="0.25">
      <c r="A140" s="2" t="s">
        <v>47</v>
      </c>
      <c r="B140" t="s">
        <v>48</v>
      </c>
      <c r="C140">
        <v>9</v>
      </c>
      <c r="D140">
        <v>1</v>
      </c>
      <c r="E140">
        <v>9</v>
      </c>
      <c r="F140">
        <v>372.74693589999998</v>
      </c>
      <c r="G140">
        <v>987.77937999999995</v>
      </c>
      <c r="H140">
        <v>155.10000002799001</v>
      </c>
      <c r="I140">
        <v>0.15510000002798999</v>
      </c>
      <c r="J140">
        <v>1.5510000002799001E-4</v>
      </c>
      <c r="K140">
        <v>0.34193656206170697</v>
      </c>
      <c r="L140" s="3">
        <v>1.23E-2</v>
      </c>
      <c r="M140" s="3">
        <v>3.2</v>
      </c>
      <c r="N140">
        <v>19.119249450601199</v>
      </c>
      <c r="O140" s="2">
        <v>38.998658302082802</v>
      </c>
      <c r="P140" s="2">
        <v>1517.97298458809</v>
      </c>
      <c r="Q140" s="2">
        <v>3648.0965743525499</v>
      </c>
      <c r="R140" s="2">
        <v>9667.4559220342508</v>
      </c>
      <c r="S140" s="2">
        <v>39.200000000000003</v>
      </c>
      <c r="T140" s="2">
        <v>0.58571428571428596</v>
      </c>
      <c r="U140" s="2">
        <v>0</v>
      </c>
    </row>
    <row r="141" spans="1:21" x14ac:dyDescent="0.25">
      <c r="A141" s="2" t="s">
        <v>47</v>
      </c>
      <c r="B141" t="s">
        <v>48</v>
      </c>
      <c r="C141">
        <v>10</v>
      </c>
      <c r="D141">
        <v>1</v>
      </c>
      <c r="E141">
        <v>10</v>
      </c>
      <c r="F141">
        <v>408.79596249999997</v>
      </c>
      <c r="G141">
        <v>1083.309301</v>
      </c>
      <c r="H141">
        <v>170.09999999625001</v>
      </c>
      <c r="I141">
        <v>0.17009999999625</v>
      </c>
      <c r="J141">
        <v>1.7009999999625E-4</v>
      </c>
      <c r="K141">
        <v>0.37500586199173302</v>
      </c>
      <c r="L141" s="3">
        <v>1.23E-2</v>
      </c>
      <c r="M141" s="3">
        <v>3.2</v>
      </c>
      <c r="N141">
        <v>19.6788515996443</v>
      </c>
      <c r="O141" s="2">
        <v>39.087911451712699</v>
      </c>
      <c r="P141" s="2">
        <v>1529.1180047687301</v>
      </c>
      <c r="Q141" s="2">
        <v>3674.8810496725</v>
      </c>
      <c r="R141" s="2">
        <v>9738.4347816321097</v>
      </c>
      <c r="S141" s="2">
        <v>39.200000000000003</v>
      </c>
      <c r="T141" s="2">
        <v>0.58571428571428596</v>
      </c>
      <c r="U141" s="2">
        <v>0</v>
      </c>
    </row>
    <row r="142" spans="1:21" x14ac:dyDescent="0.25">
      <c r="A142" s="2" t="s">
        <v>49</v>
      </c>
      <c r="B142" t="s">
        <v>50</v>
      </c>
      <c r="C142">
        <v>1</v>
      </c>
      <c r="D142">
        <v>1</v>
      </c>
      <c r="E142">
        <v>1</v>
      </c>
      <c r="F142">
        <v>127.5414564</v>
      </c>
      <c r="G142">
        <v>337.98485950000003</v>
      </c>
      <c r="H142">
        <v>53.070000008039997</v>
      </c>
      <c r="I142">
        <v>5.3070000008039998E-2</v>
      </c>
      <c r="J142">
        <v>5.3070000008040001E-5</v>
      </c>
      <c r="K142">
        <v>0.116999183417725</v>
      </c>
      <c r="L142" s="3">
        <v>1.2E-2</v>
      </c>
      <c r="M142" s="3">
        <v>3.1</v>
      </c>
      <c r="N142">
        <v>14.9976040757329</v>
      </c>
      <c r="O142" s="2">
        <v>10.9405693213658</v>
      </c>
      <c r="P142" s="2">
        <v>19.9620438384346</v>
      </c>
      <c r="Q142" s="2">
        <v>47.974150056319502</v>
      </c>
      <c r="R142" s="2">
        <v>127.131497649247</v>
      </c>
      <c r="S142" s="2">
        <v>54.3</v>
      </c>
      <c r="T142" s="2">
        <v>0.22500000000000001</v>
      </c>
      <c r="U142" s="2">
        <v>0</v>
      </c>
    </row>
    <row r="143" spans="1:21" x14ac:dyDescent="0.25">
      <c r="A143" s="2" t="s">
        <v>49</v>
      </c>
      <c r="B143" t="s">
        <v>50</v>
      </c>
      <c r="C143">
        <v>2</v>
      </c>
      <c r="D143">
        <v>1</v>
      </c>
      <c r="E143">
        <v>2</v>
      </c>
      <c r="F143">
        <v>347.4885845</v>
      </c>
      <c r="G143">
        <v>920.84474890000001</v>
      </c>
      <c r="H143">
        <v>144.59000001045001</v>
      </c>
      <c r="I143">
        <v>0.14459000001045</v>
      </c>
      <c r="J143">
        <v>1.4459000001045E-4</v>
      </c>
      <c r="K143">
        <v>0.31876600582303799</v>
      </c>
      <c r="L143" s="3">
        <v>1.2E-2</v>
      </c>
      <c r="M143" s="3">
        <v>3.1</v>
      </c>
      <c r="N143">
        <v>20.722289929778999</v>
      </c>
      <c r="O143" s="2">
        <v>19.676791366937699</v>
      </c>
      <c r="P143" s="2">
        <v>123.151446299805</v>
      </c>
      <c r="Q143" s="2">
        <v>295.96598485893901</v>
      </c>
      <c r="R143" s="2">
        <v>784.30985987618999</v>
      </c>
      <c r="S143" s="2">
        <v>54.3</v>
      </c>
      <c r="T143" s="2">
        <v>0.22500000000000001</v>
      </c>
      <c r="U143" s="2">
        <v>0</v>
      </c>
    </row>
    <row r="144" spans="1:21" x14ac:dyDescent="0.25">
      <c r="A144" s="2" t="s">
        <v>49</v>
      </c>
      <c r="B144" t="s">
        <v>50</v>
      </c>
      <c r="C144">
        <v>3</v>
      </c>
      <c r="D144">
        <v>1</v>
      </c>
      <c r="E144">
        <v>3</v>
      </c>
      <c r="F144">
        <v>732.42009129999997</v>
      </c>
      <c r="G144">
        <v>1940.9132420000001</v>
      </c>
      <c r="H144">
        <v>304.75999998993001</v>
      </c>
      <c r="I144">
        <v>0.30475999998992997</v>
      </c>
      <c r="J144">
        <v>3.0475999998992999E-4</v>
      </c>
      <c r="K144">
        <v>0.67187999117779895</v>
      </c>
      <c r="L144" s="3">
        <v>1.2E-2</v>
      </c>
      <c r="M144" s="3">
        <v>3.1</v>
      </c>
      <c r="N144">
        <v>26.3569841710204</v>
      </c>
      <c r="O144" s="2">
        <v>26.6528063610101</v>
      </c>
      <c r="P144" s="2">
        <v>315.48910976816597</v>
      </c>
      <c r="Q144" s="2">
        <v>758.20502227389102</v>
      </c>
      <c r="R144" s="2">
        <v>2009.24330902581</v>
      </c>
      <c r="S144" s="2">
        <v>54.3</v>
      </c>
      <c r="T144" s="2">
        <v>0.22500000000000001</v>
      </c>
      <c r="U144" s="2">
        <v>0</v>
      </c>
    </row>
    <row r="145" spans="1:21" x14ac:dyDescent="0.25">
      <c r="A145" s="2" t="s">
        <v>49</v>
      </c>
      <c r="B145" t="s">
        <v>50</v>
      </c>
      <c r="C145">
        <v>4</v>
      </c>
      <c r="D145">
        <v>1</v>
      </c>
      <c r="E145">
        <v>4</v>
      </c>
      <c r="F145">
        <v>1115.2006730000001</v>
      </c>
      <c r="G145">
        <v>2955.281782</v>
      </c>
      <c r="H145">
        <v>464.03500003530002</v>
      </c>
      <c r="I145">
        <v>0.46403500003530002</v>
      </c>
      <c r="J145">
        <v>4.6403500003530001E-4</v>
      </c>
      <c r="K145">
        <v>1.0230208417778199</v>
      </c>
      <c r="L145" s="3">
        <v>1.2E-2</v>
      </c>
      <c r="M145" s="3">
        <v>3.1</v>
      </c>
      <c r="N145">
        <v>30.185377428940999</v>
      </c>
      <c r="O145" s="2">
        <v>32.223267476085503</v>
      </c>
      <c r="P145" s="2">
        <v>568.20746158456905</v>
      </c>
      <c r="Q145" s="2">
        <v>1365.55506268822</v>
      </c>
      <c r="R145" s="2">
        <v>3618.7209161237902</v>
      </c>
      <c r="S145" s="2">
        <v>54.3</v>
      </c>
      <c r="T145" s="2">
        <v>0.22500000000000001</v>
      </c>
      <c r="U145" s="2">
        <v>0</v>
      </c>
    </row>
    <row r="146" spans="1:21" x14ac:dyDescent="0.25">
      <c r="A146" s="2" t="s">
        <v>49</v>
      </c>
      <c r="B146" t="s">
        <v>50</v>
      </c>
      <c r="C146">
        <v>5</v>
      </c>
      <c r="D146">
        <v>1</v>
      </c>
      <c r="E146">
        <v>5</v>
      </c>
      <c r="F146">
        <v>1550.4325879999999</v>
      </c>
      <c r="G146">
        <v>4108.6463590000003</v>
      </c>
      <c r="H146">
        <v>645.13499986679994</v>
      </c>
      <c r="I146">
        <v>0.64513499986680001</v>
      </c>
      <c r="J146">
        <v>6.4513499986680004E-4</v>
      </c>
      <c r="K146">
        <v>1.4222775234063401</v>
      </c>
      <c r="L146" s="3">
        <v>1.2E-2</v>
      </c>
      <c r="M146" s="3">
        <v>3.1</v>
      </c>
      <c r="N146">
        <v>33.570503685170699</v>
      </c>
      <c r="O146" s="2">
        <v>36.671371022441598</v>
      </c>
      <c r="P146" s="2">
        <v>848.38972898018005</v>
      </c>
      <c r="Q146" s="2">
        <v>2038.90826479255</v>
      </c>
      <c r="R146" s="2">
        <v>5403.1069017002601</v>
      </c>
      <c r="S146" s="2">
        <v>54.3</v>
      </c>
      <c r="T146" s="2">
        <v>0.22500000000000001</v>
      </c>
      <c r="U146" s="2">
        <v>0</v>
      </c>
    </row>
    <row r="147" spans="1:21" x14ac:dyDescent="0.25">
      <c r="A147" s="2" t="s">
        <v>49</v>
      </c>
      <c r="B147" t="s">
        <v>50</v>
      </c>
      <c r="C147">
        <v>6</v>
      </c>
      <c r="D147">
        <v>1</v>
      </c>
      <c r="E147">
        <v>6</v>
      </c>
      <c r="F147">
        <v>1976.4359529999999</v>
      </c>
      <c r="G147">
        <v>5237.5552749999997</v>
      </c>
      <c r="H147">
        <v>822.3950000433</v>
      </c>
      <c r="I147">
        <v>0.82239500004330002</v>
      </c>
      <c r="J147">
        <v>8.2239500004329996E-4</v>
      </c>
      <c r="K147">
        <v>1.81306846499546</v>
      </c>
      <c r="L147" s="3">
        <v>1.2E-2</v>
      </c>
      <c r="M147" s="3">
        <v>3.1</v>
      </c>
      <c r="N147">
        <v>36.305087581617997</v>
      </c>
      <c r="O147" s="2">
        <v>40.223253846928102</v>
      </c>
      <c r="P147" s="2">
        <v>1129.9534835971399</v>
      </c>
      <c r="Q147" s="2">
        <v>2715.58155154324</v>
      </c>
      <c r="R147" s="2">
        <v>7196.2911115895804</v>
      </c>
      <c r="S147" s="2">
        <v>54.3</v>
      </c>
      <c r="T147" s="2">
        <v>0.22500000000000001</v>
      </c>
      <c r="U147" s="2">
        <v>0</v>
      </c>
    </row>
    <row r="148" spans="1:21" x14ac:dyDescent="0.25">
      <c r="A148" s="2" t="s">
        <v>49</v>
      </c>
      <c r="B148" t="s">
        <v>50</v>
      </c>
      <c r="C148">
        <v>7</v>
      </c>
      <c r="D148">
        <v>1</v>
      </c>
      <c r="E148">
        <v>7</v>
      </c>
      <c r="F148">
        <v>2275.6669069999998</v>
      </c>
      <c r="G148">
        <v>6030.517304</v>
      </c>
      <c r="H148">
        <v>946.90500000270004</v>
      </c>
      <c r="I148">
        <v>0.94690500000269995</v>
      </c>
      <c r="J148">
        <v>9.4690500000270004E-4</v>
      </c>
      <c r="K148">
        <v>2.0875657011059499</v>
      </c>
      <c r="L148" s="3">
        <v>1.2E-2</v>
      </c>
      <c r="M148" s="3">
        <v>3.1</v>
      </c>
      <c r="N148">
        <v>37.9942428895584</v>
      </c>
      <c r="O148" s="2">
        <v>43.059489889413399</v>
      </c>
      <c r="P148" s="2">
        <v>1395.7086685865499</v>
      </c>
      <c r="Q148" s="2">
        <v>3354.2626017460898</v>
      </c>
      <c r="R148" s="2">
        <v>8888.7958946271392</v>
      </c>
      <c r="S148" s="2">
        <v>54.3</v>
      </c>
      <c r="T148" s="2">
        <v>0.22500000000000001</v>
      </c>
      <c r="U148" s="2">
        <v>0</v>
      </c>
    </row>
    <row r="149" spans="1:21" x14ac:dyDescent="0.25">
      <c r="A149" s="2" t="s">
        <v>49</v>
      </c>
      <c r="B149" t="s">
        <v>50</v>
      </c>
      <c r="C149">
        <v>8</v>
      </c>
      <c r="D149">
        <v>1</v>
      </c>
      <c r="E149">
        <v>8</v>
      </c>
      <c r="F149">
        <v>2451.3338140000001</v>
      </c>
      <c r="G149">
        <v>6496.0346079999999</v>
      </c>
      <c r="H149">
        <v>1020.0000000054</v>
      </c>
      <c r="I149">
        <v>1.0200000000053999</v>
      </c>
      <c r="J149">
        <v>1.0200000000054001E-3</v>
      </c>
      <c r="K149">
        <v>2.2487124000118999</v>
      </c>
      <c r="L149" s="3">
        <v>1.2E-2</v>
      </c>
      <c r="M149" s="3">
        <v>3.1</v>
      </c>
      <c r="N149">
        <v>38.916622113975301</v>
      </c>
      <c r="O149" s="2">
        <v>45.324270369567799</v>
      </c>
      <c r="P149" s="2">
        <v>1636.08850313776</v>
      </c>
      <c r="Q149" s="2">
        <v>3931.9598729578402</v>
      </c>
      <c r="R149" s="2">
        <v>10419.693663338299</v>
      </c>
      <c r="S149" s="2">
        <v>54.3</v>
      </c>
      <c r="T149" s="2">
        <v>0.22500000000000001</v>
      </c>
      <c r="U149" s="2">
        <v>0</v>
      </c>
    </row>
    <row r="150" spans="1:21" x14ac:dyDescent="0.25">
      <c r="A150" s="2" t="s">
        <v>49</v>
      </c>
      <c r="B150" t="s">
        <v>50</v>
      </c>
      <c r="C150">
        <v>9</v>
      </c>
      <c r="D150">
        <v>1</v>
      </c>
      <c r="E150">
        <v>9</v>
      </c>
      <c r="F150">
        <v>2643.5952900000002</v>
      </c>
      <c r="G150">
        <v>7005.5275179999999</v>
      </c>
      <c r="H150">
        <v>1100.000000169</v>
      </c>
      <c r="I150">
        <v>1.100000000169</v>
      </c>
      <c r="J150">
        <v>1.1000000001690001E-3</v>
      </c>
      <c r="K150">
        <v>2.4250820003725799</v>
      </c>
      <c r="L150" s="3">
        <v>1.2E-2</v>
      </c>
      <c r="M150" s="3">
        <v>3.1</v>
      </c>
      <c r="N150">
        <v>39.876163449959897</v>
      </c>
      <c r="O150" s="2">
        <v>47.132734314900802</v>
      </c>
      <c r="P150" s="2">
        <v>1847.06175226286</v>
      </c>
      <c r="Q150" s="2">
        <v>4438.9852253373101</v>
      </c>
      <c r="R150" s="2">
        <v>11763.310847143901</v>
      </c>
      <c r="S150" s="2">
        <v>54.3</v>
      </c>
      <c r="T150" s="2">
        <v>0.22500000000000001</v>
      </c>
      <c r="U150" s="2">
        <v>0</v>
      </c>
    </row>
    <row r="151" spans="1:21" x14ac:dyDescent="0.25">
      <c r="A151" s="2" t="s">
        <v>49</v>
      </c>
      <c r="B151" t="s">
        <v>50</v>
      </c>
      <c r="C151">
        <v>10</v>
      </c>
      <c r="D151">
        <v>1</v>
      </c>
      <c r="E151">
        <v>10</v>
      </c>
      <c r="F151">
        <v>3076.18361</v>
      </c>
      <c r="G151">
        <v>8151.8865660000001</v>
      </c>
      <c r="H151">
        <v>1280.0000001210001</v>
      </c>
      <c r="I151">
        <v>1.2800000001209999</v>
      </c>
      <c r="J151">
        <v>1.2800000001210001E-3</v>
      </c>
      <c r="K151">
        <v>2.8219136002667602</v>
      </c>
      <c r="L151" s="3">
        <v>1.2E-2</v>
      </c>
      <c r="M151" s="3">
        <v>3.1</v>
      </c>
      <c r="N151">
        <v>41.874029007707797</v>
      </c>
      <c r="O151" s="2">
        <v>48.576822106290798</v>
      </c>
      <c r="P151" s="2">
        <v>2028.2031629154401</v>
      </c>
      <c r="Q151" s="2">
        <v>4874.3166616569197</v>
      </c>
      <c r="R151" s="2">
        <v>12916.9391533908</v>
      </c>
      <c r="S151" s="2">
        <v>54.3</v>
      </c>
      <c r="T151" s="2">
        <v>0.22500000000000001</v>
      </c>
      <c r="U151" s="2">
        <v>0</v>
      </c>
    </row>
    <row r="152" spans="1:21" x14ac:dyDescent="0.25">
      <c r="A152" s="2" t="s">
        <v>51</v>
      </c>
      <c r="B152" t="s">
        <v>52</v>
      </c>
      <c r="C152">
        <v>1</v>
      </c>
      <c r="D152">
        <v>1</v>
      </c>
      <c r="E152">
        <v>1</v>
      </c>
      <c r="F152">
        <v>476.02739730000002</v>
      </c>
      <c r="G152">
        <v>1261.4726029999999</v>
      </c>
      <c r="H152">
        <v>198.07500001653</v>
      </c>
      <c r="I152">
        <v>0.19807500001653</v>
      </c>
      <c r="J152">
        <v>1.9807500001652999E-4</v>
      </c>
      <c r="K152">
        <v>0.43668010653644301</v>
      </c>
      <c r="L152" s="3">
        <v>1.24E-2</v>
      </c>
      <c r="M152" s="3">
        <v>3.2</v>
      </c>
      <c r="N152">
        <v>20.585669387454399</v>
      </c>
      <c r="O152" s="2">
        <v>4.83731052056749</v>
      </c>
      <c r="P152" s="2">
        <v>1.9237754539629399</v>
      </c>
      <c r="Q152" s="2">
        <v>4.6233488439388202</v>
      </c>
      <c r="R152" s="2">
        <v>12.2518744364379</v>
      </c>
      <c r="S152">
        <v>20.9</v>
      </c>
      <c r="T152">
        <v>0.19500000000000001</v>
      </c>
      <c r="U152">
        <v>-0.35</v>
      </c>
    </row>
    <row r="153" spans="1:21" x14ac:dyDescent="0.25">
      <c r="A153" s="2" t="s">
        <v>51</v>
      </c>
      <c r="B153" t="s">
        <v>52</v>
      </c>
      <c r="C153">
        <v>2</v>
      </c>
      <c r="D153">
        <v>1</v>
      </c>
      <c r="E153">
        <v>2</v>
      </c>
      <c r="F153">
        <v>1129.488104</v>
      </c>
      <c r="G153">
        <v>2993.143474</v>
      </c>
      <c r="H153">
        <v>469.98000007439998</v>
      </c>
      <c r="I153">
        <v>0.4699800000744</v>
      </c>
      <c r="J153">
        <v>4.6998000007440001E-4</v>
      </c>
      <c r="K153">
        <v>1.0361273077640201</v>
      </c>
      <c r="L153" s="3">
        <v>1.24E-2</v>
      </c>
      <c r="M153" s="3">
        <v>3.2</v>
      </c>
      <c r="N153">
        <v>26.9668692028389</v>
      </c>
      <c r="O153" s="2">
        <v>7.6830623947311398</v>
      </c>
      <c r="P153" s="2">
        <v>8.4553509376347797</v>
      </c>
      <c r="Q153" s="2">
        <v>20.3204781005402</v>
      </c>
      <c r="R153" s="2">
        <v>53.8492669664316</v>
      </c>
      <c r="S153">
        <v>20.9</v>
      </c>
      <c r="T153">
        <v>0.19500000000000001</v>
      </c>
      <c r="U153">
        <v>-0.35</v>
      </c>
    </row>
    <row r="154" spans="1:21" x14ac:dyDescent="0.25">
      <c r="A154" s="2" t="s">
        <v>51</v>
      </c>
      <c r="B154" t="s">
        <v>52</v>
      </c>
      <c r="C154">
        <v>3</v>
      </c>
      <c r="D154">
        <v>1</v>
      </c>
      <c r="E154">
        <v>3</v>
      </c>
      <c r="F154">
        <v>1548.9065129999999</v>
      </c>
      <c r="G154">
        <v>4104.6022599999997</v>
      </c>
      <c r="H154">
        <v>644.50000005929996</v>
      </c>
      <c r="I154">
        <v>0.64450000005929997</v>
      </c>
      <c r="J154">
        <v>6.445000000593E-4</v>
      </c>
      <c r="K154">
        <v>1.42087759013073</v>
      </c>
      <c r="L154" s="3">
        <v>1.24E-2</v>
      </c>
      <c r="M154" s="3">
        <v>3.2</v>
      </c>
      <c r="N154">
        <v>29.763766337987398</v>
      </c>
      <c r="O154" s="2">
        <v>10.0246456650209</v>
      </c>
      <c r="P154" s="2">
        <v>19.8080892334971</v>
      </c>
      <c r="Q154" s="2">
        <v>47.604155812297797</v>
      </c>
      <c r="R154" s="2">
        <v>126.151012902589</v>
      </c>
      <c r="S154">
        <v>20.9</v>
      </c>
      <c r="T154">
        <v>0.19500000000000001</v>
      </c>
      <c r="U154">
        <v>-0.35</v>
      </c>
    </row>
    <row r="155" spans="1:21" x14ac:dyDescent="0.25">
      <c r="A155" s="2" t="s">
        <v>51</v>
      </c>
      <c r="B155" t="s">
        <v>52</v>
      </c>
      <c r="C155">
        <v>4</v>
      </c>
      <c r="D155">
        <v>1</v>
      </c>
      <c r="E155">
        <v>4</v>
      </c>
      <c r="F155">
        <v>2095.4578219999999</v>
      </c>
      <c r="G155">
        <v>5552.9632300000003</v>
      </c>
      <c r="H155">
        <v>871.91999973420002</v>
      </c>
      <c r="I155">
        <v>0.87191999973419998</v>
      </c>
      <c r="J155">
        <v>8.7191999973420002E-4</v>
      </c>
      <c r="K155">
        <v>1.9222522698140101</v>
      </c>
      <c r="L155" s="3">
        <v>1.24E-2</v>
      </c>
      <c r="M155" s="3">
        <v>3.2</v>
      </c>
      <c r="N155">
        <v>32.711817394436999</v>
      </c>
      <c r="O155" s="2">
        <v>11.951381534539401</v>
      </c>
      <c r="P155" s="2">
        <v>34.7663934151836</v>
      </c>
      <c r="Q155" s="2">
        <v>83.552976244132694</v>
      </c>
      <c r="R155" s="2">
        <v>221.41538704695199</v>
      </c>
      <c r="S155">
        <v>20.9</v>
      </c>
      <c r="T155">
        <v>0.19500000000000001</v>
      </c>
      <c r="U155">
        <v>-0.35</v>
      </c>
    </row>
    <row r="156" spans="1:21" x14ac:dyDescent="0.25">
      <c r="A156" s="2" t="s">
        <v>51</v>
      </c>
      <c r="B156" t="s">
        <v>52</v>
      </c>
      <c r="C156">
        <v>5</v>
      </c>
      <c r="D156">
        <v>1</v>
      </c>
      <c r="E156">
        <v>5</v>
      </c>
      <c r="F156">
        <v>2636.890171</v>
      </c>
      <c r="G156">
        <v>6987.7589529999996</v>
      </c>
      <c r="H156">
        <v>1097.2100001531001</v>
      </c>
      <c r="I156">
        <v>1.0972100001531</v>
      </c>
      <c r="J156">
        <v>1.0972100001530999E-3</v>
      </c>
      <c r="K156">
        <v>2.41893111053753</v>
      </c>
      <c r="L156" s="3">
        <v>1.24E-2</v>
      </c>
      <c r="M156" s="3">
        <v>3.2</v>
      </c>
      <c r="N156">
        <v>35.147648337383004</v>
      </c>
      <c r="O156" s="2">
        <v>13.536766584899</v>
      </c>
      <c r="P156" s="2">
        <v>51.792812427196701</v>
      </c>
      <c r="Q156" s="2">
        <v>124.47203178850501</v>
      </c>
      <c r="R156" s="2">
        <v>329.85088423953698</v>
      </c>
      <c r="S156">
        <v>20.9</v>
      </c>
      <c r="T156">
        <v>0.19500000000000001</v>
      </c>
      <c r="U156">
        <v>-0.35</v>
      </c>
    </row>
    <row r="157" spans="1:21" x14ac:dyDescent="0.25">
      <c r="A157" s="2" t="s">
        <v>51</v>
      </c>
      <c r="B157" t="s">
        <v>52</v>
      </c>
      <c r="C157">
        <v>6</v>
      </c>
      <c r="D157">
        <v>1</v>
      </c>
      <c r="E157">
        <v>6</v>
      </c>
      <c r="F157">
        <v>2919.850997</v>
      </c>
      <c r="G157">
        <v>7737.6051429999998</v>
      </c>
      <c r="H157">
        <v>1214.9499998517001</v>
      </c>
      <c r="I157">
        <v>1.2149499998516999</v>
      </c>
      <c r="J157">
        <v>1.2149499998517E-3</v>
      </c>
      <c r="K157">
        <v>2.67850306867305</v>
      </c>
      <c r="L157" s="3">
        <v>1.24E-2</v>
      </c>
      <c r="M157" s="3">
        <v>3.2</v>
      </c>
      <c r="N157">
        <v>36.285258805695399</v>
      </c>
      <c r="O157" s="2">
        <v>14.841276350698701</v>
      </c>
      <c r="P157" s="2">
        <v>69.523190031244795</v>
      </c>
      <c r="Q157" s="2">
        <v>167.08288880376099</v>
      </c>
      <c r="R157" s="2">
        <v>442.76965532996599</v>
      </c>
      <c r="S157">
        <v>20.9</v>
      </c>
      <c r="T157">
        <v>0.19500000000000001</v>
      </c>
      <c r="U157">
        <v>-0.35</v>
      </c>
    </row>
    <row r="158" spans="1:21" x14ac:dyDescent="0.25">
      <c r="A158" s="2" t="s">
        <v>51</v>
      </c>
      <c r="B158" t="s">
        <v>52</v>
      </c>
      <c r="C158">
        <v>7</v>
      </c>
      <c r="D158">
        <v>1</v>
      </c>
      <c r="E158">
        <v>7</v>
      </c>
      <c r="F158">
        <v>3445.5659700000001</v>
      </c>
      <c r="G158">
        <v>9130.7498190000006</v>
      </c>
      <c r="H158">
        <v>1433.7000001169999</v>
      </c>
      <c r="I158">
        <v>1.4337000001169999</v>
      </c>
      <c r="J158">
        <v>1.4337000001169999E-3</v>
      </c>
      <c r="K158">
        <v>3.1607636942579398</v>
      </c>
      <c r="L158" s="3">
        <v>1.24E-2</v>
      </c>
      <c r="M158" s="3">
        <v>3.2</v>
      </c>
      <c r="N158">
        <v>38.211926836032902</v>
      </c>
      <c r="O158" s="2">
        <v>15.9146721977712</v>
      </c>
      <c r="P158" s="2">
        <v>86.930928383652699</v>
      </c>
      <c r="Q158" s="2">
        <v>208.918357086404</v>
      </c>
      <c r="R158" s="2">
        <v>553.63364627897101</v>
      </c>
      <c r="S158">
        <v>20.9</v>
      </c>
      <c r="T158">
        <v>0.19500000000000001</v>
      </c>
      <c r="U158">
        <v>-0.35</v>
      </c>
    </row>
    <row r="159" spans="1:21" x14ac:dyDescent="0.25">
      <c r="A159" s="2" t="s">
        <v>51</v>
      </c>
      <c r="B159" t="s">
        <v>52</v>
      </c>
      <c r="C159">
        <v>8</v>
      </c>
      <c r="D159">
        <v>1</v>
      </c>
      <c r="E159">
        <v>8</v>
      </c>
      <c r="F159">
        <v>3970.9204519999998</v>
      </c>
      <c r="G159">
        <v>10522.939200000001</v>
      </c>
      <c r="H159">
        <v>1652.3000000771999</v>
      </c>
      <c r="I159">
        <v>1.6523000000771999</v>
      </c>
      <c r="J159">
        <v>1.6523000000772E-3</v>
      </c>
      <c r="K159">
        <v>3.6426936261702001</v>
      </c>
      <c r="L159" s="3">
        <v>1.24E-2</v>
      </c>
      <c r="M159" s="3">
        <v>3.2</v>
      </c>
      <c r="N159">
        <v>39.944639456634</v>
      </c>
      <c r="O159" s="2">
        <v>16.7978995025559</v>
      </c>
      <c r="P159" s="2">
        <v>103.33266183026301</v>
      </c>
      <c r="Q159" s="2">
        <v>248.33612552334299</v>
      </c>
      <c r="R159" s="2">
        <v>658.09073263685798</v>
      </c>
      <c r="S159">
        <v>20.9</v>
      </c>
      <c r="T159">
        <v>0.19500000000000001</v>
      </c>
      <c r="U159">
        <v>-0.35</v>
      </c>
    </row>
    <row r="160" spans="1:21" x14ac:dyDescent="0.25">
      <c r="A160" s="2" t="s">
        <v>51</v>
      </c>
      <c r="B160" t="s">
        <v>52</v>
      </c>
      <c r="C160">
        <v>9</v>
      </c>
      <c r="D160">
        <v>1</v>
      </c>
      <c r="E160">
        <v>9</v>
      </c>
      <c r="F160">
        <v>4109.5890410000002</v>
      </c>
      <c r="G160">
        <v>10890.410959999999</v>
      </c>
      <c r="H160">
        <v>1709.9999999601</v>
      </c>
      <c r="I160">
        <v>1.7099999999601001</v>
      </c>
      <c r="J160">
        <v>1.7099999999601E-3</v>
      </c>
      <c r="K160">
        <v>3.7699001999120401</v>
      </c>
      <c r="L160" s="3">
        <v>1.24E-2</v>
      </c>
      <c r="M160" s="3">
        <v>3.2</v>
      </c>
      <c r="N160">
        <v>40.375415800387898</v>
      </c>
      <c r="O160" s="2">
        <v>17.524649539874201</v>
      </c>
      <c r="P160" s="2">
        <v>118.331284386763</v>
      </c>
      <c r="Q160" s="2">
        <v>284.38184183312501</v>
      </c>
      <c r="R160" s="2">
        <v>753.61188085778201</v>
      </c>
      <c r="S160">
        <v>20.9</v>
      </c>
      <c r="T160">
        <v>0.19500000000000001</v>
      </c>
      <c r="U160">
        <v>-0.35</v>
      </c>
    </row>
    <row r="161" spans="1:21" x14ac:dyDescent="0.25">
      <c r="A161" s="2" t="s">
        <v>51</v>
      </c>
      <c r="B161" t="s">
        <v>52</v>
      </c>
      <c r="C161">
        <v>10</v>
      </c>
      <c r="D161">
        <v>1</v>
      </c>
      <c r="E161">
        <v>10</v>
      </c>
      <c r="F161">
        <v>4373.9485699999996</v>
      </c>
      <c r="G161">
        <v>11590.96371</v>
      </c>
      <c r="H161">
        <v>1819.999999977</v>
      </c>
      <c r="I161">
        <v>1.819999999977</v>
      </c>
      <c r="J161">
        <v>1.819999999977E-3</v>
      </c>
      <c r="K161">
        <v>4.0124083999492903</v>
      </c>
      <c r="L161" s="3">
        <v>1.24E-2</v>
      </c>
      <c r="M161" s="3">
        <v>3.2</v>
      </c>
      <c r="N161">
        <v>41.169731262769901</v>
      </c>
      <c r="O161" s="2">
        <v>18.1226446583232</v>
      </c>
      <c r="P161" s="2">
        <v>131.74396360654799</v>
      </c>
      <c r="Q161" s="2">
        <v>316.61611056608501</v>
      </c>
      <c r="R161" s="2">
        <v>839.03269300012403</v>
      </c>
      <c r="S161">
        <v>20.9</v>
      </c>
      <c r="T161">
        <v>0.19500000000000001</v>
      </c>
      <c r="U161">
        <v>-0.35</v>
      </c>
    </row>
    <row r="162" spans="1:21" x14ac:dyDescent="0.25">
      <c r="A162" t="s">
        <v>53</v>
      </c>
      <c r="B162" t="s">
        <v>54</v>
      </c>
      <c r="C162">
        <v>1</v>
      </c>
      <c r="D162">
        <v>2</v>
      </c>
      <c r="E162"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v>11.817416766733</v>
      </c>
      <c r="P162">
        <v>17.503414393556</v>
      </c>
      <c r="Q162">
        <v>42.065403493285203</v>
      </c>
      <c r="R162">
        <v>111.473319257206</v>
      </c>
      <c r="S162">
        <v>41</v>
      </c>
      <c r="T162">
        <v>0.17</v>
      </c>
      <c r="U162">
        <v>0</v>
      </c>
    </row>
    <row r="163" spans="1:21" x14ac:dyDescent="0.25">
      <c r="A163" t="s">
        <v>53</v>
      </c>
      <c r="B163" t="s">
        <v>54</v>
      </c>
      <c r="C163">
        <v>2</v>
      </c>
      <c r="D163">
        <v>2</v>
      </c>
      <c r="E163"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v>20.228703313010801</v>
      </c>
      <c r="P163">
        <v>85.464740484643798</v>
      </c>
      <c r="Q163">
        <v>205.39471397414999</v>
      </c>
      <c r="R163">
        <v>544.29599203149701</v>
      </c>
      <c r="S163">
        <v>41</v>
      </c>
      <c r="T163">
        <v>0.17</v>
      </c>
      <c r="U163">
        <v>0</v>
      </c>
    </row>
    <row r="164" spans="1:21" x14ac:dyDescent="0.25">
      <c r="A164" t="s">
        <v>53</v>
      </c>
      <c r="B164" t="s">
        <v>54</v>
      </c>
      <c r="C164">
        <v>3</v>
      </c>
      <c r="D164">
        <v>2</v>
      </c>
      <c r="E164"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v>26.2156074529038</v>
      </c>
      <c r="P164">
        <v>183.62551462282201</v>
      </c>
      <c r="Q164">
        <v>441.30140500558002</v>
      </c>
      <c r="R164">
        <v>1169.44872326479</v>
      </c>
      <c r="S164">
        <v>41</v>
      </c>
      <c r="T164">
        <v>0.17</v>
      </c>
      <c r="U164">
        <v>0</v>
      </c>
    </row>
    <row r="165" spans="1:21" x14ac:dyDescent="0.25">
      <c r="A165" t="s">
        <v>53</v>
      </c>
      <c r="B165" t="s">
        <v>54</v>
      </c>
      <c r="C165">
        <v>4</v>
      </c>
      <c r="D165">
        <v>2</v>
      </c>
      <c r="E165"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v>30.476908144904201</v>
      </c>
      <c r="P165">
        <v>286.34883404136099</v>
      </c>
      <c r="Q165">
        <v>688.17311713857498</v>
      </c>
      <c r="R165">
        <v>1823.65876041722</v>
      </c>
      <c r="S165">
        <v>41</v>
      </c>
      <c r="T165">
        <v>0.17</v>
      </c>
      <c r="U165">
        <v>0</v>
      </c>
    </row>
    <row r="166" spans="1:21" x14ac:dyDescent="0.25">
      <c r="A166" t="s">
        <v>53</v>
      </c>
      <c r="B166" t="s">
        <v>54</v>
      </c>
      <c r="C166">
        <v>5</v>
      </c>
      <c r="D166">
        <v>2</v>
      </c>
      <c r="E166"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v>33.509975513837901</v>
      </c>
      <c r="P166">
        <v>378.83044312640698</v>
      </c>
      <c r="Q166">
        <v>910.43125000338205</v>
      </c>
      <c r="R166">
        <v>2412.6428125089601</v>
      </c>
      <c r="S166">
        <v>41</v>
      </c>
      <c r="T166">
        <v>0.17</v>
      </c>
      <c r="U166">
        <v>0</v>
      </c>
    </row>
    <row r="167" spans="1:21" x14ac:dyDescent="0.25">
      <c r="A167" t="s">
        <v>53</v>
      </c>
      <c r="B167" t="s">
        <v>54</v>
      </c>
      <c r="C167">
        <v>6</v>
      </c>
      <c r="D167">
        <v>2</v>
      </c>
      <c r="E167"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v>35.668822853984501</v>
      </c>
      <c r="P167">
        <v>455.44206302122302</v>
      </c>
      <c r="Q167">
        <v>1094.54953862346</v>
      </c>
      <c r="R167">
        <v>2900.5562773521801</v>
      </c>
      <c r="S167">
        <v>41</v>
      </c>
      <c r="T167">
        <v>0.17</v>
      </c>
      <c r="U167">
        <v>0</v>
      </c>
    </row>
    <row r="168" spans="1:21" x14ac:dyDescent="0.25">
      <c r="A168" t="s">
        <v>53</v>
      </c>
      <c r="B168" t="s">
        <v>54</v>
      </c>
      <c r="C168">
        <v>7</v>
      </c>
      <c r="D168">
        <v>2</v>
      </c>
      <c r="E168"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v>37.205426322075901</v>
      </c>
      <c r="P168">
        <v>515.78628244311005</v>
      </c>
      <c r="Q168">
        <v>1239.5728970033899</v>
      </c>
      <c r="R168">
        <v>3284.8681770589801</v>
      </c>
      <c r="S168">
        <v>41</v>
      </c>
      <c r="T168">
        <v>0.17</v>
      </c>
      <c r="U168">
        <v>0</v>
      </c>
    </row>
    <row r="169" spans="1:21" x14ac:dyDescent="0.25">
      <c r="A169" t="s">
        <v>53</v>
      </c>
      <c r="B169" t="s">
        <v>54</v>
      </c>
      <c r="C169">
        <v>8</v>
      </c>
      <c r="D169">
        <v>2</v>
      </c>
      <c r="E169"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v>38.299135068517501</v>
      </c>
      <c r="P169">
        <v>561.80900521213903</v>
      </c>
      <c r="Q169">
        <v>1350.1778543911</v>
      </c>
      <c r="R169">
        <v>3577.97131413643</v>
      </c>
      <c r="S169">
        <v>41</v>
      </c>
      <c r="T169">
        <v>0.17</v>
      </c>
      <c r="U169">
        <v>0</v>
      </c>
    </row>
    <row r="170" spans="1:21" x14ac:dyDescent="0.25">
      <c r="A170" t="s">
        <v>53</v>
      </c>
      <c r="B170" t="s">
        <v>54</v>
      </c>
      <c r="C170">
        <v>9</v>
      </c>
      <c r="D170">
        <v>2</v>
      </c>
      <c r="E170"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v>39.077604495980502</v>
      </c>
      <c r="P170">
        <v>596.16798297115497</v>
      </c>
      <c r="Q170">
        <v>1432.7517014447401</v>
      </c>
      <c r="R170">
        <v>3796.79200882856</v>
      </c>
      <c r="S170">
        <v>41</v>
      </c>
      <c r="T170">
        <v>0.17</v>
      </c>
      <c r="U170">
        <v>0</v>
      </c>
    </row>
    <row r="171" spans="1:21" x14ac:dyDescent="0.25">
      <c r="A171" t="s">
        <v>53</v>
      </c>
      <c r="B171" t="s">
        <v>54</v>
      </c>
      <c r="C171">
        <v>10</v>
      </c>
      <c r="D171">
        <v>2</v>
      </c>
      <c r="E171"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v>39.631695931626602</v>
      </c>
      <c r="P171">
        <v>621.45127699565796</v>
      </c>
      <c r="Q171">
        <v>1493.5142441616399</v>
      </c>
      <c r="R171">
        <v>3957.8127470283398</v>
      </c>
      <c r="S171">
        <v>41</v>
      </c>
      <c r="T171">
        <v>0.17</v>
      </c>
      <c r="U171">
        <v>0</v>
      </c>
    </row>
    <row r="172" spans="1:21" x14ac:dyDescent="0.25">
      <c r="A172" t="s">
        <v>55</v>
      </c>
      <c r="B172" t="s">
        <v>56</v>
      </c>
      <c r="C172">
        <v>1</v>
      </c>
      <c r="D172">
        <v>1</v>
      </c>
      <c r="E172"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v>12.715233006614501</v>
      </c>
      <c r="P172">
        <v>26.724914311425199</v>
      </c>
      <c r="Q172">
        <v>64.2271432622573</v>
      </c>
      <c r="R172">
        <v>170.20192964498199</v>
      </c>
      <c r="S172">
        <v>152</v>
      </c>
      <c r="T172">
        <v>9.6000000000000002E-2</v>
      </c>
      <c r="U172">
        <v>0.09</v>
      </c>
    </row>
    <row r="173" spans="1:21" x14ac:dyDescent="0.25">
      <c r="A173" t="s">
        <v>55</v>
      </c>
      <c r="B173" t="s">
        <v>56</v>
      </c>
      <c r="C173">
        <v>2</v>
      </c>
      <c r="D173">
        <v>1</v>
      </c>
      <c r="E173"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v>25.464801199995101</v>
      </c>
      <c r="P173">
        <v>214.66647380591499</v>
      </c>
      <c r="Q173">
        <v>515.90116271548902</v>
      </c>
      <c r="R173">
        <v>1367.1380811960501</v>
      </c>
      <c r="S173">
        <v>152</v>
      </c>
      <c r="T173">
        <v>9.6000000000000002E-2</v>
      </c>
      <c r="U173">
        <v>0.09</v>
      </c>
    </row>
    <row r="174" spans="1:21" x14ac:dyDescent="0.25">
      <c r="A174" t="s">
        <v>55</v>
      </c>
      <c r="B174" t="s">
        <v>56</v>
      </c>
      <c r="C174">
        <v>3</v>
      </c>
      <c r="D174">
        <v>1</v>
      </c>
      <c r="E174"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v>37.047325124095401</v>
      </c>
      <c r="P174">
        <v>661.01896891849594</v>
      </c>
      <c r="Q174">
        <v>1588.6060296046501</v>
      </c>
      <c r="R174">
        <v>4209.8059784523302</v>
      </c>
      <c r="S174">
        <v>152</v>
      </c>
      <c r="T174">
        <v>9.6000000000000002E-2</v>
      </c>
      <c r="U174">
        <v>0.09</v>
      </c>
    </row>
    <row r="175" spans="1:21" x14ac:dyDescent="0.25">
      <c r="A175" t="s">
        <v>55</v>
      </c>
      <c r="B175" t="s">
        <v>56</v>
      </c>
      <c r="C175">
        <v>4</v>
      </c>
      <c r="D175">
        <v>1</v>
      </c>
      <c r="E175"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v>47.569631324395502</v>
      </c>
      <c r="P175">
        <v>1399.3704826257199</v>
      </c>
      <c r="Q175">
        <v>3363.0629238781898</v>
      </c>
      <c r="R175">
        <v>8912.1167482772107</v>
      </c>
      <c r="S175">
        <v>152</v>
      </c>
      <c r="T175">
        <v>9.6000000000000002E-2</v>
      </c>
      <c r="U175">
        <v>0.09</v>
      </c>
    </row>
    <row r="176" spans="1:21" x14ac:dyDescent="0.25">
      <c r="A176" t="s">
        <v>55</v>
      </c>
      <c r="B176" t="s">
        <v>56</v>
      </c>
      <c r="C176">
        <v>5</v>
      </c>
      <c r="D176">
        <v>1</v>
      </c>
      <c r="E176"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v>57.1287678734247</v>
      </c>
      <c r="P176">
        <v>2423.86219369639</v>
      </c>
      <c r="Q176">
        <v>5825.1915253458101</v>
      </c>
      <c r="R176">
        <v>15436.757542166401</v>
      </c>
      <c r="S176">
        <v>152</v>
      </c>
      <c r="T176">
        <v>9.6000000000000002E-2</v>
      </c>
      <c r="U176">
        <v>0.09</v>
      </c>
    </row>
    <row r="177" spans="1:21" x14ac:dyDescent="0.25">
      <c r="A177" t="s">
        <v>55</v>
      </c>
      <c r="B177" t="s">
        <v>56</v>
      </c>
      <c r="C177">
        <v>6</v>
      </c>
      <c r="D177">
        <v>1</v>
      </c>
      <c r="E177"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v>65.812899452904901</v>
      </c>
      <c r="P177">
        <v>3705.7526325367598</v>
      </c>
      <c r="Q177">
        <v>8905.9183670674392</v>
      </c>
      <c r="R177">
        <v>23600.683672728701</v>
      </c>
      <c r="S177">
        <v>152</v>
      </c>
      <c r="T177">
        <v>9.6000000000000002E-2</v>
      </c>
      <c r="U177">
        <v>0.09</v>
      </c>
    </row>
    <row r="178" spans="1:21" x14ac:dyDescent="0.25">
      <c r="A178" t="s">
        <v>55</v>
      </c>
      <c r="B178" t="s">
        <v>56</v>
      </c>
      <c r="C178">
        <v>7</v>
      </c>
      <c r="D178">
        <v>1</v>
      </c>
      <c r="E178"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v>73.702120503668596</v>
      </c>
      <c r="P178">
        <v>5204.55140074882</v>
      </c>
      <c r="Q178">
        <v>12507.934152244199</v>
      </c>
      <c r="R178">
        <v>33146.025503447199</v>
      </c>
      <c r="S178">
        <v>152</v>
      </c>
      <c r="T178">
        <v>9.6000000000000002E-2</v>
      </c>
      <c r="U178">
        <v>0.09</v>
      </c>
    </row>
    <row r="179" spans="1:21" x14ac:dyDescent="0.25">
      <c r="A179" t="s">
        <v>55</v>
      </c>
      <c r="B179" t="s">
        <v>56</v>
      </c>
      <c r="C179">
        <v>8</v>
      </c>
      <c r="D179">
        <v>1</v>
      </c>
      <c r="E179"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v>80.869193943099205</v>
      </c>
      <c r="P179">
        <v>6875.3164990699797</v>
      </c>
      <c r="Q179">
        <v>16523.231192189302</v>
      </c>
      <c r="R179">
        <v>43786.5626593017</v>
      </c>
      <c r="S179">
        <v>152</v>
      </c>
      <c r="T179">
        <v>9.6000000000000002E-2</v>
      </c>
      <c r="U179">
        <v>0.09</v>
      </c>
    </row>
    <row r="180" spans="1:21" x14ac:dyDescent="0.25">
      <c r="A180" t="s">
        <v>55</v>
      </c>
      <c r="B180" t="s">
        <v>56</v>
      </c>
      <c r="C180">
        <v>9</v>
      </c>
      <c r="D180">
        <v>1</v>
      </c>
      <c r="E180"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v>87.380222263343697</v>
      </c>
      <c r="P180">
        <v>8673.2684272407605</v>
      </c>
      <c r="Q180">
        <v>20844.192326942499</v>
      </c>
      <c r="R180">
        <v>55237.109666397599</v>
      </c>
      <c r="S180">
        <v>152</v>
      </c>
      <c r="T180">
        <v>9.6000000000000002E-2</v>
      </c>
      <c r="U180">
        <v>0.09</v>
      </c>
    </row>
    <row r="181" spans="1:21" x14ac:dyDescent="0.25">
      <c r="A181" t="s">
        <v>55</v>
      </c>
      <c r="B181" t="s">
        <v>56</v>
      </c>
      <c r="C181">
        <v>10</v>
      </c>
      <c r="D181">
        <v>1</v>
      </c>
      <c r="E181"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v>93.295257199890003</v>
      </c>
      <c r="P181">
        <v>10556.5510262714</v>
      </c>
      <c r="Q181">
        <v>25370.225970371001</v>
      </c>
      <c r="R181">
        <v>67231.098821482999</v>
      </c>
      <c r="S181">
        <v>152</v>
      </c>
      <c r="T181">
        <v>9.6000000000000002E-2</v>
      </c>
      <c r="U181">
        <v>0.09</v>
      </c>
    </row>
    <row r="182" spans="1:21" x14ac:dyDescent="0.25">
      <c r="A182" t="s">
        <v>57</v>
      </c>
      <c r="B182" t="s">
        <v>58</v>
      </c>
      <c r="C182">
        <v>1</v>
      </c>
      <c r="D182">
        <v>2</v>
      </c>
      <c r="E182"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v>40.143918515854601</v>
      </c>
      <c r="P182">
        <v>763.38090886834902</v>
      </c>
      <c r="Q182">
        <v>1834.60924986385</v>
      </c>
      <c r="R182">
        <v>4861.7145121392095</v>
      </c>
      <c r="S182">
        <v>72.900000000000006</v>
      </c>
      <c r="T182">
        <v>0.4</v>
      </c>
      <c r="U182">
        <v>0</v>
      </c>
    </row>
    <row r="183" spans="1:21" x14ac:dyDescent="0.25">
      <c r="A183" t="s">
        <v>57</v>
      </c>
      <c r="B183" t="s">
        <v>58</v>
      </c>
      <c r="C183">
        <v>2</v>
      </c>
      <c r="D183">
        <v>2</v>
      </c>
      <c r="E183"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v>58.181743838189597</v>
      </c>
      <c r="P183">
        <v>2324.0325637394799</v>
      </c>
      <c r="Q183">
        <v>5585.2741257858097</v>
      </c>
      <c r="R183">
        <v>14800.9764333324</v>
      </c>
      <c r="S183">
        <v>72.900000000000006</v>
      </c>
      <c r="T183">
        <v>0.4</v>
      </c>
      <c r="U183">
        <v>0</v>
      </c>
    </row>
    <row r="184" spans="1:21" x14ac:dyDescent="0.25">
      <c r="A184" t="s">
        <v>57</v>
      </c>
      <c r="B184" t="s">
        <v>58</v>
      </c>
      <c r="C184">
        <v>3</v>
      </c>
      <c r="D184">
        <v>2</v>
      </c>
      <c r="E184"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v>66.286661205201796</v>
      </c>
      <c r="P184">
        <v>3436.8489166374002</v>
      </c>
      <c r="Q184">
        <v>8259.6705518803192</v>
      </c>
      <c r="R184">
        <v>21888.126962482798</v>
      </c>
      <c r="S184">
        <v>72.900000000000006</v>
      </c>
      <c r="T184">
        <v>0.4</v>
      </c>
      <c r="U184">
        <v>0</v>
      </c>
    </row>
    <row r="185" spans="1:21" x14ac:dyDescent="0.25">
      <c r="A185" t="s">
        <v>57</v>
      </c>
      <c r="B185" t="s">
        <v>58</v>
      </c>
      <c r="C185">
        <v>4</v>
      </c>
      <c r="D185">
        <v>2</v>
      </c>
      <c r="E185"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v>69.928435329977106</v>
      </c>
      <c r="P185">
        <v>4034.99907909485</v>
      </c>
      <c r="Q185">
        <v>9697.1859627369704</v>
      </c>
      <c r="R185">
        <v>25697.542801252999</v>
      </c>
      <c r="S185">
        <v>72.900000000000006</v>
      </c>
      <c r="T185">
        <v>0.4</v>
      </c>
      <c r="U185">
        <v>0</v>
      </c>
    </row>
    <row r="186" spans="1:21" x14ac:dyDescent="0.25">
      <c r="A186" t="s">
        <v>57</v>
      </c>
      <c r="B186" t="s">
        <v>58</v>
      </c>
      <c r="C186">
        <v>5</v>
      </c>
      <c r="D186">
        <v>2</v>
      </c>
      <c r="E186"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v>71.564789925011297</v>
      </c>
      <c r="P186">
        <v>4324.9412223072704</v>
      </c>
      <c r="Q186">
        <v>10393.994766419801</v>
      </c>
      <c r="R186">
        <v>27544.086131012398</v>
      </c>
      <c r="S186">
        <v>72.900000000000006</v>
      </c>
      <c r="T186">
        <v>0.4</v>
      </c>
      <c r="U186">
        <v>0</v>
      </c>
    </row>
    <row r="187" spans="1:21" x14ac:dyDescent="0.25">
      <c r="A187" t="s">
        <v>57</v>
      </c>
      <c r="B187" t="s">
        <v>58</v>
      </c>
      <c r="C187">
        <v>6</v>
      </c>
      <c r="D187">
        <v>2</v>
      </c>
      <c r="E187"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v>72.300051440126495</v>
      </c>
      <c r="P187">
        <v>4459.6197093998098</v>
      </c>
      <c r="Q187">
        <v>10717.6633246811</v>
      </c>
      <c r="R187">
        <v>28401.807810404898</v>
      </c>
      <c r="S187">
        <v>72.900000000000006</v>
      </c>
      <c r="T187">
        <v>0.4</v>
      </c>
      <c r="U187">
        <v>0</v>
      </c>
    </row>
    <row r="188" spans="1:21" x14ac:dyDescent="0.25">
      <c r="A188" t="s">
        <v>57</v>
      </c>
      <c r="B188" t="s">
        <v>58</v>
      </c>
      <c r="C188">
        <v>7</v>
      </c>
      <c r="D188">
        <v>2</v>
      </c>
      <c r="E188"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v>72.6304257350684</v>
      </c>
      <c r="P188">
        <v>4521.0340391404197</v>
      </c>
      <c r="Q188">
        <v>10865.2584454228</v>
      </c>
      <c r="R188">
        <v>28792.9348803703</v>
      </c>
      <c r="S188">
        <v>72.900000000000006</v>
      </c>
      <c r="T188">
        <v>0.4</v>
      </c>
      <c r="U188">
        <v>0</v>
      </c>
    </row>
    <row r="189" spans="1:21" x14ac:dyDescent="0.25">
      <c r="A189" t="s">
        <v>57</v>
      </c>
      <c r="B189" t="s">
        <v>58</v>
      </c>
      <c r="C189">
        <v>8</v>
      </c>
      <c r="D189">
        <v>2</v>
      </c>
      <c r="E189"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v>72.778872474785601</v>
      </c>
      <c r="P189">
        <v>4548.8118772293401</v>
      </c>
      <c r="Q189">
        <v>10932.0160471746</v>
      </c>
      <c r="R189">
        <v>28969.842525012598</v>
      </c>
      <c r="S189">
        <v>72.900000000000006</v>
      </c>
      <c r="T189">
        <v>0.4</v>
      </c>
      <c r="U189">
        <v>0</v>
      </c>
    </row>
    <row r="190" spans="1:21" x14ac:dyDescent="0.25">
      <c r="A190" t="s">
        <v>57</v>
      </c>
      <c r="B190" t="s">
        <v>58</v>
      </c>
      <c r="C190">
        <v>9</v>
      </c>
      <c r="D190">
        <v>2</v>
      </c>
      <c r="E190"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v>72.845573894569299</v>
      </c>
      <c r="P190">
        <v>4561.3302233118602</v>
      </c>
      <c r="Q190">
        <v>10962.1009932993</v>
      </c>
      <c r="R190">
        <v>29049.567632243299</v>
      </c>
      <c r="S190">
        <v>72.900000000000006</v>
      </c>
      <c r="T190">
        <v>0.4</v>
      </c>
      <c r="U190">
        <v>0</v>
      </c>
    </row>
    <row r="191" spans="1:21" x14ac:dyDescent="0.25">
      <c r="A191" t="s">
        <v>57</v>
      </c>
      <c r="B191" t="s">
        <v>58</v>
      </c>
      <c r="C191">
        <v>10</v>
      </c>
      <c r="D191">
        <v>2</v>
      </c>
      <c r="E191"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v>72.875544774425904</v>
      </c>
      <c r="P191">
        <v>4566.9625490367798</v>
      </c>
      <c r="Q191">
        <v>10975.6369839865</v>
      </c>
      <c r="R191">
        <v>29085.4380075642</v>
      </c>
      <c r="S191">
        <v>72.900000000000006</v>
      </c>
      <c r="T191">
        <v>0.4</v>
      </c>
      <c r="U191">
        <v>0</v>
      </c>
    </row>
    <row r="192" spans="1:21" x14ac:dyDescent="0.25">
      <c r="A192" t="s">
        <v>59</v>
      </c>
      <c r="B192" t="s">
        <v>60</v>
      </c>
      <c r="C192">
        <v>1</v>
      </c>
      <c r="D192">
        <v>2</v>
      </c>
      <c r="E192"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v>30.0191810829898</v>
      </c>
      <c r="P192">
        <v>638.62466460155497</v>
      </c>
      <c r="Q192">
        <v>1534.78650469011</v>
      </c>
      <c r="R192">
        <v>4067.1842374287999</v>
      </c>
      <c r="S192">
        <v>263.2</v>
      </c>
      <c r="T192">
        <v>7.0000000000000007E-2</v>
      </c>
      <c r="U192">
        <v>0.27</v>
      </c>
    </row>
    <row r="193" spans="1:21" x14ac:dyDescent="0.25">
      <c r="A193" t="s">
        <v>59</v>
      </c>
      <c r="B193" t="s">
        <v>60</v>
      </c>
      <c r="C193">
        <v>2</v>
      </c>
      <c r="D193">
        <v>2</v>
      </c>
      <c r="E193"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v>60.482334737459503</v>
      </c>
      <c r="P193">
        <v>5602.1892882480797</v>
      </c>
      <c r="Q193">
        <v>13463.5647398416</v>
      </c>
      <c r="R193">
        <v>35678.446560580203</v>
      </c>
      <c r="S193">
        <v>263.2</v>
      </c>
      <c r="T193">
        <v>7.0000000000000007E-2</v>
      </c>
      <c r="U193">
        <v>0.27</v>
      </c>
    </row>
    <row r="194" spans="1:21" x14ac:dyDescent="0.25">
      <c r="A194" t="s">
        <v>59</v>
      </c>
      <c r="B194" t="s">
        <v>60</v>
      </c>
      <c r="C194">
        <v>3</v>
      </c>
      <c r="D194">
        <v>2</v>
      </c>
      <c r="E194"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v>86.965728243192004</v>
      </c>
      <c r="P194">
        <v>17269.847782593501</v>
      </c>
      <c r="Q194">
        <v>41504.080227333601</v>
      </c>
      <c r="R194">
        <v>109985.812602434</v>
      </c>
      <c r="S194">
        <v>263.2</v>
      </c>
      <c r="T194">
        <v>7.0000000000000007E-2</v>
      </c>
      <c r="U194">
        <v>0.27</v>
      </c>
    </row>
    <row r="195" spans="1:21" x14ac:dyDescent="0.25">
      <c r="A195" t="s">
        <v>59</v>
      </c>
      <c r="B195" t="s">
        <v>60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59</v>
      </c>
      <c r="B196" t="s">
        <v>60</v>
      </c>
      <c r="C196">
        <v>5</v>
      </c>
      <c r="D196">
        <v>2</v>
      </c>
      <c r="E196"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v>130.00500271891499</v>
      </c>
      <c r="P196">
        <v>60060.021358037098</v>
      </c>
      <c r="Q196">
        <v>144340.354140921</v>
      </c>
      <c r="R196">
        <v>382501.93847344001</v>
      </c>
      <c r="S196">
        <v>263.2</v>
      </c>
      <c r="T196">
        <v>7.0000000000000007E-2</v>
      </c>
      <c r="U196">
        <v>0.27</v>
      </c>
    </row>
    <row r="197" spans="1:21" x14ac:dyDescent="0.25">
      <c r="A197" t="s">
        <v>59</v>
      </c>
      <c r="B197" t="s">
        <v>60</v>
      </c>
      <c r="C197">
        <v>6</v>
      </c>
      <c r="D197">
        <v>2</v>
      </c>
      <c r="E197"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v>147.40583219976699</v>
      </c>
      <c r="P197">
        <v>88655.309313820006</v>
      </c>
      <c r="Q197">
        <v>213062.507363182</v>
      </c>
      <c r="R197">
        <v>564615.64451243205</v>
      </c>
      <c r="S197">
        <v>263.2</v>
      </c>
      <c r="T197">
        <v>7.0000000000000007E-2</v>
      </c>
      <c r="U197">
        <v>0.27</v>
      </c>
    </row>
    <row r="198" spans="1:21" x14ac:dyDescent="0.25">
      <c r="A198" t="s">
        <v>59</v>
      </c>
      <c r="B198" t="s">
        <v>60</v>
      </c>
      <c r="C198">
        <v>7</v>
      </c>
      <c r="D198">
        <v>2</v>
      </c>
      <c r="E198"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v>162.533386611716</v>
      </c>
      <c r="P198">
        <v>120013.82954317699</v>
      </c>
      <c r="Q198">
        <v>288425.44951496599</v>
      </c>
      <c r="R198">
        <v>764327.44121465995</v>
      </c>
      <c r="S198">
        <v>263.2</v>
      </c>
      <c r="T198">
        <v>7.0000000000000007E-2</v>
      </c>
      <c r="U198">
        <v>0.27</v>
      </c>
    </row>
    <row r="199" spans="1:21" x14ac:dyDescent="0.25">
      <c r="A199" t="s">
        <v>59</v>
      </c>
      <c r="B199" t="s">
        <v>60</v>
      </c>
      <c r="C199">
        <v>8</v>
      </c>
      <c r="D199">
        <v>2</v>
      </c>
      <c r="E199"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v>175.68465062118801</v>
      </c>
      <c r="P199">
        <v>152751.020932416</v>
      </c>
      <c r="Q199">
        <v>367101.70856144303</v>
      </c>
      <c r="R199">
        <v>972819.52768782398</v>
      </c>
      <c r="S199">
        <v>263.2</v>
      </c>
      <c r="T199">
        <v>7.0000000000000007E-2</v>
      </c>
      <c r="U199">
        <v>0.27</v>
      </c>
    </row>
    <row r="200" spans="1:21" x14ac:dyDescent="0.25">
      <c r="A200" t="s">
        <v>59</v>
      </c>
      <c r="B200" t="s">
        <v>60</v>
      </c>
      <c r="C200">
        <v>9</v>
      </c>
      <c r="D200">
        <v>2</v>
      </c>
      <c r="E200"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v>187.117810293726</v>
      </c>
      <c r="P200">
        <v>185723.20694256501</v>
      </c>
      <c r="Q200">
        <v>446342.722765118</v>
      </c>
      <c r="R200">
        <v>1182808.21532756</v>
      </c>
      <c r="S200">
        <v>263.2</v>
      </c>
      <c r="T200">
        <v>7.0000000000000007E-2</v>
      </c>
      <c r="U200">
        <v>0.27</v>
      </c>
    </row>
    <row r="201" spans="1:21" x14ac:dyDescent="0.25">
      <c r="A201" t="s">
        <v>59</v>
      </c>
      <c r="B201" t="s">
        <v>60</v>
      </c>
      <c r="C201">
        <v>10</v>
      </c>
      <c r="D201">
        <v>2</v>
      </c>
      <c r="E201"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v>197.05732181167599</v>
      </c>
      <c r="P201">
        <v>218045.067850675</v>
      </c>
      <c r="Q201">
        <v>524020.83117201302</v>
      </c>
      <c r="R201">
        <v>1388655.20260583</v>
      </c>
      <c r="S201">
        <v>263.2</v>
      </c>
      <c r="T201">
        <v>7.0000000000000007E-2</v>
      </c>
      <c r="U201">
        <v>0.27</v>
      </c>
    </row>
    <row r="202" spans="1:21" x14ac:dyDescent="0.25">
      <c r="A202" t="s">
        <v>61</v>
      </c>
      <c r="B202" t="s">
        <v>62</v>
      </c>
      <c r="C202">
        <v>1</v>
      </c>
      <c r="D202">
        <v>1</v>
      </c>
      <c r="E202"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v>4.5195828904047897</v>
      </c>
      <c r="P202">
        <v>1.1539980651435</v>
      </c>
      <c r="Q202">
        <v>2.77336713564888</v>
      </c>
      <c r="R202">
        <v>7.3494229094695402</v>
      </c>
      <c r="S202">
        <v>33.700000000000003</v>
      </c>
      <c r="T202">
        <v>0.32</v>
      </c>
      <c r="U202">
        <v>0.55000000000000004</v>
      </c>
    </row>
    <row r="203" spans="1:21" x14ac:dyDescent="0.25">
      <c r="A203" t="s">
        <v>61</v>
      </c>
      <c r="B203" t="s">
        <v>62</v>
      </c>
      <c r="C203">
        <v>2</v>
      </c>
      <c r="D203">
        <v>1</v>
      </c>
      <c r="E203"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v>12.5106682144588</v>
      </c>
      <c r="P203">
        <v>24.476624933083801</v>
      </c>
      <c r="Q203">
        <v>58.8239003438688</v>
      </c>
      <c r="R203">
        <v>155.883335911252</v>
      </c>
      <c r="S203">
        <v>33.700000000000003</v>
      </c>
      <c r="T203">
        <v>0.32</v>
      </c>
      <c r="U203">
        <v>0.55000000000000004</v>
      </c>
    </row>
    <row r="204" spans="1:21" x14ac:dyDescent="0.25">
      <c r="A204" t="s">
        <v>61</v>
      </c>
      <c r="B204" t="s">
        <v>62</v>
      </c>
      <c r="C204">
        <v>3</v>
      </c>
      <c r="D204">
        <v>1</v>
      </c>
      <c r="E204"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v>18.313387127694298</v>
      </c>
      <c r="P204">
        <v>76.774331086170307</v>
      </c>
      <c r="Q204">
        <v>184.50932729192601</v>
      </c>
      <c r="R204">
        <v>488.94971732360301</v>
      </c>
      <c r="S204">
        <v>33.700000000000003</v>
      </c>
      <c r="T204">
        <v>0.32</v>
      </c>
      <c r="U204">
        <v>0.55000000000000004</v>
      </c>
    </row>
    <row r="205" spans="1:21" x14ac:dyDescent="0.25">
      <c r="A205" t="s">
        <v>61</v>
      </c>
      <c r="B205" t="s">
        <v>62</v>
      </c>
      <c r="C205">
        <v>4</v>
      </c>
      <c r="D205">
        <v>1</v>
      </c>
      <c r="E205"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v>22.527025878949601</v>
      </c>
      <c r="P205">
        <v>142.89649844085301</v>
      </c>
      <c r="Q205">
        <v>343.418645616086</v>
      </c>
      <c r="R205">
        <v>910.05941088262796</v>
      </c>
      <c r="S205">
        <v>33.700000000000003</v>
      </c>
      <c r="T205">
        <v>0.32</v>
      </c>
      <c r="U205">
        <v>0.55000000000000004</v>
      </c>
    </row>
    <row r="206" spans="1:21" x14ac:dyDescent="0.25">
      <c r="A206" t="s">
        <v>61</v>
      </c>
      <c r="B206" t="s">
        <v>62</v>
      </c>
      <c r="C206">
        <v>5</v>
      </c>
      <c r="D206">
        <v>1</v>
      </c>
      <c r="E206"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v>25.586755600749999</v>
      </c>
      <c r="P206">
        <v>209.38987401253701</v>
      </c>
      <c r="Q206">
        <v>503.22007693472102</v>
      </c>
      <c r="R206">
        <v>1333.53320387701</v>
      </c>
      <c r="S206">
        <v>33.700000000000003</v>
      </c>
      <c r="T206">
        <v>0.32</v>
      </c>
      <c r="U206">
        <v>0.55000000000000004</v>
      </c>
    </row>
    <row r="207" spans="1:21" x14ac:dyDescent="0.25">
      <c r="A207" t="s">
        <v>61</v>
      </c>
      <c r="B207" t="s">
        <v>62</v>
      </c>
      <c r="C207">
        <v>6</v>
      </c>
      <c r="D207">
        <v>1</v>
      </c>
      <c r="E207"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v>27.808575391941101</v>
      </c>
      <c r="P207">
        <v>268.81050439210702</v>
      </c>
      <c r="Q207">
        <v>646.02380291301802</v>
      </c>
      <c r="R207">
        <v>1711.9630777195</v>
      </c>
      <c r="S207">
        <v>33.700000000000003</v>
      </c>
      <c r="T207">
        <v>0.32</v>
      </c>
      <c r="U207">
        <v>0.55000000000000004</v>
      </c>
    </row>
    <row r="208" spans="1:21" x14ac:dyDescent="0.25">
      <c r="A208" t="s">
        <v>61</v>
      </c>
      <c r="B208" t="s">
        <v>62</v>
      </c>
      <c r="C208">
        <v>7</v>
      </c>
      <c r="D208">
        <v>1</v>
      </c>
      <c r="E208"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v>29.4219476938658</v>
      </c>
      <c r="P208">
        <v>318.36423278291602</v>
      </c>
      <c r="Q208">
        <v>765.11471469097899</v>
      </c>
      <c r="R208">
        <v>2027.55399393109</v>
      </c>
      <c r="S208">
        <v>33.700000000000003</v>
      </c>
      <c r="T208">
        <v>0.32</v>
      </c>
      <c r="U208">
        <v>0.55000000000000004</v>
      </c>
    </row>
    <row r="209" spans="1:21" x14ac:dyDescent="0.25">
      <c r="A209" t="s">
        <v>61</v>
      </c>
      <c r="B209" t="s">
        <v>62</v>
      </c>
      <c r="C209">
        <v>8</v>
      </c>
      <c r="D209">
        <v>1</v>
      </c>
      <c r="E209"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v>30.5934964373497</v>
      </c>
      <c r="P209">
        <v>357.92938568447698</v>
      </c>
      <c r="Q209">
        <v>860.20039818427495</v>
      </c>
      <c r="R209">
        <v>2279.5310551883299</v>
      </c>
      <c r="S209">
        <v>33.700000000000003</v>
      </c>
      <c r="T209">
        <v>0.32</v>
      </c>
      <c r="U209">
        <v>0.55000000000000004</v>
      </c>
    </row>
    <row r="210" spans="1:21" x14ac:dyDescent="0.25">
      <c r="A210" t="s">
        <v>61</v>
      </c>
      <c r="B210" t="s">
        <v>62</v>
      </c>
      <c r="C210">
        <v>9</v>
      </c>
      <c r="D210">
        <v>1</v>
      </c>
      <c r="E210"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v>31.444215429315499</v>
      </c>
      <c r="P210">
        <v>388.626402273748</v>
      </c>
      <c r="Q210">
        <v>933.97356951152994</v>
      </c>
      <c r="R210">
        <v>2475.0299592055499</v>
      </c>
      <c r="S210">
        <v>33.700000000000003</v>
      </c>
      <c r="T210">
        <v>0.32</v>
      </c>
      <c r="U210">
        <v>0.55000000000000004</v>
      </c>
    </row>
    <row r="211" spans="1:21" x14ac:dyDescent="0.25">
      <c r="A211" t="s">
        <v>61</v>
      </c>
      <c r="B211" t="s">
        <v>62</v>
      </c>
      <c r="C211">
        <v>10</v>
      </c>
      <c r="D211">
        <v>1</v>
      </c>
      <c r="E211"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v>32.061964206151799</v>
      </c>
      <c r="P211">
        <v>411.98403596558398</v>
      </c>
      <c r="Q211">
        <v>990.108233514983</v>
      </c>
      <c r="R211">
        <v>2623.7868188146999</v>
      </c>
      <c r="S211">
        <v>33.700000000000003</v>
      </c>
      <c r="T211">
        <v>0.32</v>
      </c>
      <c r="U211">
        <v>0.55000000000000004</v>
      </c>
    </row>
    <row r="212" spans="1:21" x14ac:dyDescent="0.25">
      <c r="A212" t="s">
        <v>63</v>
      </c>
      <c r="B212" t="s">
        <v>64</v>
      </c>
      <c r="C212">
        <v>1</v>
      </c>
      <c r="D212">
        <v>2</v>
      </c>
      <c r="E212"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v>26.2839081072242</v>
      </c>
      <c r="P212">
        <v>302.14823421892999</v>
      </c>
      <c r="Q212">
        <v>726.14331703660196</v>
      </c>
      <c r="R212">
        <v>1924.2797901469901</v>
      </c>
      <c r="S212">
        <v>42.5</v>
      </c>
      <c r="T212">
        <v>0.47</v>
      </c>
      <c r="U212">
        <v>0.05</v>
      </c>
    </row>
    <row r="213" spans="1:21" x14ac:dyDescent="0.25">
      <c r="A213" t="s">
        <v>63</v>
      </c>
      <c r="B213" t="s">
        <v>64</v>
      </c>
      <c r="C213">
        <v>2</v>
      </c>
      <c r="D213">
        <v>2</v>
      </c>
      <c r="E213"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v>36.165543125950101</v>
      </c>
      <c r="P213">
        <v>812.63536807531398</v>
      </c>
      <c r="Q213">
        <v>1952.9809374556901</v>
      </c>
      <c r="R213">
        <v>5175.3994842575903</v>
      </c>
      <c r="S213">
        <v>42.5</v>
      </c>
      <c r="T213">
        <v>0.47</v>
      </c>
      <c r="U213">
        <v>0.05</v>
      </c>
    </row>
    <row r="214" spans="1:21" x14ac:dyDescent="0.25">
      <c r="A214" t="s">
        <v>63</v>
      </c>
      <c r="B214" t="s">
        <v>64</v>
      </c>
      <c r="C214">
        <v>3</v>
      </c>
      <c r="D214">
        <v>2</v>
      </c>
      <c r="E214"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v>40.025584823118002</v>
      </c>
      <c r="P214">
        <v>1112.8280739437701</v>
      </c>
      <c r="Q214">
        <v>2674.42459491413</v>
      </c>
      <c r="R214">
        <v>7087.2251765224501</v>
      </c>
      <c r="S214">
        <v>42.5</v>
      </c>
      <c r="T214">
        <v>0.47</v>
      </c>
      <c r="U214">
        <v>0.05</v>
      </c>
    </row>
    <row r="215" spans="1:21" x14ac:dyDescent="0.25">
      <c r="A215" t="s">
        <v>63</v>
      </c>
      <c r="B215" t="s">
        <v>64</v>
      </c>
      <c r="C215">
        <v>4</v>
      </c>
      <c r="D215">
        <v>2</v>
      </c>
      <c r="E215"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v>41.533424555676298</v>
      </c>
      <c r="P215">
        <v>1247.9990208489401</v>
      </c>
      <c r="Q215">
        <v>2999.27666630363</v>
      </c>
      <c r="R215">
        <v>7948.0831657046101</v>
      </c>
      <c r="S215">
        <v>42.5</v>
      </c>
      <c r="T215">
        <v>0.47</v>
      </c>
      <c r="U215">
        <v>0.05</v>
      </c>
    </row>
    <row r="216" spans="1:21" x14ac:dyDescent="0.25">
      <c r="A216" t="s">
        <v>63</v>
      </c>
      <c r="B216" t="s">
        <v>64</v>
      </c>
      <c r="C216">
        <v>5</v>
      </c>
      <c r="D216">
        <v>2</v>
      </c>
      <c r="E216"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v>42.122428726473103</v>
      </c>
      <c r="P216">
        <v>1303.6853907295099</v>
      </c>
      <c r="Q216">
        <v>3133.1059618589402</v>
      </c>
      <c r="R216">
        <v>8302.7307989261899</v>
      </c>
      <c r="S216">
        <v>42.5</v>
      </c>
      <c r="T216">
        <v>0.47</v>
      </c>
      <c r="U216">
        <v>0.05</v>
      </c>
    </row>
    <row r="217" spans="1:21" x14ac:dyDescent="0.25">
      <c r="A217" t="s">
        <v>63</v>
      </c>
      <c r="B217" t="s">
        <v>64</v>
      </c>
      <c r="C217">
        <v>6</v>
      </c>
      <c r="D217">
        <v>2</v>
      </c>
      <c r="E217"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v>42.352510150728598</v>
      </c>
      <c r="P217">
        <v>1325.8873503007501</v>
      </c>
      <c r="Q217">
        <v>3186.4632307155698</v>
      </c>
      <c r="R217">
        <v>8444.1275613962698</v>
      </c>
      <c r="S217">
        <v>42.5</v>
      </c>
      <c r="T217">
        <v>0.47</v>
      </c>
      <c r="U217">
        <v>0.05</v>
      </c>
    </row>
    <row r="218" spans="1:21" x14ac:dyDescent="0.25">
      <c r="A218" t="s">
        <v>63</v>
      </c>
      <c r="B218" t="s">
        <v>64</v>
      </c>
      <c r="C218">
        <v>7</v>
      </c>
      <c r="D218">
        <v>2</v>
      </c>
      <c r="E218"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v>42.442386359441798</v>
      </c>
      <c r="P218">
        <v>1334.6291586561599</v>
      </c>
      <c r="Q218">
        <v>3207.4721428891198</v>
      </c>
      <c r="R218">
        <v>8499.8011786561601</v>
      </c>
      <c r="S218">
        <v>42.5</v>
      </c>
      <c r="T218">
        <v>0.47</v>
      </c>
      <c r="U218">
        <v>0.05</v>
      </c>
    </row>
    <row r="219" spans="1:21" x14ac:dyDescent="0.25">
      <c r="A219" t="s">
        <v>63</v>
      </c>
      <c r="B219" t="s">
        <v>64</v>
      </c>
      <c r="C219">
        <v>8</v>
      </c>
      <c r="D219">
        <v>2</v>
      </c>
      <c r="E219"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v>42.477494508301596</v>
      </c>
      <c r="P219">
        <v>1338.0545295157699</v>
      </c>
      <c r="Q219">
        <v>3215.7042285887301</v>
      </c>
      <c r="R219">
        <v>8521.6162057601505</v>
      </c>
      <c r="S219">
        <v>42.5</v>
      </c>
      <c r="T219">
        <v>0.47</v>
      </c>
      <c r="U219">
        <v>0.05</v>
      </c>
    </row>
    <row r="220" spans="1:21" x14ac:dyDescent="0.25">
      <c r="A220" t="s">
        <v>63</v>
      </c>
      <c r="B220" t="s">
        <v>64</v>
      </c>
      <c r="C220">
        <v>9</v>
      </c>
      <c r="D220">
        <v>2</v>
      </c>
      <c r="E220"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v>42.4912087284942</v>
      </c>
      <c r="P220">
        <v>1339.3941906285199</v>
      </c>
      <c r="Q220">
        <v>3218.9237938680999</v>
      </c>
      <c r="R220">
        <v>8530.1480537504704</v>
      </c>
      <c r="S220">
        <v>42.5</v>
      </c>
      <c r="T220">
        <v>0.47</v>
      </c>
      <c r="U220">
        <v>0.05</v>
      </c>
    </row>
    <row r="221" spans="1:21" x14ac:dyDescent="0.25">
      <c r="A221" t="s">
        <v>63</v>
      </c>
      <c r="B221" t="s">
        <v>64</v>
      </c>
      <c r="C221">
        <v>10</v>
      </c>
      <c r="D221">
        <v>2</v>
      </c>
      <c r="E221"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v>42.496565884641598</v>
      </c>
      <c r="P221">
        <v>1339.9177462360999</v>
      </c>
      <c r="Q221">
        <v>3220.1820385390502</v>
      </c>
      <c r="R221">
        <v>8533.4824021284803</v>
      </c>
      <c r="S221">
        <v>42.5</v>
      </c>
      <c r="T221">
        <v>0.47</v>
      </c>
      <c r="U221">
        <v>0.05</v>
      </c>
    </row>
    <row r="222" spans="1:21" x14ac:dyDescent="0.25">
      <c r="A222" t="s">
        <v>65</v>
      </c>
      <c r="B222" t="s">
        <v>66</v>
      </c>
      <c r="C222">
        <v>1</v>
      </c>
      <c r="D222">
        <v>3</v>
      </c>
      <c r="E222"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v>37.2189691929498</v>
      </c>
      <c r="P222">
        <v>940.09810574131905</v>
      </c>
      <c r="Q222">
        <v>2259.30811281259</v>
      </c>
      <c r="R222">
        <v>5987.1664989533701</v>
      </c>
      <c r="S222">
        <v>52.7</v>
      </c>
      <c r="T222">
        <v>0.35</v>
      </c>
      <c r="U222">
        <v>-0.5</v>
      </c>
    </row>
    <row r="223" spans="1:21" x14ac:dyDescent="0.25">
      <c r="A223" t="s">
        <v>65</v>
      </c>
      <c r="B223" t="s">
        <v>66</v>
      </c>
      <c r="C223">
        <v>2</v>
      </c>
      <c r="D223">
        <v>3</v>
      </c>
      <c r="E223"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v>47.282602925460402</v>
      </c>
      <c r="P223">
        <v>1974.14018262786</v>
      </c>
      <c r="Q223">
        <v>4744.3888070844996</v>
      </c>
      <c r="R223">
        <v>12572.630338773901</v>
      </c>
      <c r="S223">
        <v>52.7</v>
      </c>
      <c r="T223">
        <v>0.35</v>
      </c>
      <c r="U223">
        <v>-0.5</v>
      </c>
    </row>
    <row r="224" spans="1:21" x14ac:dyDescent="0.25">
      <c r="A224" t="s">
        <v>65</v>
      </c>
      <c r="B224" t="s">
        <v>66</v>
      </c>
      <c r="C224">
        <v>3</v>
      </c>
      <c r="D224">
        <v>3</v>
      </c>
      <c r="E224"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v>50.804248261694298</v>
      </c>
      <c r="P224">
        <v>2466.5720882083501</v>
      </c>
      <c r="Q224">
        <v>5927.8348671193098</v>
      </c>
      <c r="R224">
        <v>15708.7623978662</v>
      </c>
      <c r="S224">
        <v>52.7</v>
      </c>
      <c r="T224">
        <v>0.35</v>
      </c>
      <c r="U224">
        <v>-0.5</v>
      </c>
    </row>
    <row r="225" spans="1:21" x14ac:dyDescent="0.25">
      <c r="A225" t="s">
        <v>65</v>
      </c>
      <c r="B225" t="s">
        <v>66</v>
      </c>
      <c r="C225">
        <v>4</v>
      </c>
      <c r="D225">
        <v>3</v>
      </c>
      <c r="E225"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v>52.036604903823701</v>
      </c>
      <c r="P225">
        <v>2656.8159932613798</v>
      </c>
      <c r="Q225">
        <v>6385.0420410030802</v>
      </c>
      <c r="R225">
        <v>16920.361408658198</v>
      </c>
      <c r="S225">
        <v>52.7</v>
      </c>
      <c r="T225">
        <v>0.35</v>
      </c>
      <c r="U225">
        <v>-0.5</v>
      </c>
    </row>
    <row r="226" spans="1:21" x14ac:dyDescent="0.25">
      <c r="A226" t="s">
        <v>65</v>
      </c>
      <c r="B226" t="s">
        <v>66</v>
      </c>
      <c r="C226">
        <v>5</v>
      </c>
      <c r="D226">
        <v>3</v>
      </c>
      <c r="E226"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v>52.467853013272702</v>
      </c>
      <c r="P226">
        <v>2725.6678395776198</v>
      </c>
      <c r="Q226">
        <v>6550.5115106407702</v>
      </c>
      <c r="R226">
        <v>17358.855503197999</v>
      </c>
      <c r="S226">
        <v>52.7</v>
      </c>
      <c r="T226">
        <v>0.35</v>
      </c>
      <c r="U226">
        <v>-0.5</v>
      </c>
    </row>
    <row r="227" spans="1:21" x14ac:dyDescent="0.25">
      <c r="A227" t="s">
        <v>65</v>
      </c>
      <c r="B227" t="s">
        <v>66</v>
      </c>
      <c r="C227">
        <v>6</v>
      </c>
      <c r="D227">
        <v>3</v>
      </c>
      <c r="E227"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v>52.6187630060017</v>
      </c>
      <c r="P227">
        <v>2750.0442819121499</v>
      </c>
      <c r="Q227">
        <v>6609.09464530677</v>
      </c>
      <c r="R227">
        <v>17514.100810062901</v>
      </c>
      <c r="S227">
        <v>52.7</v>
      </c>
      <c r="T227">
        <v>0.35</v>
      </c>
      <c r="U227">
        <v>-0.5</v>
      </c>
    </row>
    <row r="228" spans="1:21" x14ac:dyDescent="0.25">
      <c r="A228" t="s">
        <v>65</v>
      </c>
      <c r="B228" t="s">
        <v>66</v>
      </c>
      <c r="C228">
        <v>7</v>
      </c>
      <c r="D228">
        <v>3</v>
      </c>
      <c r="E228"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v>52.671572109175699</v>
      </c>
      <c r="P228">
        <v>2758.6092771302801</v>
      </c>
      <c r="Q228">
        <v>6629.6786280468104</v>
      </c>
      <c r="R228">
        <v>17568.648364323999</v>
      </c>
      <c r="S228">
        <v>52.7</v>
      </c>
      <c r="T228">
        <v>0.35</v>
      </c>
      <c r="U228">
        <v>-0.5</v>
      </c>
    </row>
    <row r="229" spans="1:21" x14ac:dyDescent="0.25">
      <c r="A229" t="s">
        <v>65</v>
      </c>
      <c r="B229" t="s">
        <v>66</v>
      </c>
      <c r="C229">
        <v>8</v>
      </c>
      <c r="D229">
        <v>3</v>
      </c>
      <c r="E229"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v>52.690052007873</v>
      </c>
      <c r="P229">
        <v>2761.6107551957498</v>
      </c>
      <c r="Q229">
        <v>6636.8919855701697</v>
      </c>
      <c r="R229">
        <v>17587.7637617609</v>
      </c>
      <c r="S229">
        <v>52.7</v>
      </c>
      <c r="T229">
        <v>0.35</v>
      </c>
      <c r="U229">
        <v>-0.5</v>
      </c>
    </row>
    <row r="230" spans="1:21" x14ac:dyDescent="0.25">
      <c r="A230" t="s">
        <v>65</v>
      </c>
      <c r="B230" t="s">
        <v>66</v>
      </c>
      <c r="C230">
        <v>9</v>
      </c>
      <c r="D230">
        <v>3</v>
      </c>
      <c r="E230"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v>52.696518822026903</v>
      </c>
      <c r="P230">
        <v>2762.6616079782798</v>
      </c>
      <c r="Q230">
        <v>6639.4174669028698</v>
      </c>
      <c r="R230">
        <v>17594.4562872926</v>
      </c>
      <c r="S230">
        <v>52.7</v>
      </c>
      <c r="T230">
        <v>0.35</v>
      </c>
      <c r="U230">
        <v>-0.5</v>
      </c>
    </row>
    <row r="231" spans="1:21" x14ac:dyDescent="0.25">
      <c r="A231" t="s">
        <v>65</v>
      </c>
      <c r="B231" t="s">
        <v>66</v>
      </c>
      <c r="C231">
        <v>10</v>
      </c>
      <c r="D231">
        <v>3</v>
      </c>
      <c r="E231"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v>52.698781804415802</v>
      </c>
      <c r="P231">
        <v>2763.0294050072898</v>
      </c>
      <c r="Q231">
        <v>6640.3013818968702</v>
      </c>
      <c r="R231">
        <v>17596.7986620267</v>
      </c>
      <c r="S231">
        <v>52.7</v>
      </c>
      <c r="T231">
        <v>0.35</v>
      </c>
      <c r="U231">
        <v>-0.5</v>
      </c>
    </row>
    <row r="232" spans="1:21" x14ac:dyDescent="0.25">
      <c r="A232" t="s">
        <v>67</v>
      </c>
      <c r="B232" t="s">
        <v>68</v>
      </c>
      <c r="C232">
        <v>1</v>
      </c>
      <c r="D232">
        <v>1</v>
      </c>
      <c r="E232"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v>20.7487283787022</v>
      </c>
      <c r="P232">
        <v>134.09535696500299</v>
      </c>
      <c r="Q232">
        <v>322.26714002644201</v>
      </c>
      <c r="R232">
        <v>854.00792107007203</v>
      </c>
      <c r="S232">
        <v>40.6</v>
      </c>
      <c r="T232">
        <v>0.27</v>
      </c>
      <c r="U232">
        <v>-1.65</v>
      </c>
    </row>
    <row r="233" spans="1:21" x14ac:dyDescent="0.25">
      <c r="A233" t="s">
        <v>67</v>
      </c>
      <c r="B233" t="s">
        <v>68</v>
      </c>
      <c r="C233">
        <v>2</v>
      </c>
      <c r="D233">
        <v>1</v>
      </c>
      <c r="E233"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v>25.445946307790098</v>
      </c>
      <c r="P233">
        <v>249.87710172442101</v>
      </c>
      <c r="Q233">
        <v>600.52175372367401</v>
      </c>
      <c r="R233">
        <v>1591.38264736774</v>
      </c>
      <c r="S233">
        <v>40.6</v>
      </c>
      <c r="T233">
        <v>0.27</v>
      </c>
      <c r="U233">
        <v>-1.65</v>
      </c>
    </row>
    <row r="234" spans="1:21" x14ac:dyDescent="0.25">
      <c r="A234" t="s">
        <v>67</v>
      </c>
      <c r="B234" t="s">
        <v>68</v>
      </c>
      <c r="C234">
        <v>3</v>
      </c>
      <c r="D234">
        <v>1</v>
      </c>
      <c r="E234"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v>29.031706155287299</v>
      </c>
      <c r="P234">
        <v>373.55195768406401</v>
      </c>
      <c r="Q234">
        <v>897.74563250195604</v>
      </c>
      <c r="R234">
        <v>2379.0259261301799</v>
      </c>
      <c r="S234">
        <v>40.6</v>
      </c>
      <c r="T234">
        <v>0.27</v>
      </c>
      <c r="U234">
        <v>-1.65</v>
      </c>
    </row>
    <row r="235" spans="1:21" x14ac:dyDescent="0.25">
      <c r="A235" t="s">
        <v>67</v>
      </c>
      <c r="B235" t="s">
        <v>68</v>
      </c>
      <c r="C235">
        <v>4</v>
      </c>
      <c r="D235">
        <v>1</v>
      </c>
      <c r="E235"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v>31.769001694483102</v>
      </c>
      <c r="P235">
        <v>491.70043460235098</v>
      </c>
      <c r="Q235">
        <v>1181.6881389145699</v>
      </c>
      <c r="R235">
        <v>3131.4735681236002</v>
      </c>
      <c r="S235">
        <v>40.6</v>
      </c>
      <c r="T235">
        <v>0.27</v>
      </c>
      <c r="U235">
        <v>-1.65</v>
      </c>
    </row>
    <row r="236" spans="1:21" x14ac:dyDescent="0.25">
      <c r="A236" t="s">
        <v>67</v>
      </c>
      <c r="B236" t="s">
        <v>68</v>
      </c>
      <c r="C236">
        <v>5</v>
      </c>
      <c r="D236">
        <v>1</v>
      </c>
      <c r="E236"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v>33.858596979044897</v>
      </c>
      <c r="P236">
        <v>597.14531894962295</v>
      </c>
      <c r="Q236">
        <v>1435.1005021620399</v>
      </c>
      <c r="R236">
        <v>3803.0163307293901</v>
      </c>
      <c r="S236">
        <v>40.6</v>
      </c>
      <c r="T236">
        <v>0.27</v>
      </c>
      <c r="U236">
        <v>-1.65</v>
      </c>
    </row>
    <row r="237" spans="1:21" x14ac:dyDescent="0.25">
      <c r="A237" t="s">
        <v>67</v>
      </c>
      <c r="B237" t="s">
        <v>68</v>
      </c>
      <c r="C237">
        <v>6</v>
      </c>
      <c r="D237">
        <v>1</v>
      </c>
      <c r="E237"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v>35.4537511707424</v>
      </c>
      <c r="P237">
        <v>687.16241425896703</v>
      </c>
      <c r="Q237">
        <v>1651.43574683722</v>
      </c>
      <c r="R237">
        <v>4376.3047291186303</v>
      </c>
      <c r="S237">
        <v>40.6</v>
      </c>
      <c r="T237">
        <v>0.27</v>
      </c>
      <c r="U237">
        <v>-1.65</v>
      </c>
    </row>
    <row r="238" spans="1:21" x14ac:dyDescent="0.25">
      <c r="A238" t="s">
        <v>67</v>
      </c>
      <c r="B238" t="s">
        <v>68</v>
      </c>
      <c r="C238">
        <v>7</v>
      </c>
      <c r="D238">
        <v>1</v>
      </c>
      <c r="E238"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v>36.671459170989699</v>
      </c>
      <c r="P238">
        <v>761.71181665508595</v>
      </c>
      <c r="Q238">
        <v>1830.59797321578</v>
      </c>
      <c r="R238">
        <v>4851.0846290218196</v>
      </c>
      <c r="S238">
        <v>40.6</v>
      </c>
      <c r="T238">
        <v>0.27</v>
      </c>
      <c r="U238">
        <v>-1.65</v>
      </c>
    </row>
    <row r="239" spans="1:21" x14ac:dyDescent="0.25">
      <c r="A239" t="s">
        <v>67</v>
      </c>
      <c r="B239" t="s">
        <v>68</v>
      </c>
      <c r="C239">
        <v>8</v>
      </c>
      <c r="D239">
        <v>1</v>
      </c>
      <c r="E239"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v>37.601032488468398</v>
      </c>
      <c r="P239">
        <v>822.14611713593297</v>
      </c>
      <c r="Q239">
        <v>1975.8378205622</v>
      </c>
      <c r="R239">
        <v>5235.9702244898399</v>
      </c>
      <c r="S239">
        <v>40.6</v>
      </c>
      <c r="T239">
        <v>0.27</v>
      </c>
      <c r="U239">
        <v>-1.65</v>
      </c>
    </row>
    <row r="240" spans="1:21" x14ac:dyDescent="0.25">
      <c r="A240" t="s">
        <v>67</v>
      </c>
      <c r="B240" t="s">
        <v>68</v>
      </c>
      <c r="C240">
        <v>9</v>
      </c>
      <c r="D240">
        <v>1</v>
      </c>
      <c r="E240"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v>38.3106496975144</v>
      </c>
      <c r="P240">
        <v>870.39069088429505</v>
      </c>
      <c r="Q240">
        <v>2091.7824822982302</v>
      </c>
      <c r="R240">
        <v>5543.2235780903202</v>
      </c>
      <c r="S240">
        <v>40.6</v>
      </c>
      <c r="T240">
        <v>0.27</v>
      </c>
      <c r="U240">
        <v>-1.65</v>
      </c>
    </row>
    <row r="241" spans="1:21" x14ac:dyDescent="0.25">
      <c r="A241" t="s">
        <v>67</v>
      </c>
      <c r="B241" t="s">
        <v>68</v>
      </c>
      <c r="C241">
        <v>10</v>
      </c>
      <c r="D241">
        <v>1</v>
      </c>
      <c r="E241"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v>38.8523569237286</v>
      </c>
      <c r="P241">
        <v>908.47438830563499</v>
      </c>
      <c r="Q241">
        <v>2183.30783058312</v>
      </c>
      <c r="R241">
        <v>5785.76575104526</v>
      </c>
      <c r="S241">
        <v>40.6</v>
      </c>
      <c r="T241">
        <v>0.27</v>
      </c>
      <c r="U241">
        <v>-1.65</v>
      </c>
    </row>
    <row r="242" spans="1:21" x14ac:dyDescent="0.25">
      <c r="A242" t="s">
        <v>69</v>
      </c>
      <c r="B242" t="s">
        <v>70</v>
      </c>
      <c r="C242">
        <v>1</v>
      </c>
      <c r="D242">
        <v>1</v>
      </c>
      <c r="E242"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v>8.1033821062960296</v>
      </c>
      <c r="P242">
        <v>4.3165057367255804</v>
      </c>
      <c r="Q242">
        <v>10.3737220301023</v>
      </c>
      <c r="R242">
        <v>27.4903633797712</v>
      </c>
      <c r="S242">
        <v>37.700000000000003</v>
      </c>
      <c r="T242">
        <v>0.24199999999999999</v>
      </c>
      <c r="U242">
        <v>0</v>
      </c>
    </row>
    <row r="243" spans="1:21" x14ac:dyDescent="0.25">
      <c r="A243" t="s">
        <v>69</v>
      </c>
      <c r="B243" t="s">
        <v>70</v>
      </c>
      <c r="C243">
        <v>2</v>
      </c>
      <c r="D243">
        <v>1</v>
      </c>
      <c r="E243"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v>14.4649922879067</v>
      </c>
      <c r="P243">
        <v>23.169827404021401</v>
      </c>
      <c r="Q243">
        <v>55.683315078157698</v>
      </c>
      <c r="R243">
        <v>147.56078495711799</v>
      </c>
      <c r="S243">
        <v>37.700000000000003</v>
      </c>
      <c r="T243">
        <v>0.24199999999999999</v>
      </c>
      <c r="U243">
        <v>0</v>
      </c>
    </row>
    <row r="244" spans="1:21" x14ac:dyDescent="0.25">
      <c r="A244" t="s">
        <v>69</v>
      </c>
      <c r="B244" t="s">
        <v>70</v>
      </c>
      <c r="C244">
        <v>3</v>
      </c>
      <c r="D244">
        <v>1</v>
      </c>
      <c r="E244"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v>19.459213660156699</v>
      </c>
      <c r="P244">
        <v>54.759986342720197</v>
      </c>
      <c r="Q244">
        <v>131.602947230762</v>
      </c>
      <c r="R244">
        <v>348.74781016152002</v>
      </c>
      <c r="S244">
        <v>37.700000000000003</v>
      </c>
      <c r="T244">
        <v>0.24199999999999999</v>
      </c>
      <c r="U244">
        <v>0</v>
      </c>
    </row>
    <row r="245" spans="1:21" x14ac:dyDescent="0.25">
      <c r="A245" t="s">
        <v>69</v>
      </c>
      <c r="B245" t="s">
        <v>70</v>
      </c>
      <c r="C245">
        <v>4</v>
      </c>
      <c r="D245">
        <v>1</v>
      </c>
      <c r="E245"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v>23.379958000502999</v>
      </c>
      <c r="P245">
        <v>93.249563450422599</v>
      </c>
      <c r="Q245">
        <v>224.10373335838199</v>
      </c>
      <c r="R245">
        <v>593.87489339971205</v>
      </c>
      <c r="S245">
        <v>37.700000000000003</v>
      </c>
      <c r="T245">
        <v>0.24199999999999999</v>
      </c>
      <c r="U245">
        <v>0</v>
      </c>
    </row>
    <row r="246" spans="1:21" x14ac:dyDescent="0.25">
      <c r="A246" t="s">
        <v>69</v>
      </c>
      <c r="B246" t="s">
        <v>70</v>
      </c>
      <c r="C246">
        <v>5</v>
      </c>
      <c r="D246">
        <v>1</v>
      </c>
      <c r="E246"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v>26.457962565493201</v>
      </c>
      <c r="P246">
        <v>133.47918712702</v>
      </c>
      <c r="Q246">
        <v>320.78631849800502</v>
      </c>
      <c r="R246">
        <v>850.08374401971196</v>
      </c>
      <c r="S246">
        <v>37.700000000000003</v>
      </c>
      <c r="T246">
        <v>0.24199999999999999</v>
      </c>
      <c r="U246">
        <v>0</v>
      </c>
    </row>
    <row r="247" spans="1:21" x14ac:dyDescent="0.25">
      <c r="A247" t="s">
        <v>69</v>
      </c>
      <c r="B247" t="s">
        <v>70</v>
      </c>
      <c r="C247">
        <v>6</v>
      </c>
      <c r="D247">
        <v>1</v>
      </c>
      <c r="E247"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v>28.874369063771599</v>
      </c>
      <c r="P247">
        <v>171.98329262698999</v>
      </c>
      <c r="Q247">
        <v>413.32202025231902</v>
      </c>
      <c r="R247">
        <v>1095.3033536686501</v>
      </c>
      <c r="S247">
        <v>37.700000000000003</v>
      </c>
      <c r="T247">
        <v>0.24199999999999999</v>
      </c>
      <c r="U247">
        <v>0</v>
      </c>
    </row>
    <row r="248" spans="1:21" x14ac:dyDescent="0.25">
      <c r="A248" t="s">
        <v>69</v>
      </c>
      <c r="B248" t="s">
        <v>70</v>
      </c>
      <c r="C248">
        <v>7</v>
      </c>
      <c r="D248">
        <v>1</v>
      </c>
      <c r="E248"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v>30.771383912721301</v>
      </c>
      <c r="P248">
        <v>206.836120365917</v>
      </c>
      <c r="Q248">
        <v>497.08272137927798</v>
      </c>
      <c r="R248">
        <v>1317.26921165509</v>
      </c>
      <c r="S248">
        <v>37.700000000000003</v>
      </c>
      <c r="T248">
        <v>0.24199999999999999</v>
      </c>
      <c r="U248">
        <v>0</v>
      </c>
    </row>
    <row r="249" spans="1:21" x14ac:dyDescent="0.25">
      <c r="A249" t="s">
        <v>69</v>
      </c>
      <c r="B249" t="s">
        <v>70</v>
      </c>
      <c r="C249">
        <v>8</v>
      </c>
      <c r="D249">
        <v>1</v>
      </c>
      <c r="E249"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v>32.260647138796898</v>
      </c>
      <c r="P249">
        <v>237.220336363054</v>
      </c>
      <c r="Q249">
        <v>570.10414891385301</v>
      </c>
      <c r="R249">
        <v>1510.77599462171</v>
      </c>
      <c r="S249">
        <v>37.700000000000003</v>
      </c>
      <c r="T249">
        <v>0.24199999999999999</v>
      </c>
      <c r="U249">
        <v>0</v>
      </c>
    </row>
    <row r="250" spans="1:21" x14ac:dyDescent="0.25">
      <c r="A250" t="s">
        <v>69</v>
      </c>
      <c r="B250" t="s">
        <v>70</v>
      </c>
      <c r="C250">
        <v>9</v>
      </c>
      <c r="D250">
        <v>1</v>
      </c>
      <c r="E250"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v>33.429802434428296</v>
      </c>
      <c r="P250">
        <v>263.01956122966197</v>
      </c>
      <c r="Q250">
        <v>632.10661194343197</v>
      </c>
      <c r="R250">
        <v>1675.0825216501</v>
      </c>
      <c r="S250">
        <v>37.700000000000003</v>
      </c>
      <c r="T250">
        <v>0.24199999999999999</v>
      </c>
      <c r="U250">
        <v>0</v>
      </c>
    </row>
    <row r="251" spans="1:21" x14ac:dyDescent="0.25">
      <c r="A251" t="s">
        <v>69</v>
      </c>
      <c r="B251" t="s">
        <v>70</v>
      </c>
      <c r="C251">
        <v>10</v>
      </c>
      <c r="D251">
        <v>1</v>
      </c>
      <c r="E251"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v>34.347655021781101</v>
      </c>
      <c r="P251">
        <v>284.51264145637299</v>
      </c>
      <c r="Q251">
        <v>683.76025343997298</v>
      </c>
      <c r="R251">
        <v>1811.96467161593</v>
      </c>
      <c r="S251">
        <v>37.700000000000003</v>
      </c>
      <c r="T251">
        <v>0.24199999999999999</v>
      </c>
      <c r="U251">
        <v>0</v>
      </c>
    </row>
    <row r="252" spans="1:21" x14ac:dyDescent="0.25">
      <c r="A252" s="2" t="s">
        <v>71</v>
      </c>
      <c r="B252" t="s">
        <v>72</v>
      </c>
      <c r="C252">
        <v>1</v>
      </c>
      <c r="D252">
        <v>1</v>
      </c>
      <c r="E252">
        <v>1</v>
      </c>
      <c r="F252">
        <v>2.6676279740000002</v>
      </c>
      <c r="G252">
        <v>7.0692141299999998</v>
      </c>
      <c r="H252">
        <v>1.1099999999814001</v>
      </c>
      <c r="I252">
        <v>1.1099999999814E-3</v>
      </c>
      <c r="J252">
        <v>1.1099999999814E-6</v>
      </c>
      <c r="K252">
        <v>2.4471281999589901E-3</v>
      </c>
      <c r="L252" s="3">
        <v>1.0999999999999999E-2</v>
      </c>
      <c r="M252" s="3">
        <v>3.01</v>
      </c>
      <c r="N252">
        <v>4.6318829138707498</v>
      </c>
      <c r="O252" s="2">
        <v>4.11570684820982</v>
      </c>
      <c r="P252" s="2">
        <v>0.77780446133876502</v>
      </c>
      <c r="Q252" s="2">
        <v>1.86927291838204</v>
      </c>
      <c r="R252" s="2">
        <v>4.9535732337123903</v>
      </c>
      <c r="S252">
        <v>9</v>
      </c>
      <c r="T252">
        <v>0.32</v>
      </c>
      <c r="U252">
        <v>-0.91</v>
      </c>
    </row>
    <row r="253" spans="1:21" x14ac:dyDescent="0.25">
      <c r="A253" s="2" t="s">
        <v>71</v>
      </c>
      <c r="B253" t="s">
        <v>72</v>
      </c>
      <c r="C253">
        <v>2</v>
      </c>
      <c r="D253">
        <v>1</v>
      </c>
      <c r="E253">
        <v>2</v>
      </c>
      <c r="F253">
        <v>3.8692621960000002</v>
      </c>
      <c r="G253">
        <v>10.25354482</v>
      </c>
      <c r="H253">
        <v>1.6099999997556</v>
      </c>
      <c r="I253">
        <v>1.6099999997555999E-3</v>
      </c>
      <c r="J253">
        <v>1.6099999997555999E-6</v>
      </c>
      <c r="K253">
        <v>3.54943819946119E-3</v>
      </c>
      <c r="L253" s="3">
        <v>1.0999999999999999E-2</v>
      </c>
      <c r="M253" s="3">
        <v>3.01</v>
      </c>
      <c r="N253">
        <v>5.2409862486962604</v>
      </c>
      <c r="O253" s="2">
        <v>5.4532752310419399</v>
      </c>
      <c r="P253" s="2">
        <v>1.81439362626141</v>
      </c>
      <c r="Q253" s="2">
        <v>4.3604749489579602</v>
      </c>
      <c r="R253" s="2">
        <v>11.5552586147386</v>
      </c>
      <c r="S253">
        <v>9</v>
      </c>
      <c r="T253">
        <v>0.32</v>
      </c>
      <c r="U253">
        <v>-0.91</v>
      </c>
    </row>
    <row r="254" spans="1:21" x14ac:dyDescent="0.25">
      <c r="A254" s="2" t="s">
        <v>71</v>
      </c>
      <c r="B254" t="s">
        <v>72</v>
      </c>
      <c r="C254">
        <v>3</v>
      </c>
      <c r="D254">
        <v>1</v>
      </c>
      <c r="E254">
        <v>3</v>
      </c>
      <c r="F254">
        <v>5.0708964190000003</v>
      </c>
      <c r="G254">
        <v>13.43787551</v>
      </c>
      <c r="H254">
        <v>2.1099999999459</v>
      </c>
      <c r="I254">
        <v>2.1099999999458999E-3</v>
      </c>
      <c r="J254">
        <v>2.1099999999459001E-6</v>
      </c>
      <c r="K254">
        <v>4.6517481998807298E-3</v>
      </c>
      <c r="L254" s="3">
        <v>1.0999999999999999E-2</v>
      </c>
      <c r="M254" s="3">
        <v>3.01</v>
      </c>
      <c r="N254">
        <v>5.7337022923298298</v>
      </c>
      <c r="O254" s="2">
        <v>6.4245492242556903</v>
      </c>
      <c r="P254" s="2">
        <v>2.9716598373956198</v>
      </c>
      <c r="Q254" s="2">
        <v>7.1416963167402496</v>
      </c>
      <c r="R254" s="2">
        <v>18.925495239361702</v>
      </c>
      <c r="S254">
        <v>9</v>
      </c>
      <c r="T254">
        <v>0.32</v>
      </c>
      <c r="U254">
        <v>-0.91</v>
      </c>
    </row>
    <row r="255" spans="1:21" x14ac:dyDescent="0.25">
      <c r="A255" s="2" t="s">
        <v>71</v>
      </c>
      <c r="B255" t="s">
        <v>72</v>
      </c>
      <c r="C255">
        <v>4</v>
      </c>
      <c r="D255">
        <v>1</v>
      </c>
      <c r="E255">
        <v>4</v>
      </c>
      <c r="F255">
        <v>5.0829127610000002</v>
      </c>
      <c r="G255">
        <v>13.469718820000001</v>
      </c>
      <c r="H255">
        <v>2.1149999998520999</v>
      </c>
      <c r="I255">
        <v>2.1149999998521002E-3</v>
      </c>
      <c r="J255">
        <v>2.1149999998521001E-6</v>
      </c>
      <c r="K255">
        <v>4.6627712996739398E-3</v>
      </c>
      <c r="L255" s="3">
        <v>1.0999999999999999E-2</v>
      </c>
      <c r="M255" s="3">
        <v>3.01</v>
      </c>
      <c r="N255">
        <v>5.7382126697745797</v>
      </c>
      <c r="O255" s="2">
        <v>7.1298388991625803</v>
      </c>
      <c r="P255" s="2">
        <v>4.0659556123430098</v>
      </c>
      <c r="Q255" s="2">
        <v>9.7715828222615002</v>
      </c>
      <c r="R255" s="2">
        <v>25.894694478992999</v>
      </c>
      <c r="S255">
        <v>9</v>
      </c>
      <c r="T255">
        <v>0.32</v>
      </c>
      <c r="U255">
        <v>-0.91</v>
      </c>
    </row>
    <row r="256" spans="1:21" x14ac:dyDescent="0.25">
      <c r="A256" s="2" t="s">
        <v>71</v>
      </c>
      <c r="B256" t="s">
        <v>72</v>
      </c>
      <c r="C256">
        <v>5</v>
      </c>
      <c r="D256">
        <v>1</v>
      </c>
      <c r="E256">
        <v>5</v>
      </c>
      <c r="F256">
        <v>5.0949291030000001</v>
      </c>
      <c r="G256">
        <v>13.501562119999999</v>
      </c>
      <c r="H256">
        <v>2.1199999997583001</v>
      </c>
      <c r="I256">
        <v>2.1199999997583E-3</v>
      </c>
      <c r="J256">
        <v>2.1199999997583E-6</v>
      </c>
      <c r="K256">
        <v>4.6737943994671401E-3</v>
      </c>
      <c r="L256" s="3">
        <v>1.0999999999999999E-2</v>
      </c>
      <c r="M256" s="3">
        <v>3.01</v>
      </c>
      <c r="N256">
        <v>5.7427159324658703</v>
      </c>
      <c r="O256" s="2">
        <v>7.6419843174542299</v>
      </c>
      <c r="P256" s="2">
        <v>5.0100628373165703</v>
      </c>
      <c r="Q256" s="2">
        <v>12.0405259248175</v>
      </c>
      <c r="R256" s="2">
        <v>31.907393700766399</v>
      </c>
      <c r="S256">
        <v>9</v>
      </c>
      <c r="T256">
        <v>0.32</v>
      </c>
      <c r="U256">
        <v>-0.91</v>
      </c>
    </row>
    <row r="257" spans="1:21" x14ac:dyDescent="0.25">
      <c r="A257" s="2" t="s">
        <v>71</v>
      </c>
      <c r="B257" t="s">
        <v>72</v>
      </c>
      <c r="C257">
        <v>6</v>
      </c>
      <c r="D257">
        <v>1</v>
      </c>
      <c r="E257">
        <v>6</v>
      </c>
      <c r="F257">
        <v>5.1069454460000001</v>
      </c>
      <c r="G257">
        <v>13.53340543</v>
      </c>
      <c r="H257">
        <v>2.1250000000806</v>
      </c>
      <c r="I257">
        <v>2.1250000000806002E-3</v>
      </c>
      <c r="J257">
        <v>2.1250000000805998E-6</v>
      </c>
      <c r="K257">
        <v>4.68481750017769E-3</v>
      </c>
      <c r="L257" s="3">
        <v>1.0999999999999999E-2</v>
      </c>
      <c r="M257" s="3">
        <v>3.01</v>
      </c>
      <c r="N257">
        <v>5.7472121087410004</v>
      </c>
      <c r="O257" s="2">
        <v>8.0138782197884204</v>
      </c>
      <c r="P257" s="2">
        <v>5.7804191102110698</v>
      </c>
      <c r="Q257" s="2">
        <v>13.8918988469384</v>
      </c>
      <c r="R257" s="2">
        <v>36.813531944386803</v>
      </c>
      <c r="S257">
        <v>9</v>
      </c>
      <c r="T257">
        <v>0.32</v>
      </c>
      <c r="U257">
        <v>-0.91</v>
      </c>
    </row>
    <row r="258" spans="1:21" x14ac:dyDescent="0.25">
      <c r="A258" s="2" t="s">
        <v>71</v>
      </c>
      <c r="B258" t="s">
        <v>72</v>
      </c>
      <c r="C258">
        <v>7</v>
      </c>
      <c r="D258">
        <v>1</v>
      </c>
      <c r="E258">
        <v>7</v>
      </c>
      <c r="F258">
        <v>5.118961788</v>
      </c>
      <c r="G258">
        <v>13.565248739999999</v>
      </c>
      <c r="H258">
        <v>2.1299999999867998</v>
      </c>
      <c r="I258">
        <v>2.1299999999868E-3</v>
      </c>
      <c r="J258">
        <v>2.1299999999868002E-6</v>
      </c>
      <c r="K258">
        <v>4.6958405999709E-3</v>
      </c>
      <c r="L258" s="3">
        <v>1.0999999999999999E-2</v>
      </c>
      <c r="M258" s="3">
        <v>3.01</v>
      </c>
      <c r="N258">
        <v>5.7517012256396196</v>
      </c>
      <c r="O258" s="2">
        <v>8.2839286188619692</v>
      </c>
      <c r="P258" s="2">
        <v>6.3868114122370701</v>
      </c>
      <c r="Q258" s="2">
        <v>15.3492223317401</v>
      </c>
      <c r="R258" s="2">
        <v>40.675439179111301</v>
      </c>
      <c r="S258">
        <v>9</v>
      </c>
      <c r="T258">
        <v>0.32</v>
      </c>
      <c r="U258">
        <v>-0.91</v>
      </c>
    </row>
    <row r="259" spans="1:21" x14ac:dyDescent="0.25">
      <c r="A259" s="2" t="s">
        <v>71</v>
      </c>
      <c r="B259" t="s">
        <v>72</v>
      </c>
      <c r="C259">
        <v>8</v>
      </c>
      <c r="D259">
        <v>1</v>
      </c>
      <c r="E259">
        <v>8</v>
      </c>
      <c r="F259">
        <v>5.1309781299999999</v>
      </c>
      <c r="G259">
        <v>13.597092050000001</v>
      </c>
      <c r="H259">
        <v>2.134999999893</v>
      </c>
      <c r="I259">
        <v>2.1349999998929998E-3</v>
      </c>
      <c r="J259">
        <v>2.1349999998930001E-6</v>
      </c>
      <c r="K259">
        <v>4.7068636997641099E-3</v>
      </c>
      <c r="L259" s="3">
        <v>1.0999999999999999E-2</v>
      </c>
      <c r="M259" s="3">
        <v>3.01</v>
      </c>
      <c r="N259">
        <v>5.7561833111503402</v>
      </c>
      <c r="O259" s="2">
        <v>8.4800254561105906</v>
      </c>
      <c r="P259" s="2">
        <v>6.8528010659645897</v>
      </c>
      <c r="Q259" s="2">
        <v>16.469120562279699</v>
      </c>
      <c r="R259" s="2">
        <v>43.643169490041302</v>
      </c>
      <c r="S259">
        <v>9</v>
      </c>
      <c r="T259">
        <v>0.32</v>
      </c>
      <c r="U259">
        <v>-0.91</v>
      </c>
    </row>
    <row r="260" spans="1:21" x14ac:dyDescent="0.25">
      <c r="A260" s="2" t="s">
        <v>71</v>
      </c>
      <c r="B260" t="s">
        <v>72</v>
      </c>
      <c r="C260">
        <v>9</v>
      </c>
      <c r="D260">
        <v>1</v>
      </c>
      <c r="E260">
        <v>9</v>
      </c>
      <c r="F260">
        <v>5.1429944729999999</v>
      </c>
      <c r="G260">
        <v>13.628935350000001</v>
      </c>
      <c r="H260">
        <v>2.1400000002152999</v>
      </c>
      <c r="I260">
        <v>2.1400000002153E-3</v>
      </c>
      <c r="J260">
        <v>2.1400000002152999E-6</v>
      </c>
      <c r="K260">
        <v>4.7178868004746502E-3</v>
      </c>
      <c r="L260" s="3">
        <v>1.0999999999999999E-2</v>
      </c>
      <c r="M260" s="3">
        <v>3.01</v>
      </c>
      <c r="N260">
        <v>5.7606583930870299</v>
      </c>
      <c r="O260" s="2">
        <v>8.6224209856518694</v>
      </c>
      <c r="P260" s="2">
        <v>7.2050441633690196</v>
      </c>
      <c r="Q260" s="2">
        <v>17.3156552832709</v>
      </c>
      <c r="R260" s="2">
        <v>45.8864865006679</v>
      </c>
      <c r="S260">
        <v>9</v>
      </c>
      <c r="T260">
        <v>0.32</v>
      </c>
      <c r="U260">
        <v>-0.91</v>
      </c>
    </row>
    <row r="261" spans="1:21" x14ac:dyDescent="0.25">
      <c r="A261" s="2" t="s">
        <v>71</v>
      </c>
      <c r="B261" t="s">
        <v>72</v>
      </c>
      <c r="C261">
        <v>10</v>
      </c>
      <c r="D261">
        <v>1</v>
      </c>
      <c r="E261">
        <v>10</v>
      </c>
      <c r="F261">
        <v>5.1550108149999998</v>
      </c>
      <c r="G261">
        <v>13.66077866</v>
      </c>
      <c r="H261">
        <v>2.1450000001215002</v>
      </c>
      <c r="I261">
        <v>2.1450000001214998E-3</v>
      </c>
      <c r="J261">
        <v>2.1450000001214999E-6</v>
      </c>
      <c r="K261">
        <v>4.7289099002678602E-3</v>
      </c>
      <c r="L261" s="3">
        <v>1.0999999999999999E-2</v>
      </c>
      <c r="M261" s="3">
        <v>3.01</v>
      </c>
      <c r="N261">
        <v>5.76512649797567</v>
      </c>
      <c r="O261" s="2">
        <v>8.7258213623118692</v>
      </c>
      <c r="P261" s="2">
        <v>7.4682646853721302</v>
      </c>
      <c r="Q261" s="2">
        <v>17.948244857899901</v>
      </c>
      <c r="R261" s="2">
        <v>47.562848873434703</v>
      </c>
      <c r="S261">
        <v>9</v>
      </c>
      <c r="T261">
        <v>0.32</v>
      </c>
      <c r="U261">
        <v>-0.91</v>
      </c>
    </row>
    <row r="262" spans="1:21" x14ac:dyDescent="0.25">
      <c r="A262" t="s">
        <v>73</v>
      </c>
      <c r="B262" t="s">
        <v>74</v>
      </c>
      <c r="C262">
        <v>1</v>
      </c>
      <c r="D262">
        <v>2</v>
      </c>
      <c r="E262"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v>26.535605903070199</v>
      </c>
      <c r="P262">
        <v>135.784206817041</v>
      </c>
      <c r="Q262">
        <v>326.325899584333</v>
      </c>
      <c r="R262">
        <v>864.763633898482</v>
      </c>
      <c r="S262">
        <v>43</v>
      </c>
      <c r="T262">
        <v>0.48</v>
      </c>
      <c r="U262">
        <v>0</v>
      </c>
    </row>
    <row r="263" spans="1:21" x14ac:dyDescent="0.25">
      <c r="A263" t="s">
        <v>73</v>
      </c>
      <c r="B263" t="s">
        <v>74</v>
      </c>
      <c r="C263">
        <v>2</v>
      </c>
      <c r="D263">
        <v>2</v>
      </c>
      <c r="E263"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v>36.695900628394902</v>
      </c>
      <c r="P263">
        <v>336.55587698181699</v>
      </c>
      <c r="Q263">
        <v>808.834119158416</v>
      </c>
      <c r="R263">
        <v>2143.4104157697998</v>
      </c>
      <c r="S263">
        <v>43</v>
      </c>
      <c r="T263">
        <v>0.48</v>
      </c>
      <c r="U263">
        <v>0</v>
      </c>
    </row>
    <row r="264" spans="1:21" x14ac:dyDescent="0.25">
      <c r="A264" t="s">
        <v>73</v>
      </c>
      <c r="B264" t="s">
        <v>74</v>
      </c>
      <c r="C264">
        <v>3</v>
      </c>
      <c r="D264">
        <v>2</v>
      </c>
      <c r="E264"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v>40.586205198132298</v>
      </c>
      <c r="P264">
        <v>446.25971797324098</v>
      </c>
      <c r="Q264">
        <v>1072.4818985177601</v>
      </c>
      <c r="R264">
        <v>2842.07703107207</v>
      </c>
      <c r="S264">
        <v>43</v>
      </c>
      <c r="T264">
        <v>0.48</v>
      </c>
      <c r="U264">
        <v>0</v>
      </c>
    </row>
    <row r="265" spans="1:21" x14ac:dyDescent="0.25">
      <c r="A265" t="s">
        <v>73</v>
      </c>
      <c r="B265" t="s">
        <v>74</v>
      </c>
      <c r="C265">
        <v>4</v>
      </c>
      <c r="D265">
        <v>2</v>
      </c>
      <c r="E265"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v>42.075775142161099</v>
      </c>
      <c r="P265">
        <v>493.64868805058802</v>
      </c>
      <c r="Q265">
        <v>1186.3703149497401</v>
      </c>
      <c r="R265">
        <v>3143.8813346168199</v>
      </c>
      <c r="S265">
        <v>43</v>
      </c>
      <c r="T265">
        <v>0.48</v>
      </c>
      <c r="U265">
        <v>0</v>
      </c>
    </row>
    <row r="266" spans="1:21" x14ac:dyDescent="0.25">
      <c r="A266" t="s">
        <v>73</v>
      </c>
      <c r="B266" t="s">
        <v>74</v>
      </c>
      <c r="C266">
        <v>5</v>
      </c>
      <c r="D266">
        <v>2</v>
      </c>
      <c r="E266"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v>42.646120876892098</v>
      </c>
      <c r="P266">
        <v>512.61431466428701</v>
      </c>
      <c r="Q266">
        <v>1231.9498069317201</v>
      </c>
      <c r="R266">
        <v>3264.6669883690502</v>
      </c>
      <c r="S266">
        <v>43</v>
      </c>
      <c r="T266">
        <v>0.48</v>
      </c>
      <c r="U266">
        <v>0</v>
      </c>
    </row>
    <row r="267" spans="1:21" x14ac:dyDescent="0.25">
      <c r="A267" t="s">
        <v>73</v>
      </c>
      <c r="B267" t="s">
        <v>74</v>
      </c>
      <c r="C267">
        <v>6</v>
      </c>
      <c r="D267">
        <v>2</v>
      </c>
      <c r="E267"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v>42.864502201266902</v>
      </c>
      <c r="P267">
        <v>519.99819037492</v>
      </c>
      <c r="Q267">
        <v>1249.69524242951</v>
      </c>
      <c r="R267">
        <v>3311.6923924382099</v>
      </c>
      <c r="S267">
        <v>43</v>
      </c>
      <c r="T267">
        <v>0.48</v>
      </c>
      <c r="U267">
        <v>0</v>
      </c>
    </row>
    <row r="268" spans="1:21" x14ac:dyDescent="0.25">
      <c r="A268" t="s">
        <v>73</v>
      </c>
      <c r="B268" t="s">
        <v>74</v>
      </c>
      <c r="C268">
        <v>7</v>
      </c>
      <c r="D268">
        <v>2</v>
      </c>
      <c r="E268"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v>42.948118856799802</v>
      </c>
      <c r="P268">
        <v>522.84341833367</v>
      </c>
      <c r="Q268">
        <v>1256.5330890018499</v>
      </c>
      <c r="R268">
        <v>3329.8126858549099</v>
      </c>
      <c r="S268">
        <v>43</v>
      </c>
      <c r="T268">
        <v>0.48</v>
      </c>
      <c r="U268">
        <v>0</v>
      </c>
    </row>
    <row r="269" spans="1:21" x14ac:dyDescent="0.25">
      <c r="A269" t="s">
        <v>73</v>
      </c>
      <c r="B269" t="s">
        <v>74</v>
      </c>
      <c r="C269">
        <v>8</v>
      </c>
      <c r="D269">
        <v>2</v>
      </c>
      <c r="E269"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v>42.980135079352401</v>
      </c>
      <c r="P269">
        <v>523.93547948044704</v>
      </c>
      <c r="Q269">
        <v>1259.157605096</v>
      </c>
      <c r="R269">
        <v>3336.7676535044102</v>
      </c>
      <c r="S269">
        <v>43</v>
      </c>
      <c r="T269">
        <v>0.48</v>
      </c>
      <c r="U269">
        <v>0</v>
      </c>
    </row>
    <row r="270" spans="1:21" x14ac:dyDescent="0.25">
      <c r="A270" t="s">
        <v>73</v>
      </c>
      <c r="B270" t="s">
        <v>74</v>
      </c>
      <c r="C270">
        <v>9</v>
      </c>
      <c r="D270">
        <v>2</v>
      </c>
      <c r="E270"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v>42.992393863203603</v>
      </c>
      <c r="P270">
        <v>524.35400980298004</v>
      </c>
      <c r="Q270">
        <v>1260.1634458134599</v>
      </c>
      <c r="R270">
        <v>3339.4331314056599</v>
      </c>
      <c r="S270">
        <v>43</v>
      </c>
      <c r="T270">
        <v>0.48</v>
      </c>
      <c r="U270">
        <v>0</v>
      </c>
    </row>
    <row r="271" spans="1:21" x14ac:dyDescent="0.25">
      <c r="A271" t="s">
        <v>73</v>
      </c>
      <c r="B271" t="s">
        <v>74</v>
      </c>
      <c r="C271">
        <v>10</v>
      </c>
      <c r="D271">
        <v>2</v>
      </c>
      <c r="E271"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v>42.997087664330898</v>
      </c>
      <c r="P271">
        <v>524.51431896899305</v>
      </c>
      <c r="Q271">
        <v>1260.54871177359</v>
      </c>
      <c r="R271">
        <v>3340.4540862000299</v>
      </c>
      <c r="S271">
        <v>43</v>
      </c>
      <c r="T271">
        <v>0.48</v>
      </c>
      <c r="U271">
        <v>0</v>
      </c>
    </row>
    <row r="272" spans="1:21" x14ac:dyDescent="0.25">
      <c r="A272" t="s">
        <v>75</v>
      </c>
      <c r="B272" t="s">
        <v>76</v>
      </c>
      <c r="C272">
        <v>1</v>
      </c>
      <c r="D272">
        <v>2</v>
      </c>
      <c r="E272"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v>23.5034970272329</v>
      </c>
      <c r="P272">
        <v>44.509294570370898</v>
      </c>
      <c r="Q272">
        <v>106.96778315397999</v>
      </c>
      <c r="R272">
        <v>283.46462535804602</v>
      </c>
      <c r="S272">
        <v>122</v>
      </c>
      <c r="T272">
        <v>0.107</v>
      </c>
      <c r="U272">
        <v>0</v>
      </c>
    </row>
    <row r="273" spans="1:21" x14ac:dyDescent="0.25">
      <c r="A273" t="s">
        <v>75</v>
      </c>
      <c r="B273" t="s">
        <v>76</v>
      </c>
      <c r="C273">
        <v>2</v>
      </c>
      <c r="D273">
        <v>2</v>
      </c>
      <c r="E273"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v>42.479007394554699</v>
      </c>
      <c r="P273">
        <v>278.792139555956</v>
      </c>
      <c r="Q273">
        <v>670.01235173265104</v>
      </c>
      <c r="R273">
        <v>1775.5327320915301</v>
      </c>
      <c r="S273">
        <v>122</v>
      </c>
      <c r="T273">
        <v>0.107</v>
      </c>
      <c r="U273">
        <v>0</v>
      </c>
    </row>
    <row r="274" spans="1:21" x14ac:dyDescent="0.25">
      <c r="A274" t="s">
        <v>75</v>
      </c>
      <c r="B274" t="s">
        <v>76</v>
      </c>
      <c r="C274">
        <v>3</v>
      </c>
      <c r="D274">
        <v>2</v>
      </c>
      <c r="E274"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v>57.798855044593097</v>
      </c>
      <c r="P274">
        <v>724.25189217385002</v>
      </c>
      <c r="Q274">
        <v>1740.57171875475</v>
      </c>
      <c r="R274">
        <v>4612.5150547000803</v>
      </c>
      <c r="S274">
        <v>122</v>
      </c>
      <c r="T274">
        <v>0.107</v>
      </c>
      <c r="U274">
        <v>0</v>
      </c>
    </row>
    <row r="275" spans="1:21" x14ac:dyDescent="0.25">
      <c r="A275" t="s">
        <v>75</v>
      </c>
      <c r="B275" t="s">
        <v>76</v>
      </c>
      <c r="C275">
        <v>4</v>
      </c>
      <c r="D275">
        <v>2</v>
      </c>
      <c r="E275"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v>70.167309303645197</v>
      </c>
      <c r="P275">
        <v>1321.16773813174</v>
      </c>
      <c r="Q275">
        <v>3175.12073571675</v>
      </c>
      <c r="R275">
        <v>8414.0699496493799</v>
      </c>
      <c r="S275">
        <v>122</v>
      </c>
      <c r="T275">
        <v>0.107</v>
      </c>
      <c r="U275">
        <v>0</v>
      </c>
    </row>
    <row r="276" spans="1:21" x14ac:dyDescent="0.25">
      <c r="A276" t="s">
        <v>75</v>
      </c>
      <c r="B276" t="s">
        <v>76</v>
      </c>
      <c r="C276">
        <v>5</v>
      </c>
      <c r="D276">
        <v>2</v>
      </c>
      <c r="E276"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v>80.152960874917795</v>
      </c>
      <c r="P276">
        <v>1995.6789455852499</v>
      </c>
      <c r="Q276">
        <v>4796.1522364461598</v>
      </c>
      <c r="R276">
        <v>12709.803426582301</v>
      </c>
      <c r="S276">
        <v>122</v>
      </c>
      <c r="T276">
        <v>0.107</v>
      </c>
      <c r="U276">
        <v>0</v>
      </c>
    </row>
    <row r="277" spans="1:21" x14ac:dyDescent="0.25">
      <c r="A277" t="s">
        <v>75</v>
      </c>
      <c r="B277" t="s">
        <v>76</v>
      </c>
      <c r="C277">
        <v>6</v>
      </c>
      <c r="D277">
        <v>2</v>
      </c>
      <c r="E277"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v>88.214860544383896</v>
      </c>
      <c r="P277">
        <v>2686.0830699582202</v>
      </c>
      <c r="Q277">
        <v>6455.3786829084802</v>
      </c>
      <c r="R277">
        <v>17106.753509707502</v>
      </c>
      <c r="S277">
        <v>122</v>
      </c>
      <c r="T277">
        <v>0.107</v>
      </c>
      <c r="U277">
        <v>0</v>
      </c>
    </row>
    <row r="278" spans="1:21" x14ac:dyDescent="0.25">
      <c r="A278" t="s">
        <v>75</v>
      </c>
      <c r="B278" t="s">
        <v>76</v>
      </c>
      <c r="C278">
        <v>7</v>
      </c>
      <c r="D278">
        <v>2</v>
      </c>
      <c r="E278"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v>94.723622222742307</v>
      </c>
      <c r="P278">
        <v>3349.3515181154198</v>
      </c>
      <c r="Q278">
        <v>8049.3908149853996</v>
      </c>
      <c r="R278">
        <v>21330.885659711301</v>
      </c>
      <c r="S278">
        <v>122</v>
      </c>
      <c r="T278">
        <v>0.107</v>
      </c>
      <c r="U278">
        <v>0</v>
      </c>
    </row>
    <row r="279" spans="1:21" x14ac:dyDescent="0.25">
      <c r="A279" t="s">
        <v>75</v>
      </c>
      <c r="B279" t="s">
        <v>76</v>
      </c>
      <c r="C279">
        <v>8</v>
      </c>
      <c r="D279">
        <v>2</v>
      </c>
      <c r="E279"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v>99.978460452262397</v>
      </c>
      <c r="P279">
        <v>3959.5878935679498</v>
      </c>
      <c r="Q279">
        <v>9515.9526401536805</v>
      </c>
      <c r="R279">
        <v>25217.274496407299</v>
      </c>
      <c r="S279">
        <v>122</v>
      </c>
      <c r="T279">
        <v>0.107</v>
      </c>
      <c r="U279">
        <v>0</v>
      </c>
    </row>
    <row r="280" spans="1:21" x14ac:dyDescent="0.25">
      <c r="A280" t="s">
        <v>75</v>
      </c>
      <c r="B280" t="s">
        <v>76</v>
      </c>
      <c r="C280">
        <v>9</v>
      </c>
      <c r="D280">
        <v>2</v>
      </c>
      <c r="E280"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v>104.220945610421</v>
      </c>
      <c r="P280">
        <v>4504.0223547646401</v>
      </c>
      <c r="Q280">
        <v>10824.3748011647</v>
      </c>
      <c r="R280">
        <v>28684.5932230865</v>
      </c>
      <c r="S280">
        <v>122</v>
      </c>
      <c r="T280">
        <v>0.107</v>
      </c>
      <c r="U280">
        <v>0</v>
      </c>
    </row>
    <row r="281" spans="1:21" x14ac:dyDescent="0.25">
      <c r="A281" t="s">
        <v>75</v>
      </c>
      <c r="B281" t="s">
        <v>76</v>
      </c>
      <c r="C281">
        <v>10</v>
      </c>
      <c r="D281">
        <v>2</v>
      </c>
      <c r="E281"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v>107.646109151343</v>
      </c>
      <c r="P281">
        <v>4978.9166181902601</v>
      </c>
      <c r="Q281">
        <v>11965.6731992075</v>
      </c>
      <c r="R281">
        <v>31709.033977899999</v>
      </c>
      <c r="S281">
        <v>122</v>
      </c>
      <c r="T281">
        <v>0.107</v>
      </c>
      <c r="U281">
        <v>0</v>
      </c>
    </row>
    <row r="282" spans="1:21" x14ac:dyDescent="0.25">
      <c r="A282" t="s">
        <v>77</v>
      </c>
      <c r="B282" t="s">
        <v>78</v>
      </c>
      <c r="C282">
        <v>1</v>
      </c>
      <c r="D282">
        <v>3</v>
      </c>
      <c r="E282"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 s="2">
        <v>161.90511271394601</v>
      </c>
      <c r="P282" s="2">
        <v>89314.850985500598</v>
      </c>
      <c r="Q282" s="2">
        <v>214647.56305095099</v>
      </c>
      <c r="R282" s="2">
        <v>568816.04208501999</v>
      </c>
      <c r="S282">
        <v>208.40700000000001</v>
      </c>
      <c r="T282">
        <v>0.5</v>
      </c>
      <c r="U282">
        <v>0</v>
      </c>
    </row>
    <row r="283" spans="1:21" x14ac:dyDescent="0.25">
      <c r="A283" t="s">
        <v>77</v>
      </c>
      <c r="B283" t="s">
        <v>78</v>
      </c>
      <c r="C283">
        <v>2</v>
      </c>
      <c r="D283">
        <v>3</v>
      </c>
      <c r="E283"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 s="2">
        <v>198.031026442659</v>
      </c>
      <c r="P283" s="2">
        <v>160174.89061800399</v>
      </c>
      <c r="Q283" s="2">
        <v>384943.26031724003</v>
      </c>
      <c r="R283" s="2">
        <v>1020099.63984069</v>
      </c>
      <c r="S283">
        <v>208.40700000000001</v>
      </c>
      <c r="T283">
        <v>0.5</v>
      </c>
      <c r="U283">
        <v>0</v>
      </c>
    </row>
    <row r="284" spans="1:21" x14ac:dyDescent="0.25">
      <c r="A284" t="s">
        <v>77</v>
      </c>
      <c r="B284" t="s">
        <v>78</v>
      </c>
      <c r="C284">
        <v>3</v>
      </c>
      <c r="D284">
        <v>3</v>
      </c>
      <c r="E284"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 s="2">
        <v>206.09180735845499</v>
      </c>
      <c r="P284" s="2">
        <v>179822.55134623501</v>
      </c>
      <c r="Q284" s="2">
        <v>432161.86336514098</v>
      </c>
      <c r="R284" s="2">
        <v>1145228.9379176199</v>
      </c>
      <c r="S284">
        <v>208.40700000000001</v>
      </c>
      <c r="T284">
        <v>0.5</v>
      </c>
      <c r="U284">
        <v>0</v>
      </c>
    </row>
    <row r="285" spans="1:21" x14ac:dyDescent="0.25">
      <c r="A285" t="s">
        <v>77</v>
      </c>
      <c r="B285" t="s">
        <v>78</v>
      </c>
      <c r="C285">
        <v>4</v>
      </c>
      <c r="D285">
        <v>3</v>
      </c>
      <c r="E285"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 s="2">
        <v>207.89041069511799</v>
      </c>
      <c r="P285" s="2">
        <v>184411.487200932</v>
      </c>
      <c r="Q285" s="2">
        <v>443190.308101253</v>
      </c>
      <c r="R285" s="2">
        <v>1174454.3164683201</v>
      </c>
      <c r="S285">
        <v>208.40700000000001</v>
      </c>
      <c r="T285">
        <v>0.5</v>
      </c>
      <c r="U285">
        <v>0</v>
      </c>
    </row>
    <row r="286" spans="1:21" x14ac:dyDescent="0.25">
      <c r="A286" t="s">
        <v>77</v>
      </c>
      <c r="B286" t="s">
        <v>78</v>
      </c>
      <c r="C286">
        <v>5</v>
      </c>
      <c r="D286">
        <v>3</v>
      </c>
      <c r="E286"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 s="2">
        <v>208.29173334567099</v>
      </c>
      <c r="P286" s="2">
        <v>185445.77494766199</v>
      </c>
      <c r="Q286" s="2">
        <v>445675.97920610901</v>
      </c>
      <c r="R286" s="2">
        <v>1181041.3448961901</v>
      </c>
      <c r="S286">
        <v>208.40700000000001</v>
      </c>
      <c r="T286">
        <v>0.5</v>
      </c>
      <c r="U286">
        <v>0</v>
      </c>
    </row>
    <row r="287" spans="1:21" x14ac:dyDescent="0.25">
      <c r="A287" t="s">
        <v>77</v>
      </c>
      <c r="B287" t="s">
        <v>78</v>
      </c>
      <c r="C287">
        <v>6</v>
      </c>
      <c r="D287">
        <v>3</v>
      </c>
      <c r="E287"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 s="2">
        <v>208.38128053296001</v>
      </c>
      <c r="P287" s="2">
        <v>185677.073127838</v>
      </c>
      <c r="Q287" s="2">
        <v>446231.85082393099</v>
      </c>
      <c r="R287" s="2">
        <v>1182514.40468342</v>
      </c>
      <c r="S287">
        <v>208.40700000000001</v>
      </c>
      <c r="T287">
        <v>0.5</v>
      </c>
      <c r="U287">
        <v>0</v>
      </c>
    </row>
    <row r="288" spans="1:21" x14ac:dyDescent="0.25">
      <c r="A288" t="s">
        <v>77</v>
      </c>
      <c r="B288" t="s">
        <v>78</v>
      </c>
      <c r="C288">
        <v>7</v>
      </c>
      <c r="D288">
        <v>3</v>
      </c>
      <c r="E288"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 s="2">
        <v>208.40126121119999</v>
      </c>
      <c r="P288" s="2">
        <v>185728.708506097</v>
      </c>
      <c r="Q288" s="2">
        <v>446355.94449915102</v>
      </c>
      <c r="R288" s="2">
        <v>1182843.2529227501</v>
      </c>
      <c r="S288">
        <v>208.40700000000001</v>
      </c>
      <c r="T288">
        <v>0.5</v>
      </c>
      <c r="U288">
        <v>0</v>
      </c>
    </row>
    <row r="289" spans="1:21" x14ac:dyDescent="0.25">
      <c r="A289" t="s">
        <v>77</v>
      </c>
      <c r="B289" t="s">
        <v>78</v>
      </c>
      <c r="C289">
        <v>8</v>
      </c>
      <c r="D289">
        <v>3</v>
      </c>
      <c r="E289"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 s="2">
        <v>208.405719503136</v>
      </c>
      <c r="P289" s="2">
        <v>185740.23119995199</v>
      </c>
      <c r="Q289" s="2">
        <v>446383.63662569498</v>
      </c>
      <c r="R289" s="2">
        <v>1182916.63705809</v>
      </c>
      <c r="S289">
        <v>208.40700000000001</v>
      </c>
      <c r="T289">
        <v>0.5</v>
      </c>
      <c r="U289">
        <v>0</v>
      </c>
    </row>
    <row r="290" spans="1:21" x14ac:dyDescent="0.25">
      <c r="A290" t="s">
        <v>77</v>
      </c>
      <c r="B290" t="s">
        <v>78</v>
      </c>
      <c r="C290">
        <v>9</v>
      </c>
      <c r="D290">
        <v>3</v>
      </c>
      <c r="E290"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 s="2">
        <v>208.40671428253</v>
      </c>
      <c r="P290" s="2">
        <v>185742.802324388</v>
      </c>
      <c r="Q290" s="2">
        <v>446389.81572792202</v>
      </c>
      <c r="R290" s="2">
        <v>1182933.01167899</v>
      </c>
      <c r="S290">
        <v>208.40700000000001</v>
      </c>
      <c r="T290">
        <v>0.5</v>
      </c>
      <c r="U290">
        <v>0</v>
      </c>
    </row>
    <row r="291" spans="1:21" x14ac:dyDescent="0.25">
      <c r="A291" t="s">
        <v>77</v>
      </c>
      <c r="B291" t="s">
        <v>78</v>
      </c>
      <c r="C291">
        <v>10</v>
      </c>
      <c r="D291">
        <v>3</v>
      </c>
      <c r="E291"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 s="2">
        <v>208.406936247815</v>
      </c>
      <c r="P291" s="2">
        <v>185743.376022977</v>
      </c>
      <c r="Q291" s="2">
        <v>446391.19447963801</v>
      </c>
      <c r="R291" s="2">
        <v>1182936.6653710401</v>
      </c>
      <c r="S291">
        <v>208.40700000000001</v>
      </c>
      <c r="T291">
        <v>0.5</v>
      </c>
      <c r="U291">
        <v>0</v>
      </c>
    </row>
    <row r="292" spans="1:21" x14ac:dyDescent="0.25">
      <c r="A292" t="s">
        <v>79</v>
      </c>
      <c r="B292" t="s">
        <v>80</v>
      </c>
      <c r="C292">
        <v>1</v>
      </c>
      <c r="D292">
        <v>2</v>
      </c>
      <c r="E292"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v>17.264957666519699</v>
      </c>
      <c r="P292">
        <v>112.810972240502</v>
      </c>
      <c r="Q292">
        <v>271.11504984499402</v>
      </c>
      <c r="R292">
        <v>718.45488208923496</v>
      </c>
      <c r="S292">
        <v>59.9</v>
      </c>
      <c r="T292">
        <v>0.17</v>
      </c>
      <c r="U292">
        <v>0</v>
      </c>
    </row>
    <row r="293" spans="1:21" x14ac:dyDescent="0.25">
      <c r="A293" t="s">
        <v>79</v>
      </c>
      <c r="B293" t="s">
        <v>80</v>
      </c>
      <c r="C293">
        <v>2</v>
      </c>
      <c r="D293">
        <v>2</v>
      </c>
      <c r="E293"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v>29.553642157301201</v>
      </c>
      <c r="P293">
        <v>630.05276044964899</v>
      </c>
      <c r="Q293">
        <v>1514.18591792754</v>
      </c>
      <c r="R293">
        <v>4012.59268250798</v>
      </c>
      <c r="S293">
        <v>59.9</v>
      </c>
      <c r="T293">
        <v>0.17</v>
      </c>
      <c r="U293">
        <v>0</v>
      </c>
    </row>
    <row r="294" spans="1:21" x14ac:dyDescent="0.25">
      <c r="A294" t="s">
        <v>79</v>
      </c>
      <c r="B294" t="s">
        <v>80</v>
      </c>
      <c r="C294">
        <v>3</v>
      </c>
      <c r="D294">
        <v>2</v>
      </c>
      <c r="E294"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v>38.300363083632597</v>
      </c>
      <c r="P294">
        <v>1444.3449807438301</v>
      </c>
      <c r="Q294">
        <v>3471.1487160390002</v>
      </c>
      <c r="R294">
        <v>9198.5440975033398</v>
      </c>
      <c r="S294">
        <v>59.9</v>
      </c>
      <c r="T294">
        <v>0.17</v>
      </c>
      <c r="U294">
        <v>0</v>
      </c>
    </row>
    <row r="295" spans="1:21" x14ac:dyDescent="0.25">
      <c r="A295" t="s">
        <v>79</v>
      </c>
      <c r="B295" t="s">
        <v>80</v>
      </c>
      <c r="C295">
        <v>4</v>
      </c>
      <c r="D295">
        <v>2</v>
      </c>
      <c r="E295"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v>44.526019460481997</v>
      </c>
      <c r="P295">
        <v>2338.7622478785102</v>
      </c>
      <c r="Q295">
        <v>5620.6735108832199</v>
      </c>
      <c r="R295">
        <v>14894.784803840501</v>
      </c>
      <c r="S295">
        <v>59.9</v>
      </c>
      <c r="T295">
        <v>0.17</v>
      </c>
      <c r="U295">
        <v>0</v>
      </c>
    </row>
    <row r="296" spans="1:21" x14ac:dyDescent="0.25">
      <c r="A296" t="s">
        <v>79</v>
      </c>
      <c r="B296" t="s">
        <v>80</v>
      </c>
      <c r="C296">
        <v>5</v>
      </c>
      <c r="D296">
        <v>2</v>
      </c>
      <c r="E296"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v>48.957256909241202</v>
      </c>
      <c r="P296">
        <v>3168.3731836991401</v>
      </c>
      <c r="Q296">
        <v>7614.4512946386503</v>
      </c>
      <c r="R296">
        <v>20178.295930792399</v>
      </c>
      <c r="S296">
        <v>59.9</v>
      </c>
      <c r="T296">
        <v>0.17</v>
      </c>
      <c r="U296">
        <v>0</v>
      </c>
    </row>
    <row r="297" spans="1:21" x14ac:dyDescent="0.25">
      <c r="A297" t="s">
        <v>79</v>
      </c>
      <c r="B297" t="s">
        <v>80</v>
      </c>
      <c r="C297">
        <v>6</v>
      </c>
      <c r="D297">
        <v>2</v>
      </c>
      <c r="E297"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v>52.111280218382298</v>
      </c>
      <c r="P297">
        <v>3869.0403727461699</v>
      </c>
      <c r="Q297">
        <v>9298.3426405819901</v>
      </c>
      <c r="R297">
        <v>24640.607997542302</v>
      </c>
      <c r="S297">
        <v>59.9</v>
      </c>
      <c r="T297">
        <v>0.17</v>
      </c>
      <c r="U297">
        <v>0</v>
      </c>
    </row>
    <row r="298" spans="1:21" x14ac:dyDescent="0.25">
      <c r="A298" t="s">
        <v>79</v>
      </c>
      <c r="B298" t="s">
        <v>80</v>
      </c>
      <c r="C298">
        <v>7</v>
      </c>
      <c r="D298">
        <v>2</v>
      </c>
      <c r="E298"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v>54.356220407130401</v>
      </c>
      <c r="P298">
        <v>4428.1190491805901</v>
      </c>
      <c r="Q298">
        <v>10641.9587819769</v>
      </c>
      <c r="R298">
        <v>28201.190772238799</v>
      </c>
      <c r="S298">
        <v>59.9</v>
      </c>
      <c r="T298">
        <v>0.17</v>
      </c>
      <c r="U298">
        <v>0</v>
      </c>
    </row>
    <row r="299" spans="1:21" x14ac:dyDescent="0.25">
      <c r="A299" t="s">
        <v>79</v>
      </c>
      <c r="B299" t="s">
        <v>80</v>
      </c>
      <c r="C299">
        <v>8</v>
      </c>
      <c r="D299">
        <v>2</v>
      </c>
      <c r="E299"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v>55.954102209858497</v>
      </c>
      <c r="P299">
        <v>4858.2948320605801</v>
      </c>
      <c r="Q299">
        <v>11675.786666812201</v>
      </c>
      <c r="R299">
        <v>30940.834667052401</v>
      </c>
      <c r="S299">
        <v>59.9</v>
      </c>
      <c r="T299">
        <v>0.17</v>
      </c>
      <c r="U299">
        <v>0</v>
      </c>
    </row>
    <row r="300" spans="1:21" x14ac:dyDescent="0.25">
      <c r="A300" t="s">
        <v>79</v>
      </c>
      <c r="B300" t="s">
        <v>80</v>
      </c>
      <c r="C300">
        <v>9</v>
      </c>
      <c r="D300">
        <v>2</v>
      </c>
      <c r="E300"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v>57.091427056322701</v>
      </c>
      <c r="P300">
        <v>5181.4171851236797</v>
      </c>
      <c r="Q300">
        <v>12452.3364218305</v>
      </c>
      <c r="R300">
        <v>32998.691517850901</v>
      </c>
      <c r="S300">
        <v>59.9</v>
      </c>
      <c r="T300">
        <v>0.17</v>
      </c>
      <c r="U300">
        <v>0</v>
      </c>
    </row>
    <row r="301" spans="1:21" x14ac:dyDescent="0.25">
      <c r="A301" t="s">
        <v>79</v>
      </c>
      <c r="B301" t="s">
        <v>80</v>
      </c>
      <c r="C301">
        <v>10</v>
      </c>
      <c r="D301">
        <v>2</v>
      </c>
      <c r="E301"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v>57.900941129376498</v>
      </c>
      <c r="P301">
        <v>5420.2045735432703</v>
      </c>
      <c r="Q301">
        <v>13026.2066175036</v>
      </c>
      <c r="R301">
        <v>34519.447536384701</v>
      </c>
      <c r="S301">
        <v>59.9</v>
      </c>
      <c r="T301">
        <v>0.17</v>
      </c>
      <c r="U301">
        <v>0</v>
      </c>
    </row>
    <row r="302" spans="1:21" x14ac:dyDescent="0.25">
      <c r="A302" t="s">
        <v>81</v>
      </c>
      <c r="B302" t="s">
        <v>82</v>
      </c>
      <c r="C302">
        <v>1</v>
      </c>
      <c r="D302">
        <v>2</v>
      </c>
      <c r="E302"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v>30.5523457871634</v>
      </c>
      <c r="P302">
        <v>427.78439799613602</v>
      </c>
      <c r="Q302">
        <v>1028.0807450039299</v>
      </c>
      <c r="R302">
        <v>2724.4139742604202</v>
      </c>
      <c r="S302">
        <v>106</v>
      </c>
      <c r="T302">
        <v>0.17</v>
      </c>
      <c r="U302">
        <v>0</v>
      </c>
    </row>
    <row r="303" spans="1:21" x14ac:dyDescent="0.25">
      <c r="A303" t="s">
        <v>81</v>
      </c>
      <c r="B303" t="s">
        <v>82</v>
      </c>
      <c r="C303">
        <v>2</v>
      </c>
      <c r="D303">
        <v>2</v>
      </c>
      <c r="E303"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v>52.298598809247501</v>
      </c>
      <c r="P303">
        <v>2145.6625397832699</v>
      </c>
      <c r="Q303">
        <v>5156.6030756627397</v>
      </c>
      <c r="R303">
        <v>13664.998150506301</v>
      </c>
      <c r="S303">
        <v>106</v>
      </c>
      <c r="T303">
        <v>0.17</v>
      </c>
      <c r="U303">
        <v>0</v>
      </c>
    </row>
    <row r="304" spans="1:21" x14ac:dyDescent="0.25">
      <c r="A304" t="s">
        <v>81</v>
      </c>
      <c r="B304" t="s">
        <v>82</v>
      </c>
      <c r="C304">
        <v>3</v>
      </c>
      <c r="D304">
        <v>2</v>
      </c>
      <c r="E304"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v>67.776936341653695</v>
      </c>
      <c r="P304">
        <v>4670.2170051160701</v>
      </c>
      <c r="Q304">
        <v>11223.7851600963</v>
      </c>
      <c r="R304">
        <v>29743.030674255198</v>
      </c>
      <c r="S304">
        <v>106</v>
      </c>
      <c r="T304">
        <v>0.17</v>
      </c>
      <c r="U304">
        <v>0</v>
      </c>
    </row>
    <row r="305" spans="1:21" x14ac:dyDescent="0.25">
      <c r="A305" t="s">
        <v>81</v>
      </c>
      <c r="B305" t="s">
        <v>82</v>
      </c>
      <c r="C305">
        <v>4</v>
      </c>
      <c r="D305">
        <v>2</v>
      </c>
      <c r="E305"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v>78.793957642923104</v>
      </c>
      <c r="P305">
        <v>7337.8698250436901</v>
      </c>
      <c r="Q305">
        <v>17634.8710046712</v>
      </c>
      <c r="R305">
        <v>46732.408162378699</v>
      </c>
      <c r="S305">
        <v>106</v>
      </c>
      <c r="T305">
        <v>0.17</v>
      </c>
      <c r="U305">
        <v>0</v>
      </c>
    </row>
    <row r="306" spans="1:21" x14ac:dyDescent="0.25">
      <c r="A306" t="s">
        <v>81</v>
      </c>
      <c r="B306" t="s">
        <v>82</v>
      </c>
      <c r="C306">
        <v>5</v>
      </c>
      <c r="D306">
        <v>2</v>
      </c>
      <c r="E306"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v>86.635546450410104</v>
      </c>
      <c r="P306">
        <v>9753.9295879222991</v>
      </c>
      <c r="Q306">
        <v>23441.3111942377</v>
      </c>
      <c r="R306">
        <v>62119.474664729903</v>
      </c>
      <c r="S306">
        <v>106</v>
      </c>
      <c r="T306">
        <v>0.17</v>
      </c>
      <c r="U306">
        <v>0</v>
      </c>
    </row>
    <row r="307" spans="1:21" x14ac:dyDescent="0.25">
      <c r="A307" t="s">
        <v>81</v>
      </c>
      <c r="B307" t="s">
        <v>82</v>
      </c>
      <c r="C307">
        <v>6</v>
      </c>
      <c r="D307">
        <v>2</v>
      </c>
      <c r="E307"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v>92.216956646886899</v>
      </c>
      <c r="P307">
        <v>11763.149471421801</v>
      </c>
      <c r="Q307">
        <v>28270.0059394899</v>
      </c>
      <c r="R307">
        <v>74915.515739648297</v>
      </c>
      <c r="S307">
        <v>106</v>
      </c>
      <c r="T307">
        <v>0.17</v>
      </c>
      <c r="U307">
        <v>0</v>
      </c>
    </row>
    <row r="308" spans="1:21" x14ac:dyDescent="0.25">
      <c r="A308" t="s">
        <v>81</v>
      </c>
      <c r="B308" t="s">
        <v>82</v>
      </c>
      <c r="C308">
        <v>7</v>
      </c>
      <c r="D308">
        <v>2</v>
      </c>
      <c r="E308"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v>96.189638783903604</v>
      </c>
      <c r="P308">
        <v>13349.842458351101</v>
      </c>
      <c r="Q308">
        <v>32083.255127015502</v>
      </c>
      <c r="R308">
        <v>85020.626086591001</v>
      </c>
      <c r="S308">
        <v>106</v>
      </c>
      <c r="T308">
        <v>0.17</v>
      </c>
      <c r="U308">
        <v>0</v>
      </c>
    </row>
    <row r="309" spans="1:21" x14ac:dyDescent="0.25">
      <c r="A309" t="s">
        <v>81</v>
      </c>
      <c r="B309" t="s">
        <v>82</v>
      </c>
      <c r="C309">
        <v>8</v>
      </c>
      <c r="D309">
        <v>2</v>
      </c>
      <c r="E309"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v>99.017276030801298</v>
      </c>
      <c r="P309">
        <v>14562.1058367269</v>
      </c>
      <c r="Q309">
        <v>34996.649451398502</v>
      </c>
      <c r="R309">
        <v>92741.121046206099</v>
      </c>
      <c r="S309">
        <v>106</v>
      </c>
      <c r="T309">
        <v>0.17</v>
      </c>
      <c r="U309">
        <v>0</v>
      </c>
    </row>
    <row r="310" spans="1:21" x14ac:dyDescent="0.25">
      <c r="A310" t="s">
        <v>81</v>
      </c>
      <c r="B310" t="s">
        <v>82</v>
      </c>
      <c r="C310">
        <v>9</v>
      </c>
      <c r="D310">
        <v>2</v>
      </c>
      <c r="E310"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v>101.029904306681</v>
      </c>
      <c r="P310">
        <v>15468.246487307701</v>
      </c>
      <c r="Q310">
        <v>37174.3486837483</v>
      </c>
      <c r="R310">
        <v>98512.024011932997</v>
      </c>
      <c r="S310">
        <v>106</v>
      </c>
      <c r="T310">
        <v>0.17</v>
      </c>
      <c r="U310">
        <v>0</v>
      </c>
    </row>
    <row r="311" spans="1:21" x14ac:dyDescent="0.25">
      <c r="A311" t="s">
        <v>81</v>
      </c>
      <c r="B311" t="s">
        <v>82</v>
      </c>
      <c r="C311">
        <v>10</v>
      </c>
      <c r="D311">
        <v>2</v>
      </c>
      <c r="E311"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v>102.462433384205</v>
      </c>
      <c r="P311">
        <v>16135.6050920246</v>
      </c>
      <c r="Q311">
        <v>38778.190560020703</v>
      </c>
      <c r="R311">
        <v>102762.204984055</v>
      </c>
      <c r="S311">
        <v>106</v>
      </c>
      <c r="T311">
        <v>0.17</v>
      </c>
      <c r="U311">
        <v>0</v>
      </c>
    </row>
    <row r="312" spans="1:21" x14ac:dyDescent="0.25">
      <c r="A312" t="s">
        <v>83</v>
      </c>
      <c r="B312" t="s">
        <v>84</v>
      </c>
      <c r="C312">
        <v>1</v>
      </c>
      <c r="D312">
        <v>7</v>
      </c>
      <c r="E312"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v>155.68861302014199</v>
      </c>
      <c r="P312">
        <v>20378.1290795723</v>
      </c>
      <c r="Q312">
        <v>48974.114586811702</v>
      </c>
      <c r="R312">
        <v>129781.40365505101</v>
      </c>
      <c r="S312">
        <v>280</v>
      </c>
      <c r="T312">
        <v>0.11600000000000001</v>
      </c>
      <c r="U312">
        <v>0</v>
      </c>
    </row>
    <row r="313" spans="1:21" x14ac:dyDescent="0.25">
      <c r="A313" t="s">
        <v>83</v>
      </c>
      <c r="B313" t="s">
        <v>84</v>
      </c>
      <c r="C313">
        <v>2</v>
      </c>
      <c r="D313">
        <v>7</v>
      </c>
      <c r="E313"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v>224.809568096942</v>
      </c>
      <c r="P313">
        <v>61353.329181622103</v>
      </c>
      <c r="Q313">
        <v>147448.520023124</v>
      </c>
      <c r="R313">
        <v>390738.57806128002</v>
      </c>
      <c r="S313">
        <v>280</v>
      </c>
      <c r="T313">
        <v>0.11600000000000001</v>
      </c>
      <c r="U313">
        <v>0</v>
      </c>
    </row>
    <row r="314" spans="1:21" x14ac:dyDescent="0.25">
      <c r="A314" t="s">
        <v>83</v>
      </c>
      <c r="B314" t="s">
        <v>84</v>
      </c>
      <c r="C314">
        <v>3</v>
      </c>
      <c r="D314">
        <v>7</v>
      </c>
      <c r="E314"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v>255.49714593612001</v>
      </c>
      <c r="P314">
        <v>90064.142671856898</v>
      </c>
      <c r="Q314">
        <v>216448.31211693599</v>
      </c>
      <c r="R314">
        <v>573588.02710987895</v>
      </c>
      <c r="S314">
        <v>280</v>
      </c>
      <c r="T314">
        <v>0.11600000000000001</v>
      </c>
      <c r="U314">
        <v>0</v>
      </c>
    </row>
    <row r="315" spans="1:21" x14ac:dyDescent="0.25">
      <c r="A315" t="s">
        <v>83</v>
      </c>
      <c r="B315" t="s">
        <v>84</v>
      </c>
      <c r="C315">
        <v>4</v>
      </c>
      <c r="D315">
        <v>7</v>
      </c>
      <c r="E315"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v>269.12148652269298</v>
      </c>
      <c r="P315">
        <v>105254.065283895</v>
      </c>
      <c r="Q315">
        <v>252953.773813735</v>
      </c>
      <c r="R315">
        <v>670327.50060639798</v>
      </c>
      <c r="S315">
        <v>280</v>
      </c>
      <c r="T315">
        <v>0.11600000000000001</v>
      </c>
      <c r="U315">
        <v>0</v>
      </c>
    </row>
    <row r="316" spans="1:21" x14ac:dyDescent="0.25">
      <c r="A316" t="s">
        <v>83</v>
      </c>
      <c r="B316" t="s">
        <v>84</v>
      </c>
      <c r="C316">
        <v>5</v>
      </c>
      <c r="D316">
        <v>7</v>
      </c>
      <c r="E316"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v>275.17027464770302</v>
      </c>
      <c r="P316">
        <v>112511.861920271</v>
      </c>
      <c r="Q316">
        <v>270396.20745078399</v>
      </c>
      <c r="R316">
        <v>716549.94974457705</v>
      </c>
      <c r="S316">
        <v>280</v>
      </c>
      <c r="T316">
        <v>0.11600000000000001</v>
      </c>
      <c r="U316">
        <v>0</v>
      </c>
    </row>
    <row r="317" spans="1:21" x14ac:dyDescent="0.25">
      <c r="A317" t="s">
        <v>83</v>
      </c>
      <c r="B317" t="s">
        <v>84</v>
      </c>
      <c r="C317">
        <v>6</v>
      </c>
      <c r="D317">
        <v>7</v>
      </c>
      <c r="E317"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v>277.85575050972898</v>
      </c>
      <c r="P317">
        <v>115838.234017101</v>
      </c>
      <c r="Q317">
        <v>278390.37254770799</v>
      </c>
      <c r="R317">
        <v>737734.48725142505</v>
      </c>
      <c r="S317">
        <v>280</v>
      </c>
      <c r="T317">
        <v>0.11600000000000001</v>
      </c>
      <c r="U317">
        <v>0</v>
      </c>
    </row>
    <row r="318" spans="1:21" x14ac:dyDescent="0.25">
      <c r="A318" t="s">
        <v>83</v>
      </c>
      <c r="B318" t="s">
        <v>84</v>
      </c>
      <c r="C318">
        <v>7</v>
      </c>
      <c r="D318">
        <v>7</v>
      </c>
      <c r="E318"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v>279.04801918511998</v>
      </c>
      <c r="P318">
        <v>117335.81437704399</v>
      </c>
      <c r="Q318">
        <v>281989.460170737</v>
      </c>
      <c r="R318">
        <v>747272.06945245399</v>
      </c>
      <c r="S318">
        <v>280</v>
      </c>
      <c r="T318">
        <v>0.11600000000000001</v>
      </c>
      <c r="U318">
        <v>0</v>
      </c>
    </row>
    <row r="319" spans="1:21" x14ac:dyDescent="0.25">
      <c r="A319" t="s">
        <v>83</v>
      </c>
      <c r="B319" t="s">
        <v>84</v>
      </c>
      <c r="C319">
        <v>8</v>
      </c>
      <c r="D319">
        <v>7</v>
      </c>
      <c r="E319"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v>279.577349801872</v>
      </c>
      <c r="P319">
        <v>118004.81030881401</v>
      </c>
      <c r="Q319">
        <v>283597.23698345199</v>
      </c>
      <c r="R319">
        <v>751532.67800614797</v>
      </c>
      <c r="S319">
        <v>280</v>
      </c>
      <c r="T319">
        <v>0.11600000000000001</v>
      </c>
      <c r="U319">
        <v>0</v>
      </c>
    </row>
    <row r="320" spans="1:21" x14ac:dyDescent="0.25">
      <c r="A320" t="s">
        <v>83</v>
      </c>
      <c r="B320" t="s">
        <v>84</v>
      </c>
      <c r="C320">
        <v>9</v>
      </c>
      <c r="D320">
        <v>7</v>
      </c>
      <c r="E320"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v>279.812356313083</v>
      </c>
      <c r="P320">
        <v>118302.637183698</v>
      </c>
      <c r="Q320">
        <v>284312.994913959</v>
      </c>
      <c r="R320">
        <v>753429.43652199197</v>
      </c>
      <c r="S320">
        <v>280</v>
      </c>
      <c r="T320">
        <v>0.11600000000000001</v>
      </c>
      <c r="U320">
        <v>0</v>
      </c>
    </row>
    <row r="321" spans="1:21" x14ac:dyDescent="0.25">
      <c r="A321" t="s">
        <v>83</v>
      </c>
      <c r="B321" t="s">
        <v>84</v>
      </c>
      <c r="C321">
        <v>10</v>
      </c>
      <c r="D321">
        <v>7</v>
      </c>
      <c r="E321"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v>279.91669197507599</v>
      </c>
      <c r="P321">
        <v>118435.023621453</v>
      </c>
      <c r="Q321">
        <v>284631.15506237099</v>
      </c>
      <c r="R321">
        <v>754272.56091528304</v>
      </c>
      <c r="S321">
        <v>280</v>
      </c>
      <c r="T321">
        <v>0.11600000000000001</v>
      </c>
      <c r="U321">
        <v>0</v>
      </c>
    </row>
    <row r="322" spans="1:21" x14ac:dyDescent="0.25">
      <c r="A322" t="s">
        <v>85</v>
      </c>
      <c r="B322" t="s">
        <v>86</v>
      </c>
      <c r="C322">
        <v>1</v>
      </c>
      <c r="D322">
        <v>7</v>
      </c>
      <c r="E322"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 s="2">
        <v>190.349158270402</v>
      </c>
      <c r="P322" s="2">
        <v>75753.177550342094</v>
      </c>
      <c r="Q322" s="2">
        <v>182055.22122168299</v>
      </c>
      <c r="R322" s="2">
        <v>482446.33623745898</v>
      </c>
      <c r="S322">
        <v>309.24444444444401</v>
      </c>
      <c r="T322">
        <v>0.13655555555555601</v>
      </c>
      <c r="U322">
        <v>0</v>
      </c>
    </row>
    <row r="323" spans="1:21" x14ac:dyDescent="0.25">
      <c r="A323" t="s">
        <v>85</v>
      </c>
      <c r="B323" t="s">
        <v>86</v>
      </c>
      <c r="C323">
        <v>2</v>
      </c>
      <c r="D323">
        <v>7</v>
      </c>
      <c r="E323"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 s="2">
        <v>256.84427503747003</v>
      </c>
      <c r="P323" s="2">
        <v>194135.25529926401</v>
      </c>
      <c r="Q323" s="2">
        <v>466559.13313930202</v>
      </c>
      <c r="R323" s="2">
        <v>1236381.7028191499</v>
      </c>
      <c r="S323">
        <v>309.24444444444401</v>
      </c>
      <c r="T323">
        <v>0.13655555555555601</v>
      </c>
      <c r="U323">
        <v>1</v>
      </c>
    </row>
    <row r="324" spans="1:21" x14ac:dyDescent="0.25">
      <c r="A324" t="s">
        <v>85</v>
      </c>
      <c r="B324" t="s">
        <v>86</v>
      </c>
      <c r="C324">
        <v>3</v>
      </c>
      <c r="D324">
        <v>7</v>
      </c>
      <c r="E324"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 s="2">
        <v>286.15036021085899</v>
      </c>
      <c r="P324" s="2">
        <v>272579.99151432101</v>
      </c>
      <c r="Q324" s="2">
        <v>655082.89236798999</v>
      </c>
      <c r="R324" s="2">
        <v>1735969.6647751699</v>
      </c>
      <c r="S324">
        <v>309.24444444444401</v>
      </c>
      <c r="T324">
        <v>0.13655555555555601</v>
      </c>
      <c r="U324">
        <v>2</v>
      </c>
    </row>
    <row r="325" spans="1:21" x14ac:dyDescent="0.25">
      <c r="A325" t="s">
        <v>85</v>
      </c>
      <c r="B325" t="s">
        <v>86</v>
      </c>
      <c r="C325">
        <v>4</v>
      </c>
      <c r="D325">
        <v>7</v>
      </c>
      <c r="E325"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 s="2">
        <v>299.06629554485397</v>
      </c>
      <c r="P325" s="2">
        <v>313124.40229506698</v>
      </c>
      <c r="Q325" s="2">
        <v>752521.99542193499</v>
      </c>
      <c r="R325" s="2">
        <v>1994183.28786813</v>
      </c>
      <c r="S325">
        <v>309.24444444444401</v>
      </c>
      <c r="T325">
        <v>0.13655555555555601</v>
      </c>
      <c r="U325">
        <v>3</v>
      </c>
    </row>
    <row r="326" spans="1:21" x14ac:dyDescent="0.25">
      <c r="A326" t="s">
        <v>85</v>
      </c>
      <c r="B326" t="s">
        <v>86</v>
      </c>
      <c r="C326">
        <v>5</v>
      </c>
      <c r="D326">
        <v>7</v>
      </c>
      <c r="E326"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 s="2">
        <v>304.75867596908802</v>
      </c>
      <c r="P326" s="2">
        <v>332228.83883435198</v>
      </c>
      <c r="Q326" s="2">
        <v>798435.08491793403</v>
      </c>
      <c r="R326" s="2">
        <v>2115852.9750325298</v>
      </c>
      <c r="S326">
        <v>309.24444444444401</v>
      </c>
      <c r="T326">
        <v>0.13655555555555601</v>
      </c>
      <c r="U326">
        <v>4</v>
      </c>
    </row>
    <row r="327" spans="1:21" x14ac:dyDescent="0.25">
      <c r="A327" t="s">
        <v>85</v>
      </c>
      <c r="B327" t="s">
        <v>86</v>
      </c>
      <c r="C327">
        <v>6</v>
      </c>
      <c r="D327">
        <v>7</v>
      </c>
      <c r="E327"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 s="2">
        <v>307.26745245768899</v>
      </c>
      <c r="P327" s="2">
        <v>340895.13319316501</v>
      </c>
      <c r="Q327" s="2">
        <v>819262.51668628899</v>
      </c>
      <c r="R327" s="2">
        <v>2171045.6692186701</v>
      </c>
      <c r="S327">
        <v>309.24444444444401</v>
      </c>
      <c r="T327">
        <v>0.13655555555555601</v>
      </c>
      <c r="U327">
        <v>5</v>
      </c>
    </row>
    <row r="328" spans="1:21" x14ac:dyDescent="0.25">
      <c r="A328" t="s">
        <v>85</v>
      </c>
      <c r="B328" t="s">
        <v>86</v>
      </c>
      <c r="C328">
        <v>7</v>
      </c>
      <c r="D328">
        <v>7</v>
      </c>
      <c r="E328"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 s="2">
        <v>308.37313391266599</v>
      </c>
      <c r="P328" s="2">
        <v>344763.02418618998</v>
      </c>
      <c r="Q328" s="2">
        <v>828558.09705885698</v>
      </c>
      <c r="R328" s="2">
        <v>2195678.9572059698</v>
      </c>
      <c r="S328">
        <v>309.24444444444401</v>
      </c>
      <c r="T328">
        <v>0.13655555555555601</v>
      </c>
      <c r="U328">
        <v>6</v>
      </c>
    </row>
    <row r="329" spans="1:21" x14ac:dyDescent="0.25">
      <c r="A329" t="s">
        <v>85</v>
      </c>
      <c r="B329" t="s">
        <v>86</v>
      </c>
      <c r="C329">
        <v>8</v>
      </c>
      <c r="D329">
        <v>7</v>
      </c>
      <c r="E329"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 s="2">
        <v>308.86043578488801</v>
      </c>
      <c r="P329" s="2">
        <v>346477.15773133398</v>
      </c>
      <c r="Q329" s="2">
        <v>832677.62011856202</v>
      </c>
      <c r="R329" s="2">
        <v>2206595.69331419</v>
      </c>
      <c r="S329">
        <v>309.24444444444401</v>
      </c>
      <c r="T329">
        <v>0.13655555555555601</v>
      </c>
      <c r="U329">
        <v>7</v>
      </c>
    </row>
    <row r="330" spans="1:21" x14ac:dyDescent="0.25">
      <c r="A330" t="s">
        <v>85</v>
      </c>
      <c r="B330" t="s">
        <v>86</v>
      </c>
      <c r="C330">
        <v>9</v>
      </c>
      <c r="D330">
        <v>7</v>
      </c>
      <c r="E330"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 s="2">
        <v>309.07520208453201</v>
      </c>
      <c r="P330" s="2">
        <v>347234.46066853101</v>
      </c>
      <c r="Q330" s="2">
        <v>834497.6223709</v>
      </c>
      <c r="R330" s="2">
        <v>2211418.6992828799</v>
      </c>
      <c r="S330">
        <v>309.24444444444401</v>
      </c>
      <c r="T330">
        <v>0.13655555555555601</v>
      </c>
      <c r="U330">
        <v>8</v>
      </c>
    </row>
    <row r="331" spans="1:21" x14ac:dyDescent="0.25">
      <c r="A331" t="s">
        <v>85</v>
      </c>
      <c r="B331" t="s">
        <v>86</v>
      </c>
      <c r="C331">
        <v>10</v>
      </c>
      <c r="D331">
        <v>7</v>
      </c>
      <c r="E331"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 s="2">
        <v>309.16985504215899</v>
      </c>
      <c r="P331" s="2">
        <v>347568.58119228901</v>
      </c>
      <c r="Q331" s="2">
        <v>835300.60368250299</v>
      </c>
      <c r="R331" s="2">
        <v>2213546.5997586302</v>
      </c>
      <c r="S331">
        <v>309.24444444444401</v>
      </c>
      <c r="T331">
        <v>0.13655555555555601</v>
      </c>
      <c r="U331">
        <v>9</v>
      </c>
    </row>
    <row r="332" spans="1:21" x14ac:dyDescent="0.25">
      <c r="A332" t="s">
        <v>87</v>
      </c>
      <c r="B332" t="s">
        <v>88</v>
      </c>
      <c r="C332">
        <v>1</v>
      </c>
      <c r="D332">
        <v>2</v>
      </c>
      <c r="E332"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v>12.954731404434</v>
      </c>
      <c r="P332">
        <v>16.853081877749101</v>
      </c>
      <c r="Q332">
        <v>40.502479879233697</v>
      </c>
      <c r="R332">
        <v>107.331571679969</v>
      </c>
      <c r="S332">
        <v>31.4</v>
      </c>
      <c r="T332">
        <v>0.19</v>
      </c>
      <c r="U332">
        <v>-0.8</v>
      </c>
    </row>
    <row r="333" spans="1:21" x14ac:dyDescent="0.25">
      <c r="A333" t="s">
        <v>87</v>
      </c>
      <c r="B333" t="s">
        <v>88</v>
      </c>
      <c r="C333">
        <v>2</v>
      </c>
      <c r="D333">
        <v>2</v>
      </c>
      <c r="E333"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v>18.785992624935801</v>
      </c>
      <c r="P333">
        <v>53.338046744098101</v>
      </c>
      <c r="Q333">
        <v>128.18564466257601</v>
      </c>
      <c r="R333">
        <v>339.69195835582798</v>
      </c>
      <c r="S333">
        <v>31.4</v>
      </c>
      <c r="T333">
        <v>0.19</v>
      </c>
      <c r="U333">
        <v>-0.8</v>
      </c>
    </row>
    <row r="334" spans="1:21" x14ac:dyDescent="0.25">
      <c r="A334" t="s">
        <v>87</v>
      </c>
      <c r="B334" t="s">
        <v>88</v>
      </c>
      <c r="C334">
        <v>3</v>
      </c>
      <c r="D334">
        <v>2</v>
      </c>
      <c r="E334"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v>22.773767140673499</v>
      </c>
      <c r="P334">
        <v>96.872245124489197</v>
      </c>
      <c r="Q334">
        <v>232.810009912255</v>
      </c>
      <c r="R334">
        <v>616.94652626747495</v>
      </c>
      <c r="S334">
        <v>31.4</v>
      </c>
      <c r="T334">
        <v>0.19</v>
      </c>
      <c r="U334">
        <v>-0.8</v>
      </c>
    </row>
    <row r="335" spans="1:21" x14ac:dyDescent="0.25">
      <c r="A335" t="s">
        <v>87</v>
      </c>
      <c r="B335" t="s">
        <v>88</v>
      </c>
      <c r="C335">
        <v>4</v>
      </c>
      <c r="D335">
        <v>2</v>
      </c>
      <c r="E335"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v>25.500852240627101</v>
      </c>
      <c r="P335">
        <v>137.553233642766</v>
      </c>
      <c r="Q335">
        <v>330.57734593310698</v>
      </c>
      <c r="R335">
        <v>876.02996672273298</v>
      </c>
      <c r="S335">
        <v>31.4</v>
      </c>
      <c r="T335">
        <v>0.19</v>
      </c>
      <c r="U335">
        <v>-0.8</v>
      </c>
    </row>
    <row r="336" spans="1:21" x14ac:dyDescent="0.25">
      <c r="A336" t="s">
        <v>87</v>
      </c>
      <c r="B336" t="s">
        <v>88</v>
      </c>
      <c r="C336">
        <v>5</v>
      </c>
      <c r="D336">
        <v>2</v>
      </c>
      <c r="E336"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v>27.365800500123299</v>
      </c>
      <c r="P336">
        <v>171.19715208220501</v>
      </c>
      <c r="Q336">
        <v>411.43271348763602</v>
      </c>
      <c r="R336">
        <v>1090.2966907422399</v>
      </c>
      <c r="S336">
        <v>31.4</v>
      </c>
      <c r="T336">
        <v>0.19</v>
      </c>
      <c r="U336">
        <v>-0.8</v>
      </c>
    </row>
    <row r="337" spans="1:21" x14ac:dyDescent="0.25">
      <c r="A337" t="s">
        <v>87</v>
      </c>
      <c r="B337" t="s">
        <v>88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v>28.6411666449706</v>
      </c>
      <c r="P337">
        <v>197.16164515638499</v>
      </c>
      <c r="Q337">
        <v>473.832360385448</v>
      </c>
      <c r="R337">
        <v>1255.65575502144</v>
      </c>
      <c r="S337">
        <v>31.4</v>
      </c>
      <c r="T337">
        <v>0.19</v>
      </c>
      <c r="U337">
        <v>-0.8</v>
      </c>
    </row>
    <row r="338" spans="1:21" x14ac:dyDescent="0.25">
      <c r="A338" t="s">
        <v>87</v>
      </c>
      <c r="B338" t="s">
        <v>88</v>
      </c>
      <c r="C338">
        <v>7</v>
      </c>
      <c r="D338">
        <v>2</v>
      </c>
      <c r="E338"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v>29.513340334047498</v>
      </c>
      <c r="P338">
        <v>216.375549994924</v>
      </c>
      <c r="Q338">
        <v>520.00853159078201</v>
      </c>
      <c r="R338">
        <v>1378.02260871557</v>
      </c>
      <c r="S338">
        <v>31.4</v>
      </c>
      <c r="T338">
        <v>0.19</v>
      </c>
      <c r="U338">
        <v>-0.8</v>
      </c>
    </row>
    <row r="339" spans="1:21" x14ac:dyDescent="0.25">
      <c r="A339" t="s">
        <v>87</v>
      </c>
      <c r="B339" t="s">
        <v>88</v>
      </c>
      <c r="C339">
        <v>8</v>
      </c>
      <c r="D339">
        <v>2</v>
      </c>
      <c r="E339"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v>30.1097862621376</v>
      </c>
      <c r="P339">
        <v>230.2210527645</v>
      </c>
      <c r="Q339">
        <v>553.28299150324494</v>
      </c>
      <c r="R339">
        <v>1466.1999274836</v>
      </c>
      <c r="S339">
        <v>31.4</v>
      </c>
      <c r="T339">
        <v>0.19</v>
      </c>
      <c r="U339">
        <v>-0.8</v>
      </c>
    </row>
    <row r="340" spans="1:21" x14ac:dyDescent="0.25">
      <c r="A340" t="s">
        <v>87</v>
      </c>
      <c r="B340" t="s">
        <v>88</v>
      </c>
      <c r="C340">
        <v>9</v>
      </c>
      <c r="D340">
        <v>2</v>
      </c>
      <c r="E340"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v>30.517672615040301</v>
      </c>
      <c r="P340">
        <v>240.02728929089099</v>
      </c>
      <c r="Q340">
        <v>576.850010312162</v>
      </c>
      <c r="R340">
        <v>1528.65252732723</v>
      </c>
      <c r="S340">
        <v>31.4</v>
      </c>
      <c r="T340">
        <v>0.19</v>
      </c>
      <c r="U340">
        <v>-0.8</v>
      </c>
    </row>
    <row r="341" spans="1:21" x14ac:dyDescent="0.25">
      <c r="A341" t="s">
        <v>87</v>
      </c>
      <c r="B341" t="s">
        <v>88</v>
      </c>
      <c r="C341">
        <v>10</v>
      </c>
      <c r="D341">
        <v>2</v>
      </c>
      <c r="E341"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v>30.796610351134799</v>
      </c>
      <c r="P341">
        <v>246.89386414200499</v>
      </c>
      <c r="Q341">
        <v>593.35223297766095</v>
      </c>
      <c r="R341">
        <v>1572.3834173908001</v>
      </c>
      <c r="S341">
        <v>31.4</v>
      </c>
      <c r="T341">
        <v>0.19</v>
      </c>
      <c r="U341">
        <v>-0.8</v>
      </c>
    </row>
    <row r="342" spans="1:21" x14ac:dyDescent="0.25">
      <c r="A342" t="s">
        <v>89</v>
      </c>
      <c r="B342" t="s">
        <v>90</v>
      </c>
      <c r="C342">
        <v>1</v>
      </c>
      <c r="D342">
        <v>8</v>
      </c>
      <c r="E342"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v>89.301231321361897</v>
      </c>
      <c r="P342">
        <v>1424.3028297716801</v>
      </c>
      <c r="Q342">
        <v>3422.982047036</v>
      </c>
      <c r="R342">
        <v>9070.9024246453992</v>
      </c>
      <c r="S342">
        <v>114.3</v>
      </c>
      <c r="T342">
        <v>0.19</v>
      </c>
      <c r="U342">
        <v>0</v>
      </c>
    </row>
    <row r="343" spans="1:21" x14ac:dyDescent="0.25">
      <c r="A343" t="s">
        <v>89</v>
      </c>
      <c r="B343" t="s">
        <v>90</v>
      </c>
      <c r="C343">
        <v>2</v>
      </c>
      <c r="D343">
        <v>8</v>
      </c>
      <c r="E343"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v>108.832472130813</v>
      </c>
      <c r="P343">
        <v>2578.1339538074799</v>
      </c>
      <c r="Q343">
        <v>6195.9479783885499</v>
      </c>
      <c r="R343">
        <v>16419.262142729702</v>
      </c>
      <c r="S343">
        <v>114.3</v>
      </c>
      <c r="T343">
        <v>0.19</v>
      </c>
      <c r="U343">
        <v>0</v>
      </c>
    </row>
    <row r="344" spans="1:21" x14ac:dyDescent="0.25">
      <c r="A344" t="s">
        <v>89</v>
      </c>
      <c r="B344" t="s">
        <v>90</v>
      </c>
      <c r="C344">
        <v>3</v>
      </c>
      <c r="D344">
        <v>8</v>
      </c>
      <c r="E344"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v>113.104186662766</v>
      </c>
      <c r="P344">
        <v>2893.7835188385902</v>
      </c>
      <c r="Q344">
        <v>6954.53861773275</v>
      </c>
      <c r="R344">
        <v>18429.5273369918</v>
      </c>
      <c r="S344">
        <v>114.3</v>
      </c>
      <c r="T344">
        <v>0.19</v>
      </c>
      <c r="U344">
        <v>0</v>
      </c>
    </row>
    <row r="345" spans="1:21" x14ac:dyDescent="0.25">
      <c r="A345" t="s">
        <v>89</v>
      </c>
      <c r="B345" t="s">
        <v>90</v>
      </c>
      <c r="C345">
        <v>4</v>
      </c>
      <c r="D345">
        <v>8</v>
      </c>
      <c r="E345"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v>114.038461408571</v>
      </c>
      <c r="P345">
        <v>2966.0880787360102</v>
      </c>
      <c r="Q345">
        <v>7128.3058849699801</v>
      </c>
      <c r="R345">
        <v>18890.010595170399</v>
      </c>
      <c r="S345">
        <v>114.3</v>
      </c>
      <c r="T345">
        <v>0.19</v>
      </c>
      <c r="U345">
        <v>0</v>
      </c>
    </row>
    <row r="346" spans="1:21" x14ac:dyDescent="0.25">
      <c r="A346" t="s">
        <v>89</v>
      </c>
      <c r="B346" t="s">
        <v>90</v>
      </c>
      <c r="C346">
        <v>5</v>
      </c>
      <c r="D346">
        <v>8</v>
      </c>
      <c r="E346"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v>114.242798401158</v>
      </c>
      <c r="P346">
        <v>2982.0607992826299</v>
      </c>
      <c r="Q346">
        <v>7166.6926202418399</v>
      </c>
      <c r="R346">
        <v>18991.7354436409</v>
      </c>
      <c r="S346">
        <v>114.3</v>
      </c>
      <c r="T346">
        <v>0.19</v>
      </c>
      <c r="U346">
        <v>0</v>
      </c>
    </row>
    <row r="347" spans="1:21" x14ac:dyDescent="0.25">
      <c r="A347" t="s">
        <v>89</v>
      </c>
      <c r="B347" t="s">
        <v>90</v>
      </c>
      <c r="C347">
        <v>6</v>
      </c>
      <c r="D347">
        <v>8</v>
      </c>
      <c r="E347"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v>114.28748933038101</v>
      </c>
      <c r="P347">
        <v>2985.5618482265199</v>
      </c>
      <c r="Q347">
        <v>7175.1065806933902</v>
      </c>
      <c r="R347">
        <v>19014.032438837501</v>
      </c>
      <c r="S347">
        <v>114.3</v>
      </c>
      <c r="T347">
        <v>0.19</v>
      </c>
      <c r="U347">
        <v>0</v>
      </c>
    </row>
    <row r="348" spans="1:21" x14ac:dyDescent="0.25">
      <c r="A348" t="s">
        <v>89</v>
      </c>
      <c r="B348" t="s">
        <v>90</v>
      </c>
      <c r="C348">
        <v>7</v>
      </c>
      <c r="D348">
        <v>8</v>
      </c>
      <c r="E348"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v>114.29726376783999</v>
      </c>
      <c r="P348">
        <v>2986.32793426841</v>
      </c>
      <c r="Q348">
        <v>7176.9476911040801</v>
      </c>
      <c r="R348">
        <v>19018.911381425802</v>
      </c>
      <c r="S348">
        <v>114.3</v>
      </c>
      <c r="T348">
        <v>0.19</v>
      </c>
      <c r="U348">
        <v>0</v>
      </c>
    </row>
    <row r="349" spans="1:21" x14ac:dyDescent="0.25">
      <c r="A349" t="s">
        <v>89</v>
      </c>
      <c r="B349" t="s">
        <v>90</v>
      </c>
      <c r="C349">
        <v>8</v>
      </c>
      <c r="D349">
        <v>8</v>
      </c>
      <c r="E349"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v>114.299401553501</v>
      </c>
      <c r="P349">
        <v>2986.4955038558201</v>
      </c>
      <c r="Q349">
        <v>7177.3504058058697</v>
      </c>
      <c r="R349">
        <v>19019.978575385499</v>
      </c>
      <c r="S349">
        <v>114.3</v>
      </c>
      <c r="T349">
        <v>0.19</v>
      </c>
      <c r="U349">
        <v>0</v>
      </c>
    </row>
    <row r="350" spans="1:21" x14ac:dyDescent="0.25">
      <c r="A350" t="s">
        <v>89</v>
      </c>
      <c r="B350" t="s">
        <v>90</v>
      </c>
      <c r="C350">
        <v>9</v>
      </c>
      <c r="D350">
        <v>8</v>
      </c>
      <c r="E350"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v>114.299869112637</v>
      </c>
      <c r="P350">
        <v>2986.5321541518801</v>
      </c>
      <c r="Q350">
        <v>7177.4384863058904</v>
      </c>
      <c r="R350">
        <v>19020.211988710598</v>
      </c>
      <c r="S350">
        <v>114.3</v>
      </c>
      <c r="T350">
        <v>0.19</v>
      </c>
      <c r="U350">
        <v>0</v>
      </c>
    </row>
    <row r="351" spans="1:21" x14ac:dyDescent="0.25">
      <c r="A351" t="s">
        <v>89</v>
      </c>
      <c r="B351" t="s">
        <v>90</v>
      </c>
      <c r="C351">
        <v>10</v>
      </c>
      <c r="D351">
        <v>8</v>
      </c>
      <c r="E351"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v>114.299971373378</v>
      </c>
      <c r="P351">
        <v>2986.5401700472498</v>
      </c>
      <c r="Q351">
        <v>7177.4577506542901</v>
      </c>
      <c r="R351">
        <v>19020.263039233902</v>
      </c>
      <c r="S351">
        <v>114.3</v>
      </c>
      <c r="T351">
        <v>0.19</v>
      </c>
      <c r="U351">
        <v>0</v>
      </c>
    </row>
    <row r="352" spans="1:21" x14ac:dyDescent="0.25">
      <c r="A352" t="s">
        <v>91</v>
      </c>
      <c r="B352" t="s">
        <v>92</v>
      </c>
      <c r="C352">
        <v>1</v>
      </c>
      <c r="D352">
        <v>2</v>
      </c>
      <c r="E352"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v>19.031543165416199</v>
      </c>
      <c r="P352">
        <v>89.611833907615306</v>
      </c>
      <c r="Q352">
        <v>215.36129273639801</v>
      </c>
      <c r="R352">
        <v>570.70742575145505</v>
      </c>
      <c r="S352">
        <v>60.2</v>
      </c>
      <c r="T352">
        <v>0.19</v>
      </c>
      <c r="U352">
        <v>0</v>
      </c>
    </row>
    <row r="353" spans="1:21" x14ac:dyDescent="0.25">
      <c r="A353" t="s">
        <v>91</v>
      </c>
      <c r="B353" t="s">
        <v>92</v>
      </c>
      <c r="C353">
        <v>2</v>
      </c>
      <c r="D353">
        <v>2</v>
      </c>
      <c r="E353"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v>32.046481094003497</v>
      </c>
      <c r="P353">
        <v>427.84296656974999</v>
      </c>
      <c r="Q353">
        <v>1028.22150100877</v>
      </c>
      <c r="R353">
        <v>2724.78697767324</v>
      </c>
      <c r="S353">
        <v>60.2</v>
      </c>
      <c r="T353">
        <v>0.19</v>
      </c>
      <c r="U353">
        <v>0</v>
      </c>
    </row>
    <row r="354" spans="1:21" x14ac:dyDescent="0.25">
      <c r="A354" t="s">
        <v>91</v>
      </c>
      <c r="B354" t="s">
        <v>92</v>
      </c>
      <c r="C354">
        <v>3</v>
      </c>
      <c r="D354">
        <v>2</v>
      </c>
      <c r="E354"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v>40.946894886658498</v>
      </c>
      <c r="P354">
        <v>892.49598935225401</v>
      </c>
      <c r="Q354">
        <v>2144.90744857547</v>
      </c>
      <c r="R354">
        <v>5684.0047387249997</v>
      </c>
      <c r="S354">
        <v>60.2</v>
      </c>
      <c r="T354">
        <v>0.19</v>
      </c>
      <c r="U354">
        <v>0</v>
      </c>
    </row>
    <row r="355" spans="1:21" x14ac:dyDescent="0.25">
      <c r="A355" t="s">
        <v>91</v>
      </c>
      <c r="B355" t="s">
        <v>92</v>
      </c>
      <c r="C355">
        <v>4</v>
      </c>
      <c r="D355">
        <v>2</v>
      </c>
      <c r="E355"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v>47.033544405476697</v>
      </c>
      <c r="P355">
        <v>1352.59094710825</v>
      </c>
      <c r="Q355">
        <v>3250.6391422933202</v>
      </c>
      <c r="R355">
        <v>8614.1937270773105</v>
      </c>
      <c r="S355">
        <v>60.2</v>
      </c>
      <c r="T355">
        <v>0.19</v>
      </c>
      <c r="U355">
        <v>0</v>
      </c>
    </row>
    <row r="356" spans="1:21" x14ac:dyDescent="0.25">
      <c r="A356" t="s">
        <v>91</v>
      </c>
      <c r="B356" t="s">
        <v>92</v>
      </c>
      <c r="C356">
        <v>5</v>
      </c>
      <c r="D356">
        <v>2</v>
      </c>
      <c r="E356"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v>51.195969122797401</v>
      </c>
      <c r="P356">
        <v>1744.41839503647</v>
      </c>
      <c r="Q356">
        <v>4192.3056838175198</v>
      </c>
      <c r="R356">
        <v>11109.610062116401</v>
      </c>
      <c r="S356">
        <v>60.2</v>
      </c>
      <c r="T356">
        <v>0.19</v>
      </c>
      <c r="U356">
        <v>0</v>
      </c>
    </row>
    <row r="357" spans="1:21" x14ac:dyDescent="0.25">
      <c r="A357" t="s">
        <v>91</v>
      </c>
      <c r="B357" t="s">
        <v>92</v>
      </c>
      <c r="C357">
        <v>6</v>
      </c>
      <c r="D357">
        <v>2</v>
      </c>
      <c r="E357"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v>54.0424907557247</v>
      </c>
      <c r="P357">
        <v>2051.8680220091901</v>
      </c>
      <c r="Q357">
        <v>4931.1896707743199</v>
      </c>
      <c r="R357">
        <v>13067.652627551901</v>
      </c>
      <c r="S357">
        <v>60.2</v>
      </c>
      <c r="T357">
        <v>0.19</v>
      </c>
      <c r="U357">
        <v>0</v>
      </c>
    </row>
    <row r="358" spans="1:21" x14ac:dyDescent="0.25">
      <c r="A358" t="s">
        <v>91</v>
      </c>
      <c r="B358" t="s">
        <v>92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v>55.9891170509717</v>
      </c>
      <c r="P358">
        <v>2281.67723045515</v>
      </c>
      <c r="Q358">
        <v>5483.4828898225196</v>
      </c>
      <c r="R358">
        <v>14531.229658029701</v>
      </c>
      <c r="S358">
        <v>60.2</v>
      </c>
      <c r="T358">
        <v>0.19</v>
      </c>
      <c r="U358">
        <v>0</v>
      </c>
    </row>
    <row r="359" spans="1:21" x14ac:dyDescent="0.25">
      <c r="A359" t="s">
        <v>91</v>
      </c>
      <c r="B359" t="s">
        <v>92</v>
      </c>
      <c r="C359">
        <v>8</v>
      </c>
      <c r="D359">
        <v>2</v>
      </c>
      <c r="E359"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v>57.320339652449299</v>
      </c>
      <c r="P359">
        <v>2448.3281037301599</v>
      </c>
      <c r="Q359">
        <v>5883.98967491026</v>
      </c>
      <c r="R359">
        <v>15592.5726385122</v>
      </c>
      <c r="S359">
        <v>60.2</v>
      </c>
      <c r="T359">
        <v>0.19</v>
      </c>
      <c r="U359">
        <v>0</v>
      </c>
    </row>
    <row r="360" spans="1:21" x14ac:dyDescent="0.25">
      <c r="A360" t="s">
        <v>91</v>
      </c>
      <c r="B360" t="s">
        <v>92</v>
      </c>
      <c r="C360">
        <v>9</v>
      </c>
      <c r="D360">
        <v>2</v>
      </c>
      <c r="E360"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v>58.230711416670999</v>
      </c>
      <c r="P360">
        <v>2566.84497585294</v>
      </c>
      <c r="Q360">
        <v>6168.8175338931596</v>
      </c>
      <c r="R360">
        <v>16347.3664648169</v>
      </c>
      <c r="S360">
        <v>60.2</v>
      </c>
      <c r="T360">
        <v>0.19</v>
      </c>
      <c r="U360">
        <v>0</v>
      </c>
    </row>
    <row r="361" spans="1:21" x14ac:dyDescent="0.25">
      <c r="A361" t="s">
        <v>91</v>
      </c>
      <c r="B361" t="s">
        <v>92</v>
      </c>
      <c r="C361">
        <v>10</v>
      </c>
      <c r="D361">
        <v>2</v>
      </c>
      <c r="E361"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v>58.853279534258803</v>
      </c>
      <c r="P361">
        <v>2650.0578686173299</v>
      </c>
      <c r="Q361">
        <v>6368.8004532980704</v>
      </c>
      <c r="R361">
        <v>16877.321201239902</v>
      </c>
      <c r="S361">
        <v>60.2</v>
      </c>
      <c r="T361">
        <v>0.19</v>
      </c>
      <c r="U361">
        <v>0</v>
      </c>
    </row>
    <row r="362" spans="1:21" x14ac:dyDescent="0.25">
      <c r="A362" t="s">
        <v>93</v>
      </c>
      <c r="B362" t="s">
        <v>94</v>
      </c>
      <c r="C362">
        <v>1</v>
      </c>
      <c r="D362">
        <v>9</v>
      </c>
      <c r="E362"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 s="2">
        <v>1417.9064450384301</v>
      </c>
      <c r="P362" s="2">
        <v>48460919.603417397</v>
      </c>
      <c r="Q362" s="2">
        <v>116464598.90271001</v>
      </c>
      <c r="R362" s="2">
        <v>308631187.09218001</v>
      </c>
      <c r="S362">
        <v>1584.96</v>
      </c>
      <c r="T362" s="2">
        <v>0.25</v>
      </c>
      <c r="U362">
        <v>0</v>
      </c>
    </row>
    <row r="363" spans="1:21" x14ac:dyDescent="0.25">
      <c r="A363" t="s">
        <v>93</v>
      </c>
      <c r="B363" t="s">
        <v>94</v>
      </c>
      <c r="C363">
        <v>2</v>
      </c>
      <c r="D363">
        <v>9</v>
      </c>
      <c r="E363"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 s="2">
        <v>1567.35268484675</v>
      </c>
      <c r="P363" s="2">
        <v>65455948.114194199</v>
      </c>
      <c r="Q363" s="2">
        <v>157308214.64598501</v>
      </c>
      <c r="R363" s="2">
        <v>416866768.81185901</v>
      </c>
      <c r="S363">
        <v>1584.96</v>
      </c>
      <c r="T363" s="2">
        <v>0.25</v>
      </c>
      <c r="U363">
        <v>0</v>
      </c>
    </row>
    <row r="364" spans="1:21" x14ac:dyDescent="0.25">
      <c r="A364" t="s">
        <v>93</v>
      </c>
      <c r="B364" t="s">
        <v>94</v>
      </c>
      <c r="C364">
        <v>3</v>
      </c>
      <c r="D364">
        <v>9</v>
      </c>
      <c r="E364"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 s="2">
        <v>1583.10420263623</v>
      </c>
      <c r="P364" s="2">
        <v>67449296.887868494</v>
      </c>
      <c r="Q364" s="2">
        <v>162098766.85380501</v>
      </c>
      <c r="R364" s="2">
        <v>429561732.16258401</v>
      </c>
      <c r="S364">
        <v>1584.96</v>
      </c>
      <c r="T364" s="2">
        <v>0.25</v>
      </c>
      <c r="U364">
        <v>0</v>
      </c>
    </row>
    <row r="365" spans="1:21" x14ac:dyDescent="0.25">
      <c r="A365" t="s">
        <v>93</v>
      </c>
      <c r="B365" t="s">
        <v>94</v>
      </c>
      <c r="C365">
        <v>4</v>
      </c>
      <c r="D365">
        <v>9</v>
      </c>
      <c r="E365"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 s="2">
        <v>1584.7644003969101</v>
      </c>
      <c r="P365" s="2">
        <v>67661721.271844104</v>
      </c>
      <c r="Q365" s="2">
        <v>162609279.67278099</v>
      </c>
      <c r="R365" s="2">
        <v>430914591.13286901</v>
      </c>
      <c r="S365">
        <v>1584.96</v>
      </c>
      <c r="T365" s="2">
        <v>0.25</v>
      </c>
      <c r="U365">
        <v>0</v>
      </c>
    </row>
    <row r="366" spans="1:21" x14ac:dyDescent="0.25">
      <c r="A366" t="s">
        <v>93</v>
      </c>
      <c r="B366" t="s">
        <v>94</v>
      </c>
      <c r="C366">
        <v>5</v>
      </c>
      <c r="D366">
        <v>9</v>
      </c>
      <c r="E366"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 s="2">
        <v>1584.9393839535101</v>
      </c>
      <c r="P366" s="2">
        <v>67684136.583491698</v>
      </c>
      <c r="Q366" s="2">
        <v>162663149.68395001</v>
      </c>
      <c r="R366" s="2">
        <v>431057346.66246802</v>
      </c>
      <c r="S366">
        <v>1584.96</v>
      </c>
      <c r="T366" s="2">
        <v>0.25</v>
      </c>
      <c r="U366">
        <v>0</v>
      </c>
    </row>
    <row r="367" spans="1:21" x14ac:dyDescent="0.25">
      <c r="A367" t="s">
        <v>93</v>
      </c>
      <c r="B367" t="s">
        <v>94</v>
      </c>
      <c r="C367">
        <v>6</v>
      </c>
      <c r="D367">
        <v>9</v>
      </c>
      <c r="E367"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 s="2">
        <v>1584.9578270846901</v>
      </c>
      <c r="P367" s="2">
        <v>67686499.428307399</v>
      </c>
      <c r="Q367" s="2">
        <v>162668828.23433599</v>
      </c>
      <c r="R367" s="2">
        <v>431072394.82099098</v>
      </c>
      <c r="S367">
        <v>1584.96</v>
      </c>
      <c r="T367" s="2">
        <v>0.25</v>
      </c>
      <c r="U367">
        <v>0</v>
      </c>
    </row>
    <row r="368" spans="1:21" x14ac:dyDescent="0.25">
      <c r="A368" t="s">
        <v>93</v>
      </c>
      <c r="B368" t="s">
        <v>94</v>
      </c>
      <c r="C368">
        <v>7</v>
      </c>
      <c r="D368">
        <v>9</v>
      </c>
      <c r="E368"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 s="2">
        <v>1584.95977097641</v>
      </c>
      <c r="P368" s="2">
        <v>67686748.473522097</v>
      </c>
      <c r="Q368" s="2">
        <v>162669426.75684199</v>
      </c>
      <c r="R368" s="2">
        <v>431073980.90563202</v>
      </c>
      <c r="S368">
        <v>1584.96</v>
      </c>
      <c r="T368" s="2">
        <v>0.25</v>
      </c>
      <c r="U368">
        <v>0</v>
      </c>
    </row>
    <row r="369" spans="1:21" x14ac:dyDescent="0.25">
      <c r="A369" t="s">
        <v>93</v>
      </c>
      <c r="B369" t="s">
        <v>94</v>
      </c>
      <c r="C369">
        <v>8</v>
      </c>
      <c r="D369">
        <v>9</v>
      </c>
      <c r="E369"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 s="2">
        <v>1584.95997586109</v>
      </c>
      <c r="P369" s="2">
        <v>67686774.722730204</v>
      </c>
      <c r="Q369" s="2">
        <v>162669489.840736</v>
      </c>
      <c r="R369" s="2">
        <v>431074148.07795</v>
      </c>
      <c r="S369">
        <v>1584.96</v>
      </c>
      <c r="T369" s="2">
        <v>0.25</v>
      </c>
      <c r="U369">
        <v>0</v>
      </c>
    </row>
    <row r="370" spans="1:21" x14ac:dyDescent="0.25">
      <c r="A370" t="s">
        <v>93</v>
      </c>
      <c r="B370" t="s">
        <v>94</v>
      </c>
      <c r="C370">
        <v>9</v>
      </c>
      <c r="D370">
        <v>9</v>
      </c>
      <c r="E370"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 s="2">
        <v>1584.95999745578</v>
      </c>
      <c r="P370" s="2">
        <v>67686777.489376798</v>
      </c>
      <c r="Q370" s="2">
        <v>162669496.48973</v>
      </c>
      <c r="R370" s="2">
        <v>431074165.69778502</v>
      </c>
      <c r="S370">
        <v>1584.96</v>
      </c>
      <c r="T370" s="2">
        <v>0.25</v>
      </c>
      <c r="U370">
        <v>0</v>
      </c>
    </row>
    <row r="371" spans="1:21" x14ac:dyDescent="0.25">
      <c r="A371" t="s">
        <v>93</v>
      </c>
      <c r="B371" t="s">
        <v>94</v>
      </c>
      <c r="C371">
        <v>10</v>
      </c>
      <c r="D371">
        <v>9</v>
      </c>
      <c r="E371"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 s="2">
        <v>1584.9599997318401</v>
      </c>
      <c r="P371" s="2">
        <v>67686777.780979201</v>
      </c>
      <c r="Q371" s="2">
        <v>162669497.19052899</v>
      </c>
      <c r="R371" s="2">
        <v>431074167.55490202</v>
      </c>
      <c r="S371">
        <v>1584.96</v>
      </c>
      <c r="T371" s="2">
        <v>0.25</v>
      </c>
      <c r="U371">
        <v>0</v>
      </c>
    </row>
    <row r="372" spans="1:21" x14ac:dyDescent="0.25">
      <c r="A372" t="s">
        <v>95</v>
      </c>
      <c r="B372" s="2" t="s">
        <v>96</v>
      </c>
      <c r="C372">
        <v>1</v>
      </c>
      <c r="D372">
        <v>2</v>
      </c>
      <c r="E372"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v>44.836473739153099</v>
      </c>
      <c r="P372">
        <v>1216.8249786763299</v>
      </c>
      <c r="Q372">
        <v>2924.35707444442</v>
      </c>
      <c r="R372">
        <v>7749.5462472777299</v>
      </c>
      <c r="S372">
        <v>136</v>
      </c>
      <c r="T372">
        <v>0.2</v>
      </c>
      <c r="U372">
        <v>0</v>
      </c>
    </row>
    <row r="373" spans="1:21" x14ac:dyDescent="0.25">
      <c r="A373" t="s">
        <v>95</v>
      </c>
      <c r="B373" s="2" t="s">
        <v>96</v>
      </c>
      <c r="C373">
        <v>2</v>
      </c>
      <c r="D373">
        <v>2</v>
      </c>
      <c r="E373"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v>74.891260880057899</v>
      </c>
      <c r="P373">
        <v>5670.5762678765004</v>
      </c>
      <c r="Q373">
        <v>13627.917010037199</v>
      </c>
      <c r="R373">
        <v>36113.980076598702</v>
      </c>
      <c r="S373">
        <v>136</v>
      </c>
      <c r="T373">
        <v>0.2</v>
      </c>
      <c r="U373">
        <v>0</v>
      </c>
    </row>
    <row r="374" spans="1:21" x14ac:dyDescent="0.25">
      <c r="A374" t="s">
        <v>95</v>
      </c>
      <c r="B374" s="2" t="s">
        <v>96</v>
      </c>
      <c r="C374">
        <v>3</v>
      </c>
      <c r="D374">
        <v>2</v>
      </c>
      <c r="E374"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v>95.037587179940502</v>
      </c>
      <c r="P374">
        <v>11588.306520557901</v>
      </c>
      <c r="Q374">
        <v>27849.811392833199</v>
      </c>
      <c r="R374">
        <v>73802.000191007901</v>
      </c>
      <c r="S374">
        <v>136</v>
      </c>
      <c r="T374">
        <v>0.2</v>
      </c>
      <c r="U374">
        <v>0</v>
      </c>
    </row>
    <row r="375" spans="1:21" x14ac:dyDescent="0.25">
      <c r="A375" t="s">
        <v>95</v>
      </c>
      <c r="B375" s="2" t="s">
        <v>96</v>
      </c>
      <c r="C375">
        <v>4</v>
      </c>
      <c r="D375">
        <v>2</v>
      </c>
      <c r="E375"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v>108.542073552727</v>
      </c>
      <c r="P375">
        <v>17263.470632569901</v>
      </c>
      <c r="Q375">
        <v>41488.754223912299</v>
      </c>
      <c r="R375">
        <v>109945.198693367</v>
      </c>
      <c r="S375">
        <v>136</v>
      </c>
      <c r="T375">
        <v>0.2</v>
      </c>
      <c r="U375">
        <v>0</v>
      </c>
    </row>
    <row r="376" spans="1:21" x14ac:dyDescent="0.25">
      <c r="A376" t="s">
        <v>95</v>
      </c>
      <c r="B376" s="2" t="s">
        <v>96</v>
      </c>
      <c r="C376">
        <v>5</v>
      </c>
      <c r="D376">
        <v>2</v>
      </c>
      <c r="E376"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v>117.594401479821</v>
      </c>
      <c r="P376">
        <v>21952.991364567501</v>
      </c>
      <c r="Q376">
        <v>52758.931421695503</v>
      </c>
      <c r="R376">
        <v>139811.16826749299</v>
      </c>
      <c r="S376">
        <v>136</v>
      </c>
      <c r="T376">
        <v>0.2</v>
      </c>
      <c r="U376">
        <v>0</v>
      </c>
    </row>
    <row r="377" spans="1:21" x14ac:dyDescent="0.25">
      <c r="A377" t="s">
        <v>95</v>
      </c>
      <c r="B377" s="2" t="s">
        <v>96</v>
      </c>
      <c r="C377">
        <v>6</v>
      </c>
      <c r="D377">
        <v>2</v>
      </c>
      <c r="E377"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v>123.66235835264</v>
      </c>
      <c r="P377">
        <v>25529.7370900352</v>
      </c>
      <c r="Q377">
        <v>61354.811559805901</v>
      </c>
      <c r="R377">
        <v>162590.25063348599</v>
      </c>
      <c r="S377">
        <v>136</v>
      </c>
      <c r="T377">
        <v>0.2</v>
      </c>
      <c r="U377">
        <v>0</v>
      </c>
    </row>
    <row r="378" spans="1:21" x14ac:dyDescent="0.25">
      <c r="A378" t="s">
        <v>95</v>
      </c>
      <c r="B378" s="2" t="s">
        <v>96</v>
      </c>
      <c r="C378">
        <v>7</v>
      </c>
      <c r="D378">
        <v>2</v>
      </c>
      <c r="E378"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v>127.72983148297</v>
      </c>
      <c r="P378">
        <v>28132.659259456599</v>
      </c>
      <c r="Q378">
        <v>67610.332274589397</v>
      </c>
      <c r="R378">
        <v>179167.380527662</v>
      </c>
      <c r="S378">
        <v>136</v>
      </c>
      <c r="T378">
        <v>0.2</v>
      </c>
      <c r="U378">
        <v>0</v>
      </c>
    </row>
    <row r="379" spans="1:21" x14ac:dyDescent="0.25">
      <c r="A379" t="s">
        <v>95</v>
      </c>
      <c r="B379" s="2" t="s">
        <v>96</v>
      </c>
      <c r="C379">
        <v>8</v>
      </c>
      <c r="D379">
        <v>2</v>
      </c>
      <c r="E379"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v>130.45634025894199</v>
      </c>
      <c r="P379">
        <v>29972.9397906187</v>
      </c>
      <c r="Q379">
        <v>72033.020405236006</v>
      </c>
      <c r="R379">
        <v>190887.50407387601</v>
      </c>
      <c r="S379">
        <v>136</v>
      </c>
      <c r="T379">
        <v>0.2</v>
      </c>
      <c r="U379">
        <v>0</v>
      </c>
    </row>
    <row r="380" spans="1:21" x14ac:dyDescent="0.25">
      <c r="A380" t="s">
        <v>95</v>
      </c>
      <c r="B380" s="2" t="s">
        <v>96</v>
      </c>
      <c r="C380">
        <v>9</v>
      </c>
      <c r="D380">
        <v>2</v>
      </c>
      <c r="E380"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v>132.28397374716801</v>
      </c>
      <c r="P380">
        <v>31250.3917385233</v>
      </c>
      <c r="Q380">
        <v>75103.080361747794</v>
      </c>
      <c r="R380">
        <v>199023.16295863199</v>
      </c>
      <c r="S380">
        <v>136</v>
      </c>
      <c r="T380">
        <v>0.2</v>
      </c>
      <c r="U380">
        <v>0</v>
      </c>
    </row>
    <row r="381" spans="1:21" x14ac:dyDescent="0.25">
      <c r="A381" t="s">
        <v>95</v>
      </c>
      <c r="B381" s="2" t="s">
        <v>96</v>
      </c>
      <c r="C381">
        <v>10</v>
      </c>
      <c r="D381">
        <v>2</v>
      </c>
      <c r="E381"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v>133.50907311113201</v>
      </c>
      <c r="P381">
        <v>32126.699489423499</v>
      </c>
      <c r="Q381">
        <v>77209.083127669903</v>
      </c>
      <c r="R381">
        <v>204604.07028832499</v>
      </c>
      <c r="S381">
        <v>136</v>
      </c>
      <c r="T381">
        <v>0.2</v>
      </c>
      <c r="U381">
        <v>0</v>
      </c>
    </row>
    <row r="382" spans="1:21" x14ac:dyDescent="0.25">
      <c r="A382" t="s">
        <v>97</v>
      </c>
      <c r="B382" t="s">
        <v>98</v>
      </c>
      <c r="C382">
        <v>1</v>
      </c>
      <c r="D382">
        <v>2</v>
      </c>
      <c r="E382"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v>18.334128220497099</v>
      </c>
      <c r="P382">
        <v>400.58450789581099</v>
      </c>
      <c r="Q382">
        <v>962.71210741603102</v>
      </c>
      <c r="R382">
        <v>2551.1870846524798</v>
      </c>
      <c r="S382">
        <v>23.6</v>
      </c>
      <c r="T382">
        <v>0.75</v>
      </c>
      <c r="U382">
        <v>0</v>
      </c>
    </row>
    <row r="383" spans="1:21" x14ac:dyDescent="0.25">
      <c r="A383" t="s">
        <v>97</v>
      </c>
      <c r="B383" t="s">
        <v>98</v>
      </c>
      <c r="C383">
        <v>2</v>
      </c>
      <c r="D383">
        <v>2</v>
      </c>
      <c r="E383"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v>22.4250251865184</v>
      </c>
      <c r="P383">
        <v>733.01384085176198</v>
      </c>
      <c r="Q383">
        <v>1761.6290335298299</v>
      </c>
      <c r="R383">
        <v>4668.31693885405</v>
      </c>
      <c r="S383">
        <v>23.6</v>
      </c>
      <c r="T383">
        <v>0.75</v>
      </c>
      <c r="U383">
        <v>0</v>
      </c>
    </row>
    <row r="384" spans="1:21" x14ac:dyDescent="0.25">
      <c r="A384" t="s">
        <v>97</v>
      </c>
      <c r="B384" t="s">
        <v>98</v>
      </c>
      <c r="C384">
        <v>3</v>
      </c>
      <c r="D384">
        <v>2</v>
      </c>
      <c r="E384"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v>23.337827681697501</v>
      </c>
      <c r="P384">
        <v>826.21798263751305</v>
      </c>
      <c r="Q384">
        <v>1985.62360643478</v>
      </c>
      <c r="R384">
        <v>5261.9025570521699</v>
      </c>
      <c r="S384">
        <v>23.6</v>
      </c>
      <c r="T384">
        <v>0.75</v>
      </c>
      <c r="U384">
        <v>0</v>
      </c>
    </row>
    <row r="385" spans="1:21" x14ac:dyDescent="0.25">
      <c r="A385" t="s">
        <v>97</v>
      </c>
      <c r="B385" t="s">
        <v>98</v>
      </c>
      <c r="C385">
        <v>4</v>
      </c>
      <c r="D385">
        <v>2</v>
      </c>
      <c r="E385"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v>23.541501448630701</v>
      </c>
      <c r="P385">
        <v>848.03901153410004</v>
      </c>
      <c r="Q385">
        <v>2038.0653966212501</v>
      </c>
      <c r="R385">
        <v>5400.8733010463002</v>
      </c>
      <c r="S385">
        <v>23.6</v>
      </c>
      <c r="T385">
        <v>0.75</v>
      </c>
      <c r="U385">
        <v>0</v>
      </c>
    </row>
    <row r="386" spans="1:21" x14ac:dyDescent="0.25">
      <c r="A386" t="s">
        <v>97</v>
      </c>
      <c r="B386" t="s">
        <v>98</v>
      </c>
      <c r="C386">
        <v>5</v>
      </c>
      <c r="D386">
        <v>2</v>
      </c>
      <c r="E386"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v>23.586947208864501</v>
      </c>
      <c r="P386">
        <v>852.95979682542895</v>
      </c>
      <c r="Q386">
        <v>2049.8913646369301</v>
      </c>
      <c r="R386">
        <v>5432.2121162878802</v>
      </c>
      <c r="S386">
        <v>23.6</v>
      </c>
      <c r="T386">
        <v>0.75</v>
      </c>
      <c r="U386">
        <v>0</v>
      </c>
    </row>
    <row r="387" spans="1:21" x14ac:dyDescent="0.25">
      <c r="A387" t="s">
        <v>97</v>
      </c>
      <c r="B387" t="s">
        <v>98</v>
      </c>
      <c r="C387">
        <v>6</v>
      </c>
      <c r="D387">
        <v>2</v>
      </c>
      <c r="E387"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v>23.5970875286236</v>
      </c>
      <c r="P387">
        <v>854.06036367353499</v>
      </c>
      <c r="Q387">
        <v>2052.5363222146998</v>
      </c>
      <c r="R387">
        <v>5439.22125386895</v>
      </c>
      <c r="S387">
        <v>23.6</v>
      </c>
      <c r="T387">
        <v>0.75</v>
      </c>
      <c r="U387">
        <v>0</v>
      </c>
    </row>
    <row r="388" spans="1:21" x14ac:dyDescent="0.25">
      <c r="A388" t="s">
        <v>97</v>
      </c>
      <c r="B388" t="s">
        <v>98</v>
      </c>
      <c r="C388">
        <v>7</v>
      </c>
      <c r="D388">
        <v>2</v>
      </c>
      <c r="E388"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v>23.599350139795298</v>
      </c>
      <c r="P388">
        <v>854.30606244627199</v>
      </c>
      <c r="Q388">
        <v>2053.1268023222101</v>
      </c>
      <c r="R388">
        <v>5440.7860261538599</v>
      </c>
      <c r="S388">
        <v>23.6</v>
      </c>
      <c r="T388">
        <v>0.75</v>
      </c>
      <c r="U388">
        <v>0</v>
      </c>
    </row>
    <row r="389" spans="1:21" x14ac:dyDescent="0.25">
      <c r="A389" t="s">
        <v>97</v>
      </c>
      <c r="B389" t="s">
        <v>98</v>
      </c>
      <c r="C389">
        <v>8</v>
      </c>
      <c r="D389">
        <v>2</v>
      </c>
      <c r="E389"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v>23.599854996588501</v>
      </c>
      <c r="P389">
        <v>854.36089168224396</v>
      </c>
      <c r="Q389">
        <v>2053.2585716948902</v>
      </c>
      <c r="R389">
        <v>5441.1352149914601</v>
      </c>
      <c r="S389">
        <v>23.6</v>
      </c>
      <c r="T389">
        <v>0.75</v>
      </c>
      <c r="U389">
        <v>0</v>
      </c>
    </row>
    <row r="390" spans="1:21" x14ac:dyDescent="0.25">
      <c r="A390" t="s">
        <v>97</v>
      </c>
      <c r="B390" t="s">
        <v>98</v>
      </c>
      <c r="C390">
        <v>9</v>
      </c>
      <c r="D390">
        <v>2</v>
      </c>
      <c r="E390"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v>23.599967645365599</v>
      </c>
      <c r="P390">
        <v>854.37312605856403</v>
      </c>
      <c r="Q390">
        <v>2053.2879741854499</v>
      </c>
      <c r="R390">
        <v>5441.2131315914303</v>
      </c>
      <c r="S390">
        <v>23.6</v>
      </c>
      <c r="T390">
        <v>0.75</v>
      </c>
      <c r="U390">
        <v>0</v>
      </c>
    </row>
    <row r="391" spans="1:21" x14ac:dyDescent="0.25">
      <c r="A391" t="s">
        <v>97</v>
      </c>
      <c r="B391" t="s">
        <v>98</v>
      </c>
      <c r="C391">
        <v>10</v>
      </c>
      <c r="D391">
        <v>2</v>
      </c>
      <c r="E391"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v>23.5999927807052</v>
      </c>
      <c r="P391">
        <v>854.37585593284996</v>
      </c>
      <c r="Q391">
        <v>2053.2945348061799</v>
      </c>
      <c r="R391">
        <v>5441.2305172363704</v>
      </c>
      <c r="S391">
        <v>23.6</v>
      </c>
      <c r="T391">
        <v>0.75</v>
      </c>
      <c r="U391">
        <v>0</v>
      </c>
    </row>
    <row r="392" spans="1:21" x14ac:dyDescent="0.25">
      <c r="A392" t="s">
        <v>99</v>
      </c>
      <c r="B392" t="s">
        <v>100</v>
      </c>
      <c r="C392">
        <v>1</v>
      </c>
      <c r="D392">
        <v>2</v>
      </c>
      <c r="E392"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v>12.2209383148654</v>
      </c>
      <c r="P392">
        <v>35.165384491845202</v>
      </c>
      <c r="Q392">
        <v>84.511858908544198</v>
      </c>
      <c r="R392">
        <v>223.95642610764199</v>
      </c>
      <c r="S392">
        <v>42.4</v>
      </c>
      <c r="T392">
        <v>0.17</v>
      </c>
      <c r="U392">
        <v>0</v>
      </c>
    </row>
    <row r="393" spans="1:21" x14ac:dyDescent="0.25">
      <c r="A393" t="s">
        <v>99</v>
      </c>
      <c r="B393" t="s">
        <v>100</v>
      </c>
      <c r="C393">
        <v>2</v>
      </c>
      <c r="D393">
        <v>2</v>
      </c>
      <c r="E393"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v>20.919439523699001</v>
      </c>
      <c r="P393">
        <v>186.121437255704</v>
      </c>
      <c r="Q393">
        <v>447.29977711055898</v>
      </c>
      <c r="R393">
        <v>1185.34440934298</v>
      </c>
      <c r="S393">
        <v>42.4</v>
      </c>
      <c r="T393">
        <v>0.17</v>
      </c>
      <c r="U393">
        <v>0</v>
      </c>
    </row>
    <row r="394" spans="1:21" x14ac:dyDescent="0.25">
      <c r="A394" t="s">
        <v>99</v>
      </c>
      <c r="B394" t="s">
        <v>100</v>
      </c>
      <c r="C394">
        <v>3</v>
      </c>
      <c r="D394">
        <v>2</v>
      </c>
      <c r="E394"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v>27.110774536661499</v>
      </c>
      <c r="P394">
        <v>415.74901347532898</v>
      </c>
      <c r="Q394">
        <v>999.15648516060696</v>
      </c>
      <c r="R394">
        <v>2647.7646856756101</v>
      </c>
      <c r="S394">
        <v>42.4</v>
      </c>
      <c r="T394">
        <v>0.17</v>
      </c>
      <c r="U394">
        <v>0</v>
      </c>
    </row>
    <row r="395" spans="1:21" x14ac:dyDescent="0.25">
      <c r="A395" t="s">
        <v>99</v>
      </c>
      <c r="B395" t="s">
        <v>100</v>
      </c>
      <c r="C395">
        <v>4</v>
      </c>
      <c r="D395">
        <v>2</v>
      </c>
      <c r="E395"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v>31.517583057169201</v>
      </c>
      <c r="P395">
        <v>663.14006515420897</v>
      </c>
      <c r="Q395">
        <v>1593.7035932569299</v>
      </c>
      <c r="R395">
        <v>4223.3145221308696</v>
      </c>
      <c r="S395">
        <v>42.4</v>
      </c>
      <c r="T395">
        <v>0.17</v>
      </c>
      <c r="U395">
        <v>0</v>
      </c>
    </row>
    <row r="396" spans="1:21" x14ac:dyDescent="0.25">
      <c r="A396" t="s">
        <v>99</v>
      </c>
      <c r="B396" t="s">
        <v>100</v>
      </c>
      <c r="C396">
        <v>5</v>
      </c>
      <c r="D396">
        <v>2</v>
      </c>
      <c r="E396"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v>34.654218580164098</v>
      </c>
      <c r="P396">
        <v>889.88769421480004</v>
      </c>
      <c r="Q396">
        <v>2138.6390151761598</v>
      </c>
      <c r="R396">
        <v>5667.3933902168201</v>
      </c>
      <c r="S396">
        <v>42.4</v>
      </c>
      <c r="T396">
        <v>0.17</v>
      </c>
      <c r="U396">
        <v>0</v>
      </c>
    </row>
    <row r="397" spans="1:21" x14ac:dyDescent="0.25">
      <c r="A397" t="s">
        <v>99</v>
      </c>
      <c r="B397" t="s">
        <v>100</v>
      </c>
      <c r="C397">
        <v>6</v>
      </c>
      <c r="D397">
        <v>2</v>
      </c>
      <c r="E397"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v>36.886782658754697</v>
      </c>
      <c r="P397">
        <v>1079.9177194327999</v>
      </c>
      <c r="Q397">
        <v>2595.3321784013401</v>
      </c>
      <c r="R397">
        <v>6877.6302727635502</v>
      </c>
      <c r="S397">
        <v>42.4</v>
      </c>
      <c r="T397">
        <v>0.17</v>
      </c>
      <c r="U397">
        <v>0</v>
      </c>
    </row>
    <row r="398" spans="1:21" x14ac:dyDescent="0.25">
      <c r="A398" t="s">
        <v>99</v>
      </c>
      <c r="B398" t="s">
        <v>100</v>
      </c>
      <c r="C398">
        <v>7</v>
      </c>
      <c r="D398">
        <v>2</v>
      </c>
      <c r="E398"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v>38.475855513561399</v>
      </c>
      <c r="P398">
        <v>1230.7644492500699</v>
      </c>
      <c r="Q398">
        <v>2957.8573642154902</v>
      </c>
      <c r="R398">
        <v>7838.3220151710502</v>
      </c>
      <c r="S398">
        <v>42.4</v>
      </c>
      <c r="T398">
        <v>0.17</v>
      </c>
      <c r="U398">
        <v>0</v>
      </c>
    </row>
    <row r="399" spans="1:21" x14ac:dyDescent="0.25">
      <c r="A399" t="s">
        <v>99</v>
      </c>
      <c r="B399" t="s">
        <v>100</v>
      </c>
      <c r="C399">
        <v>8</v>
      </c>
      <c r="D399">
        <v>2</v>
      </c>
      <c r="E399"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v>39.606910412320502</v>
      </c>
      <c r="P399">
        <v>1346.42216903089</v>
      </c>
      <c r="Q399">
        <v>3235.8139125952798</v>
      </c>
      <c r="R399">
        <v>8574.9068683774894</v>
      </c>
      <c r="S399">
        <v>42.4</v>
      </c>
      <c r="T399">
        <v>0.17</v>
      </c>
      <c r="U399">
        <v>0</v>
      </c>
    </row>
    <row r="400" spans="1:21" x14ac:dyDescent="0.25">
      <c r="A400" t="s">
        <v>99</v>
      </c>
      <c r="B400" t="s">
        <v>100</v>
      </c>
      <c r="C400">
        <v>9</v>
      </c>
      <c r="D400">
        <v>2</v>
      </c>
      <c r="E400"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v>40.411961722672501</v>
      </c>
      <c r="P400">
        <v>1433.0853330964401</v>
      </c>
      <c r="Q400">
        <v>3444.08876014525</v>
      </c>
      <c r="R400">
        <v>9126.8352143849297</v>
      </c>
      <c r="S400">
        <v>42.4</v>
      </c>
      <c r="T400">
        <v>0.17</v>
      </c>
      <c r="U400">
        <v>0</v>
      </c>
    </row>
    <row r="401" spans="1:21" x14ac:dyDescent="0.25">
      <c r="A401" t="s">
        <v>99</v>
      </c>
      <c r="B401" t="s">
        <v>100</v>
      </c>
      <c r="C401">
        <v>10</v>
      </c>
      <c r="D401">
        <v>2</v>
      </c>
      <c r="E401"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v>40.9849733536822</v>
      </c>
      <c r="P401">
        <v>1497.0203221619099</v>
      </c>
      <c r="Q401">
        <v>3597.74170190318</v>
      </c>
      <c r="R401">
        <v>9534.0155100434204</v>
      </c>
      <c r="S401">
        <v>42.4</v>
      </c>
      <c r="T401">
        <v>0.17</v>
      </c>
      <c r="U401">
        <v>0</v>
      </c>
    </row>
    <row r="402" spans="1:21" x14ac:dyDescent="0.25">
      <c r="A402" t="s">
        <v>101</v>
      </c>
      <c r="B402" t="s">
        <v>102</v>
      </c>
      <c r="C402">
        <v>1</v>
      </c>
      <c r="D402">
        <v>2</v>
      </c>
      <c r="E402"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 s="2">
        <v>30.428790426725801</v>
      </c>
      <c r="P402" s="2">
        <v>475.733552301668</v>
      </c>
      <c r="Q402" s="2">
        <v>1143.3154345149401</v>
      </c>
      <c r="R402" s="2">
        <v>3029.7859014646001</v>
      </c>
      <c r="S402">
        <v>150.03333333333299</v>
      </c>
      <c r="T402">
        <v>0.11333333333333299</v>
      </c>
      <c r="U402">
        <v>0</v>
      </c>
    </row>
    <row r="403" spans="1:21" x14ac:dyDescent="0.25">
      <c r="A403" t="s">
        <v>101</v>
      </c>
      <c r="B403" t="s">
        <v>102</v>
      </c>
      <c r="C403">
        <v>2</v>
      </c>
      <c r="D403">
        <v>2</v>
      </c>
      <c r="E403"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 s="2">
        <v>43.244059241516503</v>
      </c>
      <c r="P403" s="2">
        <v>1414.33813769783</v>
      </c>
      <c r="Q403" s="2">
        <v>3399.0342170099302</v>
      </c>
      <c r="R403" s="2">
        <v>9007.4406750763101</v>
      </c>
      <c r="S403">
        <v>150.03333333333299</v>
      </c>
      <c r="T403">
        <v>0.11333333333333299</v>
      </c>
      <c r="U403">
        <v>1</v>
      </c>
    </row>
    <row r="404" spans="1:21" x14ac:dyDescent="0.25">
      <c r="A404" t="s">
        <v>101</v>
      </c>
      <c r="B404" t="s">
        <v>102</v>
      </c>
      <c r="C404">
        <v>3</v>
      </c>
      <c r="D404">
        <v>2</v>
      </c>
      <c r="E404"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 s="2">
        <v>54.686210356893497</v>
      </c>
      <c r="P404" s="2">
        <v>2928.2119927871399</v>
      </c>
      <c r="Q404" s="2">
        <v>7037.2794827857397</v>
      </c>
      <c r="R404" s="2">
        <v>18648.790629382202</v>
      </c>
      <c r="S404">
        <v>150.03333333333299</v>
      </c>
      <c r="T404">
        <v>0.11333333333333299</v>
      </c>
      <c r="U404">
        <v>2</v>
      </c>
    </row>
    <row r="405" spans="1:21" x14ac:dyDescent="0.25">
      <c r="A405" t="s">
        <v>101</v>
      </c>
      <c r="B405" t="s">
        <v>102</v>
      </c>
      <c r="C405">
        <v>4</v>
      </c>
      <c r="D405">
        <v>2</v>
      </c>
      <c r="E405"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 s="2">
        <v>64.902369224822905</v>
      </c>
      <c r="P405" s="2">
        <v>4979.5368821648699</v>
      </c>
      <c r="Q405" s="2">
        <v>11967.163860045401</v>
      </c>
      <c r="R405" s="2">
        <v>31712.9842291202</v>
      </c>
      <c r="S405">
        <v>150.03333333333299</v>
      </c>
      <c r="T405">
        <v>0.11333333333333299</v>
      </c>
      <c r="U405">
        <v>3</v>
      </c>
    </row>
    <row r="406" spans="1:21" x14ac:dyDescent="0.25">
      <c r="A406" t="s">
        <v>101</v>
      </c>
      <c r="B406" t="s">
        <v>102</v>
      </c>
      <c r="C406">
        <v>5</v>
      </c>
      <c r="D406">
        <v>2</v>
      </c>
      <c r="E406"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 s="2">
        <v>74.023897245416094</v>
      </c>
      <c r="P406" s="2">
        <v>7485.7320844855503</v>
      </c>
      <c r="Q406" s="2">
        <v>17990.223707006899</v>
      </c>
      <c r="R406" s="2">
        <v>47674.0928235682</v>
      </c>
      <c r="S406">
        <v>150.03333333333299</v>
      </c>
      <c r="T406">
        <v>0.11333333333333299</v>
      </c>
      <c r="U406">
        <v>4</v>
      </c>
    </row>
    <row r="407" spans="1:21" x14ac:dyDescent="0.25">
      <c r="A407" t="s">
        <v>101</v>
      </c>
      <c r="B407" t="s">
        <v>102</v>
      </c>
      <c r="C407">
        <v>6</v>
      </c>
      <c r="D407">
        <v>2</v>
      </c>
      <c r="E407"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 s="2">
        <v>82.168080837906501</v>
      </c>
      <c r="P407" s="2">
        <v>10345.726443339499</v>
      </c>
      <c r="Q407" s="2">
        <v>24863.557902762601</v>
      </c>
      <c r="R407" s="2">
        <v>65888.428442321005</v>
      </c>
      <c r="S407">
        <v>150.03333333333299</v>
      </c>
      <c r="T407">
        <v>0.11333333333333299</v>
      </c>
      <c r="U407">
        <v>5</v>
      </c>
    </row>
    <row r="408" spans="1:21" x14ac:dyDescent="0.25">
      <c r="A408" t="s">
        <v>101</v>
      </c>
      <c r="B408" t="s">
        <v>102</v>
      </c>
      <c r="C408">
        <v>7</v>
      </c>
      <c r="D408">
        <v>2</v>
      </c>
      <c r="E408"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 s="2">
        <v>89.439639532726702</v>
      </c>
      <c r="P408" s="2">
        <v>13456.260024838401</v>
      </c>
      <c r="Q408" s="2">
        <v>32339.005106557001</v>
      </c>
      <c r="R408" s="2">
        <v>85698.363532375995</v>
      </c>
      <c r="S408">
        <v>150.03333333333299</v>
      </c>
      <c r="T408">
        <v>0.11333333333333299</v>
      </c>
      <c r="U408">
        <v>6</v>
      </c>
    </row>
    <row r="409" spans="1:21" x14ac:dyDescent="0.25">
      <c r="A409" t="s">
        <v>101</v>
      </c>
      <c r="B409" t="s">
        <v>102</v>
      </c>
      <c r="C409">
        <v>8</v>
      </c>
      <c r="D409">
        <v>2</v>
      </c>
      <c r="E409"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 s="2">
        <v>95.932072476032502</v>
      </c>
      <c r="P409" s="2">
        <v>16721.264219498698</v>
      </c>
      <c r="Q409" s="2">
        <v>40185.686660655498</v>
      </c>
      <c r="R409" s="2">
        <v>106492.069650737</v>
      </c>
      <c r="S409">
        <v>150.03333333333299</v>
      </c>
      <c r="T409">
        <v>0.11333333333333299</v>
      </c>
      <c r="U409">
        <v>7</v>
      </c>
    </row>
    <row r="410" spans="1:21" x14ac:dyDescent="0.25">
      <c r="A410" t="s">
        <v>101</v>
      </c>
      <c r="B410" t="s">
        <v>102</v>
      </c>
      <c r="C410">
        <v>9</v>
      </c>
      <c r="D410">
        <v>2</v>
      </c>
      <c r="E410"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 s="2">
        <v>101.728860660297</v>
      </c>
      <c r="P410" s="2">
        <v>20056.641216152198</v>
      </c>
      <c r="Q410" s="2">
        <v>48201.492949176201</v>
      </c>
      <c r="R410" s="2">
        <v>127733.956315317</v>
      </c>
      <c r="S410">
        <v>150.03333333333299</v>
      </c>
      <c r="T410">
        <v>0.11333333333333299</v>
      </c>
      <c r="U410">
        <v>8</v>
      </c>
    </row>
    <row r="411" spans="1:21" x14ac:dyDescent="0.25">
      <c r="A411" t="s">
        <v>101</v>
      </c>
      <c r="B411" t="s">
        <v>102</v>
      </c>
      <c r="C411">
        <v>10</v>
      </c>
      <c r="D411">
        <v>2</v>
      </c>
      <c r="E411"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 s="2">
        <v>106.904540339497</v>
      </c>
      <c r="P411" s="2">
        <v>23392.105426918799</v>
      </c>
      <c r="Q411" s="2">
        <v>56217.508836622801</v>
      </c>
      <c r="R411" s="2">
        <v>148976.39841705101</v>
      </c>
      <c r="S411">
        <v>150.03333333333299</v>
      </c>
      <c r="T411">
        <v>0.11333333333333299</v>
      </c>
      <c r="U411">
        <v>9</v>
      </c>
    </row>
    <row r="412" spans="1:21" x14ac:dyDescent="0.25">
      <c r="A412" t="s">
        <v>103</v>
      </c>
      <c r="B412" t="s">
        <v>104</v>
      </c>
      <c r="C412">
        <v>1</v>
      </c>
      <c r="D412">
        <v>1</v>
      </c>
      <c r="E412"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v>10.773328173702801</v>
      </c>
      <c r="P412">
        <v>10.1046911210207</v>
      </c>
      <c r="Q412">
        <v>24.284285318482699</v>
      </c>
      <c r="R412">
        <v>64.353356093979201</v>
      </c>
      <c r="S412">
        <v>65.400000000000006</v>
      </c>
      <c r="T412">
        <v>0.18</v>
      </c>
      <c r="U412">
        <v>0</v>
      </c>
    </row>
    <row r="413" spans="1:21" x14ac:dyDescent="0.25">
      <c r="A413" t="s">
        <v>103</v>
      </c>
      <c r="B413" t="s">
        <v>104</v>
      </c>
      <c r="C413">
        <v>2</v>
      </c>
      <c r="D413">
        <v>1</v>
      </c>
      <c r="E413"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v>19.771968274954599</v>
      </c>
      <c r="P413">
        <v>55.320116515163498</v>
      </c>
      <c r="Q413">
        <v>132.949090399336</v>
      </c>
      <c r="R413">
        <v>352.31508955823898</v>
      </c>
      <c r="S413">
        <v>65.400000000000006</v>
      </c>
      <c r="T413">
        <v>0.18</v>
      </c>
      <c r="U413">
        <v>0</v>
      </c>
    </row>
    <row r="414" spans="1:21" x14ac:dyDescent="0.25">
      <c r="A414" t="s">
        <v>103</v>
      </c>
      <c r="B414" t="s">
        <v>104</v>
      </c>
      <c r="C414">
        <v>3</v>
      </c>
      <c r="D414">
        <v>1</v>
      </c>
      <c r="E414"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v>27.288264294741101</v>
      </c>
      <c r="P414">
        <v>136.356519656892</v>
      </c>
      <c r="Q414">
        <v>327.70132097306498</v>
      </c>
      <c r="R414">
        <v>868.40850057862201</v>
      </c>
      <c r="S414">
        <v>65.400000000000006</v>
      </c>
      <c r="T414">
        <v>0.18</v>
      </c>
      <c r="U414">
        <v>0</v>
      </c>
    </row>
    <row r="415" spans="1:21" x14ac:dyDescent="0.25">
      <c r="A415" t="s">
        <v>103</v>
      </c>
      <c r="B415" t="s">
        <v>104</v>
      </c>
      <c r="C415">
        <v>4</v>
      </c>
      <c r="D415">
        <v>1</v>
      </c>
      <c r="E415"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v>33.566402460217901</v>
      </c>
      <c r="P415">
        <v>243.48756422706001</v>
      </c>
      <c r="Q415">
        <v>585.165979877577</v>
      </c>
      <c r="R415">
        <v>1550.6898466755799</v>
      </c>
      <c r="S415">
        <v>65.400000000000006</v>
      </c>
      <c r="T415">
        <v>0.18</v>
      </c>
      <c r="U415">
        <v>0</v>
      </c>
    </row>
    <row r="416" spans="1:21" x14ac:dyDescent="0.25">
      <c r="A416" t="s">
        <v>103</v>
      </c>
      <c r="B416" t="s">
        <v>104</v>
      </c>
      <c r="C416">
        <v>5</v>
      </c>
      <c r="D416">
        <v>1</v>
      </c>
      <c r="E416"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v>38.810344252964804</v>
      </c>
      <c r="P416">
        <v>365.59170918238999</v>
      </c>
      <c r="Q416">
        <v>878.615018462845</v>
      </c>
      <c r="R416">
        <v>2328.3297989265402</v>
      </c>
      <c r="S416">
        <v>65.400000000000006</v>
      </c>
      <c r="T416">
        <v>0.18</v>
      </c>
      <c r="U416">
        <v>0</v>
      </c>
    </row>
    <row r="417" spans="1:21" x14ac:dyDescent="0.25">
      <c r="A417" t="s">
        <v>103</v>
      </c>
      <c r="B417" t="s">
        <v>104</v>
      </c>
      <c r="C417">
        <v>6</v>
      </c>
      <c r="D417">
        <v>1</v>
      </c>
      <c r="E417"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v>43.190452622820999</v>
      </c>
      <c r="P417">
        <v>493.20681311952802</v>
      </c>
      <c r="Q417">
        <v>1185.30837087125</v>
      </c>
      <c r="R417">
        <v>3141.0671828088198</v>
      </c>
      <c r="S417">
        <v>65.400000000000006</v>
      </c>
      <c r="T417">
        <v>0.18</v>
      </c>
      <c r="U417">
        <v>0</v>
      </c>
    </row>
    <row r="418" spans="1:21" x14ac:dyDescent="0.25">
      <c r="A418" t="s">
        <v>103</v>
      </c>
      <c r="B418" t="s">
        <v>104</v>
      </c>
      <c r="C418">
        <v>7</v>
      </c>
      <c r="D418">
        <v>1</v>
      </c>
      <c r="E418"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v>46.849026666915002</v>
      </c>
      <c r="P418">
        <v>619.30552591043602</v>
      </c>
      <c r="Q418">
        <v>1488.35742828752</v>
      </c>
      <c r="R418">
        <v>3944.1471849619202</v>
      </c>
      <c r="S418">
        <v>65.400000000000006</v>
      </c>
      <c r="T418">
        <v>0.18</v>
      </c>
      <c r="U418">
        <v>0</v>
      </c>
    </row>
    <row r="419" spans="1:21" x14ac:dyDescent="0.25">
      <c r="A419" t="s">
        <v>103</v>
      </c>
      <c r="B419" t="s">
        <v>104</v>
      </c>
      <c r="C419">
        <v>8</v>
      </c>
      <c r="D419">
        <v>1</v>
      </c>
      <c r="E419"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v>49.904924582189203</v>
      </c>
      <c r="P419">
        <v>739.17093633582795</v>
      </c>
      <c r="Q419">
        <v>1776.4261868200599</v>
      </c>
      <c r="R419">
        <v>4707.5293950731702</v>
      </c>
      <c r="S419">
        <v>65.400000000000006</v>
      </c>
      <c r="T419">
        <v>0.18</v>
      </c>
      <c r="U419">
        <v>0</v>
      </c>
    </row>
    <row r="420" spans="1:21" x14ac:dyDescent="0.25">
      <c r="A420" t="s">
        <v>103</v>
      </c>
      <c r="B420" t="s">
        <v>104</v>
      </c>
      <c r="C420">
        <v>9</v>
      </c>
      <c r="D420">
        <v>1</v>
      </c>
      <c r="E420"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v>52.457425079931603</v>
      </c>
      <c r="P420">
        <v>849.96856780960195</v>
      </c>
      <c r="Q420">
        <v>2042.70263833118</v>
      </c>
      <c r="R420">
        <v>5413.16199157762</v>
      </c>
      <c r="S420">
        <v>65.400000000000006</v>
      </c>
      <c r="T420">
        <v>0.18</v>
      </c>
      <c r="U420">
        <v>0</v>
      </c>
    </row>
    <row r="421" spans="1:21" x14ac:dyDescent="0.25">
      <c r="A421" t="s">
        <v>103</v>
      </c>
      <c r="B421" t="s">
        <v>104</v>
      </c>
      <c r="C421">
        <v>10</v>
      </c>
      <c r="D421">
        <v>1</v>
      </c>
      <c r="E421"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v>54.589452710308201</v>
      </c>
      <c r="P421">
        <v>950.27176421676802</v>
      </c>
      <c r="Q421">
        <v>2283.7581451977098</v>
      </c>
      <c r="R421">
        <v>6051.95908477393</v>
      </c>
      <c r="S421">
        <v>65.400000000000006</v>
      </c>
      <c r="T421">
        <v>0.18</v>
      </c>
      <c r="U421">
        <v>0</v>
      </c>
    </row>
    <row r="422" spans="1:21" x14ac:dyDescent="0.25">
      <c r="A422" s="2" t="s">
        <v>105</v>
      </c>
      <c r="B422" t="s">
        <v>106</v>
      </c>
      <c r="C422">
        <v>1</v>
      </c>
      <c r="D422">
        <v>3</v>
      </c>
      <c r="E422">
        <v>3</v>
      </c>
      <c r="F422">
        <v>350</v>
      </c>
      <c r="G422">
        <v>927.5</v>
      </c>
      <c r="H422">
        <v>145.63499999999999</v>
      </c>
      <c r="I422">
        <v>0.14563499999999999</v>
      </c>
      <c r="J422">
        <v>1.45635E-4</v>
      </c>
      <c r="K422">
        <v>0.32097954000000001</v>
      </c>
      <c r="L422" s="3">
        <v>1.2699999999999999E-2</v>
      </c>
      <c r="M422" s="3">
        <v>3.1</v>
      </c>
      <c r="N422">
        <v>20.394068965963701</v>
      </c>
      <c r="O422" s="2">
        <v>50.4054382989085</v>
      </c>
      <c r="P422" s="2">
        <v>2407.0418820143</v>
      </c>
      <c r="Q422" s="2">
        <v>5784.7678010437403</v>
      </c>
      <c r="R422" s="2">
        <v>15329.6346727659</v>
      </c>
      <c r="S422">
        <v>109.97499999999999</v>
      </c>
      <c r="T422">
        <v>0.14749999999999999</v>
      </c>
      <c r="U422">
        <v>-1.1566666666666701</v>
      </c>
    </row>
    <row r="423" spans="1:21" x14ac:dyDescent="0.25">
      <c r="A423" s="2" t="s">
        <v>105</v>
      </c>
      <c r="B423" t="s">
        <v>106</v>
      </c>
      <c r="C423">
        <v>2</v>
      </c>
      <c r="D423">
        <v>3</v>
      </c>
      <c r="E423">
        <v>6</v>
      </c>
      <c r="F423">
        <v>1200</v>
      </c>
      <c r="G423">
        <v>3180</v>
      </c>
      <c r="H423">
        <v>499.32</v>
      </c>
      <c r="I423">
        <v>0.49931999999999999</v>
      </c>
      <c r="J423">
        <v>4.9932000000000004E-4</v>
      </c>
      <c r="K423">
        <v>1.10050128</v>
      </c>
      <c r="L423" s="3">
        <v>1.2699999999999999E-2</v>
      </c>
      <c r="M423" s="3">
        <v>3.1</v>
      </c>
      <c r="N423">
        <v>30.347369004339502</v>
      </c>
      <c r="O423" s="2">
        <v>71.705825304169807</v>
      </c>
      <c r="P423" s="2">
        <v>7178.31448404197</v>
      </c>
      <c r="Q423" s="2">
        <v>17251.416688396999</v>
      </c>
      <c r="R423" s="2">
        <v>45716.254224251898</v>
      </c>
      <c r="S423">
        <v>109.97499999999999</v>
      </c>
      <c r="T423">
        <v>0.14749999999999999</v>
      </c>
      <c r="U423">
        <v>-1.1566666666666701</v>
      </c>
    </row>
    <row r="424" spans="1:21" x14ac:dyDescent="0.25">
      <c r="A424" s="2" t="s">
        <v>105</v>
      </c>
      <c r="B424" t="s">
        <v>106</v>
      </c>
      <c r="C424">
        <v>3</v>
      </c>
      <c r="D424">
        <v>3</v>
      </c>
      <c r="E424">
        <v>9</v>
      </c>
      <c r="F424">
        <v>1800</v>
      </c>
      <c r="G424">
        <v>4770</v>
      </c>
      <c r="H424">
        <v>748.98</v>
      </c>
      <c r="I424">
        <v>0.74897999999999998</v>
      </c>
      <c r="J424">
        <v>7.4898E-4</v>
      </c>
      <c r="K424">
        <v>1.65075192</v>
      </c>
      <c r="L424" s="3">
        <v>1.2699999999999999E-2</v>
      </c>
      <c r="M424" s="3">
        <v>3.1</v>
      </c>
      <c r="N424">
        <v>34.587938444619503</v>
      </c>
      <c r="O424" s="2">
        <v>85.389797589938695</v>
      </c>
      <c r="P424" s="2">
        <v>12335.6566189309</v>
      </c>
      <c r="Q424" s="2">
        <v>29645.894301684599</v>
      </c>
      <c r="R424" s="2">
        <v>78561.619899464102</v>
      </c>
      <c r="S424">
        <v>109.97499999999999</v>
      </c>
      <c r="T424">
        <v>0.14749999999999999</v>
      </c>
      <c r="U424">
        <v>-1.1566666666666701</v>
      </c>
    </row>
    <row r="425" spans="1:21" x14ac:dyDescent="0.25">
      <c r="A425" s="2" t="s">
        <v>105</v>
      </c>
      <c r="B425" t="s">
        <v>106</v>
      </c>
      <c r="C425">
        <v>4</v>
      </c>
      <c r="D425">
        <v>3</v>
      </c>
      <c r="E425">
        <v>12</v>
      </c>
      <c r="F425">
        <v>3129.99</v>
      </c>
      <c r="G425">
        <v>8294.48</v>
      </c>
      <c r="H425">
        <v>1302.388839</v>
      </c>
      <c r="I425">
        <v>1.302388839</v>
      </c>
      <c r="J425">
        <v>1.3023888389999999E-3</v>
      </c>
      <c r="K425">
        <v>2.870465001156</v>
      </c>
      <c r="L425" s="3">
        <v>1.2699999999999999E-2</v>
      </c>
      <c r="M425" s="3">
        <v>3.1</v>
      </c>
      <c r="N425">
        <v>41.345787911509902</v>
      </c>
      <c r="O425" s="2">
        <v>94.180769203338897</v>
      </c>
      <c r="P425" s="2">
        <v>16714.2403759017</v>
      </c>
      <c r="Q425" s="2">
        <v>40168.806478975501</v>
      </c>
      <c r="R425" s="2">
        <v>106447.33716928501</v>
      </c>
      <c r="S425">
        <v>109.97499999999999</v>
      </c>
      <c r="T425">
        <v>0.14749999999999999</v>
      </c>
      <c r="U425">
        <v>-1.1566666666666701</v>
      </c>
    </row>
    <row r="426" spans="1:21" x14ac:dyDescent="0.25">
      <c r="A426" s="2" t="s">
        <v>105</v>
      </c>
      <c r="B426" t="s">
        <v>106</v>
      </c>
      <c r="C426">
        <v>5</v>
      </c>
      <c r="D426">
        <v>3</v>
      </c>
      <c r="E426">
        <v>15</v>
      </c>
      <c r="F426">
        <v>7000</v>
      </c>
      <c r="G426">
        <v>18550</v>
      </c>
      <c r="H426">
        <v>2912.7</v>
      </c>
      <c r="I426">
        <v>2.9127000000000001</v>
      </c>
      <c r="J426">
        <v>2.9126999999999998E-3</v>
      </c>
      <c r="K426">
        <v>6.4195907999999999</v>
      </c>
      <c r="L426" s="3">
        <v>1.2699999999999999E-2</v>
      </c>
      <c r="M426" s="3">
        <v>3.1</v>
      </c>
      <c r="N426">
        <v>53.603232342129701</v>
      </c>
      <c r="O426" s="2">
        <v>99.828338512433405</v>
      </c>
      <c r="P426" s="2">
        <v>20021.224447421999</v>
      </c>
      <c r="Q426" s="2">
        <v>48116.376946459997</v>
      </c>
      <c r="R426" s="2">
        <v>127508.39890811899</v>
      </c>
      <c r="S426">
        <v>109.97499999999999</v>
      </c>
      <c r="T426">
        <v>0.14749999999999999</v>
      </c>
      <c r="U426">
        <v>-1.1566666666666701</v>
      </c>
    </row>
    <row r="427" spans="1:21" x14ac:dyDescent="0.25">
      <c r="A427" s="2" t="s">
        <v>105</v>
      </c>
      <c r="B427" t="s">
        <v>106</v>
      </c>
      <c r="C427">
        <v>6</v>
      </c>
      <c r="D427">
        <v>3</v>
      </c>
      <c r="E427">
        <v>18</v>
      </c>
      <c r="F427">
        <v>9000</v>
      </c>
      <c r="G427">
        <v>23850</v>
      </c>
      <c r="H427">
        <v>3744.9</v>
      </c>
      <c r="I427">
        <v>3.7448999999999999</v>
      </c>
      <c r="J427">
        <v>3.7448999999999998E-3</v>
      </c>
      <c r="K427">
        <v>8.2537596000000004</v>
      </c>
      <c r="L427" s="3">
        <v>1.2699999999999999E-2</v>
      </c>
      <c r="M427" s="3">
        <v>3.1</v>
      </c>
      <c r="N427">
        <v>58.129805837341102</v>
      </c>
      <c r="O427" s="2">
        <v>103.456497094178</v>
      </c>
      <c r="P427" s="2">
        <v>22364.171135055101</v>
      </c>
      <c r="Q427" s="2">
        <v>53747.106789365898</v>
      </c>
      <c r="R427" s="2">
        <v>142429.83299182</v>
      </c>
      <c r="S427">
        <v>109.97499999999999</v>
      </c>
      <c r="T427">
        <v>0.14749999999999999</v>
      </c>
      <c r="U427">
        <v>-1.1566666666666701</v>
      </c>
    </row>
    <row r="428" spans="1:21" x14ac:dyDescent="0.25">
      <c r="A428" s="2" t="s">
        <v>105</v>
      </c>
      <c r="B428" t="s">
        <v>106</v>
      </c>
      <c r="C428">
        <v>7</v>
      </c>
      <c r="D428">
        <v>3</v>
      </c>
      <c r="E428">
        <v>21</v>
      </c>
      <c r="F428">
        <v>13000</v>
      </c>
      <c r="G428">
        <v>34450</v>
      </c>
      <c r="H428">
        <v>5409.3</v>
      </c>
      <c r="I428">
        <v>5.4093</v>
      </c>
      <c r="J428">
        <v>5.4092999999999997E-3</v>
      </c>
      <c r="K428">
        <v>11.9220972</v>
      </c>
      <c r="L428" s="3">
        <v>1.2699999999999999E-2</v>
      </c>
      <c r="M428" s="3">
        <v>3.1</v>
      </c>
      <c r="N428">
        <v>65.450847322550899</v>
      </c>
      <c r="O428" s="2">
        <v>105.78732899261701</v>
      </c>
      <c r="P428" s="2">
        <v>23963.378179590702</v>
      </c>
      <c r="Q428" s="2">
        <v>57590.430616656398</v>
      </c>
      <c r="R428" s="2">
        <v>152614.641134139</v>
      </c>
      <c r="S428">
        <v>109.97499999999999</v>
      </c>
      <c r="T428">
        <v>0.14749999999999999</v>
      </c>
      <c r="U428">
        <v>-1.1566666666666701</v>
      </c>
    </row>
    <row r="429" spans="1:21" x14ac:dyDescent="0.25">
      <c r="A429" s="2" t="s">
        <v>105</v>
      </c>
      <c r="B429" t="s">
        <v>106</v>
      </c>
      <c r="C429">
        <v>8</v>
      </c>
      <c r="D429">
        <v>3</v>
      </c>
      <c r="E429">
        <v>24</v>
      </c>
      <c r="F429">
        <v>18000</v>
      </c>
      <c r="G429">
        <v>40770</v>
      </c>
      <c r="H429">
        <v>7489.8</v>
      </c>
      <c r="I429">
        <v>7.4897999999999998</v>
      </c>
      <c r="J429">
        <v>7.4897999999999996E-3</v>
      </c>
      <c r="K429">
        <v>16.507519200000001</v>
      </c>
      <c r="L429" s="3">
        <v>1.2699999999999999E-2</v>
      </c>
      <c r="M429" s="3">
        <v>3.1</v>
      </c>
      <c r="N429">
        <v>72.695130842069403</v>
      </c>
      <c r="O429" s="2">
        <v>107.28472146220599</v>
      </c>
      <c r="P429" s="2">
        <v>25030.593239997201</v>
      </c>
      <c r="Q429" s="2">
        <v>60155.234895451002</v>
      </c>
      <c r="R429" s="2">
        <v>159411.37247294499</v>
      </c>
      <c r="S429">
        <v>109.97499999999999</v>
      </c>
      <c r="T429">
        <v>0.14749999999999999</v>
      </c>
      <c r="U429">
        <v>-1.1566666666666701</v>
      </c>
    </row>
    <row r="430" spans="1:21" x14ac:dyDescent="0.25">
      <c r="A430" s="2" t="s">
        <v>105</v>
      </c>
      <c r="B430" t="s">
        <v>106</v>
      </c>
      <c r="C430">
        <v>9</v>
      </c>
      <c r="D430">
        <v>3</v>
      </c>
      <c r="E430">
        <v>27</v>
      </c>
      <c r="F430">
        <v>30000</v>
      </c>
      <c r="G430">
        <v>79500</v>
      </c>
      <c r="H430">
        <v>12483</v>
      </c>
      <c r="I430">
        <v>12.483000000000001</v>
      </c>
      <c r="J430">
        <v>1.2482999999999999E-2</v>
      </c>
      <c r="K430">
        <v>27.512532</v>
      </c>
      <c r="L430" s="3">
        <v>1.2699999999999999E-2</v>
      </c>
      <c r="M430" s="3">
        <v>3.1</v>
      </c>
      <c r="N430">
        <v>85.717488006455099</v>
      </c>
      <c r="O430" s="2">
        <v>108.24668882222301</v>
      </c>
      <c r="P430" s="2">
        <v>25732.9185013606</v>
      </c>
      <c r="Q430" s="2">
        <v>61843.111034271897</v>
      </c>
      <c r="R430" s="2">
        <v>163884.24424082099</v>
      </c>
      <c r="S430">
        <v>109.97499999999999</v>
      </c>
      <c r="T430">
        <v>0.14749999999999999</v>
      </c>
      <c r="U430">
        <v>-1.1566666666666701</v>
      </c>
    </row>
    <row r="431" spans="1:21" x14ac:dyDescent="0.25">
      <c r="A431" s="2" t="s">
        <v>105</v>
      </c>
      <c r="B431" t="s">
        <v>106</v>
      </c>
      <c r="C431">
        <v>10</v>
      </c>
      <c r="D431">
        <v>3</v>
      </c>
      <c r="E431">
        <v>30</v>
      </c>
      <c r="F431">
        <v>32000</v>
      </c>
      <c r="G431">
        <v>85500</v>
      </c>
      <c r="H431">
        <v>13315.2</v>
      </c>
      <c r="I431">
        <v>13.315200000000001</v>
      </c>
      <c r="J431">
        <v>1.3315199999999999E-2</v>
      </c>
      <c r="K431">
        <v>29.346700800000001</v>
      </c>
      <c r="L431" s="3">
        <v>1.2699999999999999E-2</v>
      </c>
      <c r="M431" s="3">
        <v>3.1</v>
      </c>
      <c r="N431">
        <v>87.520735578139096</v>
      </c>
      <c r="O431" s="2">
        <v>108.864683917384</v>
      </c>
      <c r="P431" s="2">
        <v>26191.083819039501</v>
      </c>
      <c r="Q431" s="2">
        <v>62944.205284882199</v>
      </c>
      <c r="R431" s="2">
        <v>166802.14400493799</v>
      </c>
      <c r="S431">
        <v>109.97499999999999</v>
      </c>
      <c r="T431">
        <v>0.14749999999999999</v>
      </c>
      <c r="U431">
        <v>-1.1566666666666701</v>
      </c>
    </row>
    <row r="432" spans="1:21" x14ac:dyDescent="0.25">
      <c r="A432" t="s">
        <v>107</v>
      </c>
      <c r="B432" t="s">
        <v>108</v>
      </c>
      <c r="C432">
        <v>1</v>
      </c>
      <c r="D432">
        <v>5</v>
      </c>
      <c r="E432"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v>52.071727826074699</v>
      </c>
      <c r="P432">
        <v>508.286372744125</v>
      </c>
      <c r="Q432">
        <v>1221.5486006828301</v>
      </c>
      <c r="R432">
        <v>3237.1037918094898</v>
      </c>
      <c r="S432">
        <v>150</v>
      </c>
      <c r="T432">
        <v>4.1000000000000002E-2</v>
      </c>
      <c r="U432">
        <v>-5.4</v>
      </c>
    </row>
    <row r="433" spans="1:21" x14ac:dyDescent="0.25">
      <c r="A433" t="s">
        <v>107</v>
      </c>
      <c r="B433" t="s">
        <v>108</v>
      </c>
      <c r="C433">
        <v>2</v>
      </c>
      <c r="D433">
        <v>5</v>
      </c>
      <c r="E433"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v>70.222995872705098</v>
      </c>
      <c r="P433">
        <v>1246.63857523617</v>
      </c>
      <c r="Q433">
        <v>2996.0071502912001</v>
      </c>
      <c r="R433">
        <v>7939.4189482716802</v>
      </c>
      <c r="S433">
        <v>150</v>
      </c>
      <c r="T433">
        <v>4.1000000000000002E-2</v>
      </c>
      <c r="U433">
        <v>-5.4</v>
      </c>
    </row>
    <row r="434" spans="1:21" x14ac:dyDescent="0.25">
      <c r="A434" t="s">
        <v>107</v>
      </c>
      <c r="B434" t="s">
        <v>108</v>
      </c>
      <c r="C434">
        <v>3</v>
      </c>
      <c r="D434">
        <v>5</v>
      </c>
      <c r="E434"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v>85.009877676356894</v>
      </c>
      <c r="P434">
        <v>2211.6208446574701</v>
      </c>
      <c r="Q434">
        <v>5315.1185884582401</v>
      </c>
      <c r="R434">
        <v>14085.064259414299</v>
      </c>
      <c r="S434">
        <v>150</v>
      </c>
      <c r="T434">
        <v>4.1000000000000002E-2</v>
      </c>
      <c r="U434">
        <v>-5.4</v>
      </c>
    </row>
    <row r="435" spans="1:21" x14ac:dyDescent="0.25">
      <c r="A435" t="s">
        <v>107</v>
      </c>
      <c r="B435" t="s">
        <v>108</v>
      </c>
      <c r="C435">
        <v>4</v>
      </c>
      <c r="D435">
        <v>5</v>
      </c>
      <c r="E435"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v>97.055971255794603</v>
      </c>
      <c r="P435">
        <v>3291.3137248274502</v>
      </c>
      <c r="Q435">
        <v>7909.9104177540203</v>
      </c>
      <c r="R435">
        <v>20961.262607048098</v>
      </c>
      <c r="S435">
        <v>150</v>
      </c>
      <c r="T435">
        <v>4.1000000000000002E-2</v>
      </c>
      <c r="U435">
        <v>-5.4</v>
      </c>
    </row>
    <row r="436" spans="1:21" x14ac:dyDescent="0.25">
      <c r="A436" t="s">
        <v>107</v>
      </c>
      <c r="B436" t="s">
        <v>108</v>
      </c>
      <c r="C436">
        <v>5</v>
      </c>
      <c r="D436">
        <v>5</v>
      </c>
      <c r="E436"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v>106.86928906352399</v>
      </c>
      <c r="P436">
        <v>4394.0122330630602</v>
      </c>
      <c r="Q436">
        <v>10559.990947039299</v>
      </c>
      <c r="R436">
        <v>27983.976009654201</v>
      </c>
      <c r="S436">
        <v>150</v>
      </c>
      <c r="T436">
        <v>4.1000000000000002E-2</v>
      </c>
      <c r="U436">
        <v>-5.4</v>
      </c>
    </row>
    <row r="437" spans="1:21" x14ac:dyDescent="0.25">
      <c r="A437" t="s">
        <v>107</v>
      </c>
      <c r="B437" t="s">
        <v>108</v>
      </c>
      <c r="C437">
        <v>6</v>
      </c>
      <c r="D437">
        <v>5</v>
      </c>
      <c r="E437"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v>114.863682080684</v>
      </c>
      <c r="P437">
        <v>5455.7027820230496</v>
      </c>
      <c r="Q437">
        <v>13111.5183418002</v>
      </c>
      <c r="R437">
        <v>34745.523605770402</v>
      </c>
      <c r="S437">
        <v>150</v>
      </c>
      <c r="T437">
        <v>4.1000000000000002E-2</v>
      </c>
      <c r="U437">
        <v>-5.4</v>
      </c>
    </row>
    <row r="438" spans="1:21" x14ac:dyDescent="0.25">
      <c r="A438" t="s">
        <v>107</v>
      </c>
      <c r="B438" t="s">
        <v>108</v>
      </c>
      <c r="C438">
        <v>7</v>
      </c>
      <c r="D438">
        <v>5</v>
      </c>
      <c r="E438"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v>121.376292898451</v>
      </c>
      <c r="P438">
        <v>6437.3053166414402</v>
      </c>
      <c r="Q438">
        <v>15470.572738864301</v>
      </c>
      <c r="R438">
        <v>40997.017757990398</v>
      </c>
      <c r="S438">
        <v>150</v>
      </c>
      <c r="T438">
        <v>4.1000000000000002E-2</v>
      </c>
      <c r="U438">
        <v>-5.4</v>
      </c>
    </row>
    <row r="439" spans="1:21" x14ac:dyDescent="0.25">
      <c r="A439" t="s">
        <v>107</v>
      </c>
      <c r="B439" t="s">
        <v>108</v>
      </c>
      <c r="C439">
        <v>8</v>
      </c>
      <c r="D439">
        <v>5</v>
      </c>
      <c r="E439"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v>126.681773823976</v>
      </c>
      <c r="P439">
        <v>7318.8847471111603</v>
      </c>
      <c r="Q439">
        <v>17589.244765948501</v>
      </c>
      <c r="R439">
        <v>46611.498629763402</v>
      </c>
      <c r="S439">
        <v>150</v>
      </c>
      <c r="T439">
        <v>4.1000000000000002E-2</v>
      </c>
      <c r="U439">
        <v>-5.4</v>
      </c>
    </row>
    <row r="440" spans="1:21" x14ac:dyDescent="0.25">
      <c r="A440" t="s">
        <v>107</v>
      </c>
      <c r="B440" t="s">
        <v>108</v>
      </c>
      <c r="C440">
        <v>9</v>
      </c>
      <c r="D440">
        <v>5</v>
      </c>
      <c r="E440"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v>131.003869622228</v>
      </c>
      <c r="P440">
        <v>8093.8448123255803</v>
      </c>
      <c r="Q440">
        <v>19451.681836879499</v>
      </c>
      <c r="R440">
        <v>51546.956867730798</v>
      </c>
      <c r="S440">
        <v>150</v>
      </c>
      <c r="T440">
        <v>4.1000000000000002E-2</v>
      </c>
      <c r="U440">
        <v>-5.4</v>
      </c>
    </row>
    <row r="441" spans="1:21" x14ac:dyDescent="0.25">
      <c r="A441" t="s">
        <v>107</v>
      </c>
      <c r="B441" t="s">
        <v>108</v>
      </c>
      <c r="C441">
        <v>10</v>
      </c>
      <c r="D441">
        <v>5</v>
      </c>
      <c r="E441"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v>134.52485336554699</v>
      </c>
      <c r="P441">
        <v>8764.1556661491104</v>
      </c>
      <c r="Q441">
        <v>21062.618760271798</v>
      </c>
      <c r="R441">
        <v>55815.9397147204</v>
      </c>
      <c r="S441">
        <v>150</v>
      </c>
      <c r="T441">
        <v>4.1000000000000002E-2</v>
      </c>
      <c r="U441">
        <v>-5.4</v>
      </c>
    </row>
    <row r="442" spans="1:21" x14ac:dyDescent="0.25">
      <c r="A442" t="s">
        <v>109</v>
      </c>
      <c r="B442" t="s">
        <v>110</v>
      </c>
      <c r="C442">
        <v>1</v>
      </c>
      <c r="D442">
        <v>5</v>
      </c>
      <c r="E442"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v>76.611400666372106</v>
      </c>
      <c r="P442">
        <v>2983.8569822381401</v>
      </c>
      <c r="Q442">
        <v>7171.0093300604103</v>
      </c>
      <c r="R442">
        <v>19003.174724660101</v>
      </c>
      <c r="S442">
        <v>186</v>
      </c>
      <c r="T442">
        <v>4.5999999999999999E-2</v>
      </c>
      <c r="U442">
        <v>-6.54</v>
      </c>
    </row>
    <row r="443" spans="1:21" x14ac:dyDescent="0.25">
      <c r="A443" t="s">
        <v>109</v>
      </c>
      <c r="B443" t="s">
        <v>110</v>
      </c>
      <c r="C443">
        <v>2</v>
      </c>
      <c r="D443">
        <v>5</v>
      </c>
      <c r="E443"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v>99.087082098658797</v>
      </c>
      <c r="P443">
        <v>6624.0145574934404</v>
      </c>
      <c r="Q443">
        <v>15919.285165809801</v>
      </c>
      <c r="R443">
        <v>42186.105689395801</v>
      </c>
      <c r="S443">
        <v>186</v>
      </c>
      <c r="T443">
        <v>4.5999999999999999E-2</v>
      </c>
      <c r="U443">
        <v>-6.54</v>
      </c>
    </row>
    <row r="444" spans="1:21" x14ac:dyDescent="0.25">
      <c r="A444" t="s">
        <v>109</v>
      </c>
      <c r="B444" t="s">
        <v>110</v>
      </c>
      <c r="C444">
        <v>3</v>
      </c>
      <c r="D444">
        <v>5</v>
      </c>
      <c r="E444"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v>116.944766235771</v>
      </c>
      <c r="P444">
        <v>11071.5622159796</v>
      </c>
      <c r="Q444">
        <v>26607.936111462499</v>
      </c>
      <c r="R444">
        <v>70511.030695375695</v>
      </c>
      <c r="S444">
        <v>186</v>
      </c>
      <c r="T444">
        <v>4.5999999999999999E-2</v>
      </c>
      <c r="U444">
        <v>-6.54</v>
      </c>
    </row>
    <row r="445" spans="1:21" x14ac:dyDescent="0.25">
      <c r="A445" t="s">
        <v>109</v>
      </c>
      <c r="B445" t="s">
        <v>110</v>
      </c>
      <c r="C445">
        <v>4</v>
      </c>
      <c r="D445">
        <v>5</v>
      </c>
      <c r="E445"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v>131.13329634559699</v>
      </c>
      <c r="P445">
        <v>15789.8748752376</v>
      </c>
      <c r="Q445">
        <v>37947.308039504001</v>
      </c>
      <c r="R445">
        <v>100560.366304686</v>
      </c>
      <c r="S445">
        <v>186</v>
      </c>
      <c r="T445">
        <v>4.5999999999999999E-2</v>
      </c>
      <c r="U445">
        <v>-6.54</v>
      </c>
    </row>
    <row r="446" spans="1:21" x14ac:dyDescent="0.25">
      <c r="A446" t="s">
        <v>109</v>
      </c>
      <c r="B446" t="s">
        <v>110</v>
      </c>
      <c r="C446">
        <v>5</v>
      </c>
      <c r="D446">
        <v>5</v>
      </c>
      <c r="E446"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v>142.40656028798401</v>
      </c>
      <c r="P446">
        <v>20389.728589471899</v>
      </c>
      <c r="Q446">
        <v>49001.991322931703</v>
      </c>
      <c r="R446">
        <v>129855.27700576901</v>
      </c>
      <c r="S446">
        <v>186</v>
      </c>
      <c r="T446">
        <v>4.5999999999999999E-2</v>
      </c>
      <c r="U446">
        <v>-6.54</v>
      </c>
    </row>
    <row r="447" spans="1:21" x14ac:dyDescent="0.25">
      <c r="A447" t="s">
        <v>109</v>
      </c>
      <c r="B447" t="s">
        <v>110</v>
      </c>
      <c r="C447">
        <v>6</v>
      </c>
      <c r="D447">
        <v>5</v>
      </c>
      <c r="E447"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v>151.36354730010001</v>
      </c>
      <c r="P447">
        <v>24633.973887026499</v>
      </c>
      <c r="Q447">
        <v>59202.052119746499</v>
      </c>
      <c r="R447">
        <v>156885.43811732801</v>
      </c>
      <c r="S447">
        <v>186</v>
      </c>
      <c r="T447">
        <v>4.5999999999999999E-2</v>
      </c>
      <c r="U447">
        <v>-6.54</v>
      </c>
    </row>
    <row r="448" spans="1:21" x14ac:dyDescent="0.25">
      <c r="A448" t="s">
        <v>109</v>
      </c>
      <c r="B448" t="s">
        <v>110</v>
      </c>
      <c r="C448">
        <v>7</v>
      </c>
      <c r="D448">
        <v>5</v>
      </c>
      <c r="E448"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v>158.48017445841199</v>
      </c>
      <c r="P448">
        <v>28404.736933570301</v>
      </c>
      <c r="Q448">
        <v>68264.207963399007</v>
      </c>
      <c r="R448">
        <v>180900.151103007</v>
      </c>
      <c r="S448">
        <v>186</v>
      </c>
      <c r="T448">
        <v>4.5999999999999999E-2</v>
      </c>
      <c r="U448">
        <v>-6.54</v>
      </c>
    </row>
    <row r="449" spans="1:21" x14ac:dyDescent="0.25">
      <c r="A449" t="s">
        <v>109</v>
      </c>
      <c r="B449" t="s">
        <v>110</v>
      </c>
      <c r="C449">
        <v>8</v>
      </c>
      <c r="D449">
        <v>5</v>
      </c>
      <c r="E449"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v>164.134573872179</v>
      </c>
      <c r="P449">
        <v>31665.6697956155</v>
      </c>
      <c r="Q449">
        <v>76101.105012294007</v>
      </c>
      <c r="R449">
        <v>201667.928282579</v>
      </c>
      <c r="S449">
        <v>186</v>
      </c>
      <c r="T449">
        <v>4.5999999999999999E-2</v>
      </c>
      <c r="U449">
        <v>-6.54</v>
      </c>
    </row>
    <row r="450" spans="1:21" x14ac:dyDescent="0.25">
      <c r="A450" t="s">
        <v>109</v>
      </c>
      <c r="B450" t="s">
        <v>110</v>
      </c>
      <c r="C450">
        <v>9</v>
      </c>
      <c r="D450">
        <v>5</v>
      </c>
      <c r="E450"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v>168.62718420839201</v>
      </c>
      <c r="P450">
        <v>34430.551456728099</v>
      </c>
      <c r="Q450">
        <v>82745.857862840901</v>
      </c>
      <c r="R450">
        <v>219276.52333652799</v>
      </c>
      <c r="S450">
        <v>186</v>
      </c>
      <c r="T450">
        <v>4.5999999999999999E-2</v>
      </c>
      <c r="U450">
        <v>-6.54</v>
      </c>
    </row>
    <row r="451" spans="1:21" x14ac:dyDescent="0.25">
      <c r="A451" t="s">
        <v>109</v>
      </c>
      <c r="B451" t="s">
        <v>110</v>
      </c>
      <c r="C451">
        <v>10</v>
      </c>
      <c r="D451">
        <v>5</v>
      </c>
      <c r="E451"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v>172.19671408346699</v>
      </c>
      <c r="P451">
        <v>36740.5388119864</v>
      </c>
      <c r="Q451">
        <v>88297.377582279194</v>
      </c>
      <c r="R451">
        <v>233988.05059304001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111</v>
      </c>
      <c r="B452" t="s">
        <v>112</v>
      </c>
      <c r="C452">
        <v>1</v>
      </c>
      <c r="D452">
        <v>2</v>
      </c>
      <c r="E452"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v>53.621521096701699</v>
      </c>
      <c r="P452">
        <v>1263.11620365417</v>
      </c>
      <c r="Q452">
        <v>3035.60731471804</v>
      </c>
      <c r="R452">
        <v>8044.3593840027897</v>
      </c>
      <c r="S452">
        <v>98.7</v>
      </c>
      <c r="T452">
        <v>0.158</v>
      </c>
      <c r="U452">
        <v>-2.96</v>
      </c>
    </row>
    <row r="453" spans="1:21" x14ac:dyDescent="0.25">
      <c r="A453" t="s">
        <v>111</v>
      </c>
      <c r="B453" t="s">
        <v>112</v>
      </c>
      <c r="C453">
        <v>2</v>
      </c>
      <c r="D453">
        <v>2</v>
      </c>
      <c r="E453"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v>65.835108956368501</v>
      </c>
      <c r="P453">
        <v>2290.2703502839599</v>
      </c>
      <c r="Q453">
        <v>5504.1344635519499</v>
      </c>
      <c r="R453">
        <v>14585.9563284127</v>
      </c>
      <c r="S453">
        <v>98.7</v>
      </c>
      <c r="T453">
        <v>0.158</v>
      </c>
      <c r="U453">
        <v>-2.96</v>
      </c>
    </row>
    <row r="454" spans="1:21" x14ac:dyDescent="0.25">
      <c r="A454" t="s">
        <v>111</v>
      </c>
      <c r="B454" t="s">
        <v>112</v>
      </c>
      <c r="C454">
        <v>3</v>
      </c>
      <c r="D454">
        <v>2</v>
      </c>
      <c r="E454"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v>74.739540605911202</v>
      </c>
      <c r="P454">
        <v>3308.68986036151</v>
      </c>
      <c r="Q454">
        <v>7951.6699359805498</v>
      </c>
      <c r="R454">
        <v>21071.925330348498</v>
      </c>
      <c r="S454">
        <v>98.7</v>
      </c>
      <c r="T454">
        <v>0.158</v>
      </c>
      <c r="U454">
        <v>-2.96</v>
      </c>
    </row>
    <row r="455" spans="1:21" x14ac:dyDescent="0.25">
      <c r="A455" t="s">
        <v>111</v>
      </c>
      <c r="B455" t="s">
        <v>112</v>
      </c>
      <c r="C455">
        <v>4</v>
      </c>
      <c r="D455">
        <v>2</v>
      </c>
      <c r="E455"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v>81.231400648381907</v>
      </c>
      <c r="P455">
        <v>4212.6876703371199</v>
      </c>
      <c r="Q455">
        <v>10124.219347121199</v>
      </c>
      <c r="R455">
        <v>26829.1812698711</v>
      </c>
      <c r="S455">
        <v>98.7</v>
      </c>
      <c r="T455">
        <v>0.158</v>
      </c>
      <c r="U455">
        <v>-2.96</v>
      </c>
    </row>
    <row r="456" spans="1:21" x14ac:dyDescent="0.25">
      <c r="A456" t="s">
        <v>111</v>
      </c>
      <c r="B456" t="s">
        <v>112</v>
      </c>
      <c r="C456">
        <v>5</v>
      </c>
      <c r="D456">
        <v>2</v>
      </c>
      <c r="E456"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v>85.964352561510793</v>
      </c>
      <c r="P456">
        <v>4964.5876313099398</v>
      </c>
      <c r="Q456">
        <v>11931.236797187999</v>
      </c>
      <c r="R456">
        <v>31617.777512548299</v>
      </c>
      <c r="S456">
        <v>98.7</v>
      </c>
      <c r="T456">
        <v>0.158</v>
      </c>
      <c r="U456">
        <v>-2.96</v>
      </c>
    </row>
    <row r="457" spans="1:21" x14ac:dyDescent="0.25">
      <c r="A457" t="s">
        <v>111</v>
      </c>
      <c r="B457" t="s">
        <v>112</v>
      </c>
      <c r="C457">
        <v>6</v>
      </c>
      <c r="D457">
        <v>2</v>
      </c>
      <c r="E457"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v>89.414955880966403</v>
      </c>
      <c r="P457">
        <v>5564.7968412451701</v>
      </c>
      <c r="Q457">
        <v>13373.700651875</v>
      </c>
      <c r="R457">
        <v>35440.306727468596</v>
      </c>
      <c r="S457">
        <v>98.7</v>
      </c>
      <c r="T457">
        <v>0.158</v>
      </c>
      <c r="U457">
        <v>-2.96</v>
      </c>
    </row>
    <row r="458" spans="1:21" x14ac:dyDescent="0.25">
      <c r="A458" t="s">
        <v>111</v>
      </c>
      <c r="B458" t="s">
        <v>112</v>
      </c>
      <c r="C458">
        <v>7</v>
      </c>
      <c r="D458">
        <v>2</v>
      </c>
      <c r="E458"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v>91.930650839795206</v>
      </c>
      <c r="P458">
        <v>6031.0760049300598</v>
      </c>
      <c r="Q458">
        <v>14494.2946525596</v>
      </c>
      <c r="R458">
        <v>38409.880829283</v>
      </c>
      <c r="S458">
        <v>98.7</v>
      </c>
      <c r="T458">
        <v>0.158</v>
      </c>
      <c r="U458">
        <v>-2.96</v>
      </c>
    </row>
    <row r="459" spans="1:21" x14ac:dyDescent="0.25">
      <c r="A459" t="s">
        <v>111</v>
      </c>
      <c r="B459" t="s">
        <v>112</v>
      </c>
      <c r="C459">
        <v>8</v>
      </c>
      <c r="D459">
        <v>2</v>
      </c>
      <c r="E459"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v>93.764742023268397</v>
      </c>
      <c r="P459">
        <v>6386.6712780728703</v>
      </c>
      <c r="Q459">
        <v>15348.8855517252</v>
      </c>
      <c r="R459">
        <v>40674.546712071897</v>
      </c>
      <c r="S459">
        <v>98.7</v>
      </c>
      <c r="T459">
        <v>0.158</v>
      </c>
      <c r="U459">
        <v>-2.96</v>
      </c>
    </row>
    <row r="460" spans="1:21" x14ac:dyDescent="0.25">
      <c r="A460" t="s">
        <v>111</v>
      </c>
      <c r="B460" t="s">
        <v>112</v>
      </c>
      <c r="C460">
        <v>9</v>
      </c>
      <c r="D460">
        <v>2</v>
      </c>
      <c r="E460"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v>95.101903533048699</v>
      </c>
      <c r="P460">
        <v>6654.3944211897197</v>
      </c>
      <c r="Q460">
        <v>15992.296133596999</v>
      </c>
      <c r="R460">
        <v>42379.584754032097</v>
      </c>
      <c r="S460">
        <v>98.7</v>
      </c>
      <c r="T460">
        <v>0.158</v>
      </c>
      <c r="U460">
        <v>-2.96</v>
      </c>
    </row>
    <row r="461" spans="1:21" x14ac:dyDescent="0.25">
      <c r="A461" t="s">
        <v>111</v>
      </c>
      <c r="B461" t="s">
        <v>112</v>
      </c>
      <c r="C461">
        <v>10</v>
      </c>
      <c r="D461">
        <v>2</v>
      </c>
      <c r="E461"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v>96.076773768154396</v>
      </c>
      <c r="P461">
        <v>6854.1439786024202</v>
      </c>
      <c r="Q461">
        <v>16472.3479418467</v>
      </c>
      <c r="R461">
        <v>43651.722045893803</v>
      </c>
      <c r="S461">
        <v>98.7</v>
      </c>
      <c r="T461">
        <v>0.158</v>
      </c>
      <c r="U461">
        <v>-2.96</v>
      </c>
    </row>
    <row r="462" spans="1:21" x14ac:dyDescent="0.25">
      <c r="A462" t="s">
        <v>113</v>
      </c>
      <c r="B462" t="s">
        <v>114</v>
      </c>
      <c r="C462">
        <v>1</v>
      </c>
      <c r="D462">
        <v>2</v>
      </c>
      <c r="E462"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v>30.021268763267098</v>
      </c>
      <c r="P462">
        <v>384.892834273294</v>
      </c>
      <c r="Q462">
        <v>925.00080334845995</v>
      </c>
      <c r="R462">
        <v>2451.2521288734201</v>
      </c>
      <c r="S462">
        <v>85.9</v>
      </c>
      <c r="T462">
        <v>0.215</v>
      </c>
      <c r="U462">
        <v>0</v>
      </c>
    </row>
    <row r="463" spans="1:21" x14ac:dyDescent="0.25">
      <c r="A463" t="s">
        <v>113</v>
      </c>
      <c r="B463" t="s">
        <v>114</v>
      </c>
      <c r="C463">
        <v>2</v>
      </c>
      <c r="D463">
        <v>2</v>
      </c>
      <c r="E463"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v>49.550377128905403</v>
      </c>
      <c r="P463">
        <v>1774.4938030754399</v>
      </c>
      <c r="Q463">
        <v>4264.5849629306304</v>
      </c>
      <c r="R463">
        <v>11301.1501517662</v>
      </c>
      <c r="S463">
        <v>85.9</v>
      </c>
      <c r="T463">
        <v>0.215</v>
      </c>
      <c r="U463">
        <v>0</v>
      </c>
    </row>
    <row r="464" spans="1:21" x14ac:dyDescent="0.25">
      <c r="A464" t="s">
        <v>113</v>
      </c>
      <c r="B464" t="s">
        <v>114</v>
      </c>
      <c r="C464">
        <v>3</v>
      </c>
      <c r="D464">
        <v>2</v>
      </c>
      <c r="E464"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v>62.2542397325903</v>
      </c>
      <c r="P464">
        <v>3559.5614441202201</v>
      </c>
      <c r="Q464">
        <v>8554.5816969964508</v>
      </c>
      <c r="R464">
        <v>22669.6414970406</v>
      </c>
      <c r="S464">
        <v>85.9</v>
      </c>
      <c r="T464">
        <v>0.215</v>
      </c>
      <c r="U464">
        <v>0</v>
      </c>
    </row>
    <row r="465" spans="1:21" x14ac:dyDescent="0.25">
      <c r="A465" t="s">
        <v>113</v>
      </c>
      <c r="B465" t="s">
        <v>114</v>
      </c>
      <c r="C465">
        <v>4</v>
      </c>
      <c r="D465">
        <v>2</v>
      </c>
      <c r="E465"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v>70.518217894402696</v>
      </c>
      <c r="P465">
        <v>5205.95365859713</v>
      </c>
      <c r="Q465">
        <v>12511.3041542829</v>
      </c>
      <c r="R465">
        <v>33154.956008849796</v>
      </c>
      <c r="S465">
        <v>85.9</v>
      </c>
      <c r="T465">
        <v>0.215</v>
      </c>
      <c r="U465">
        <v>0</v>
      </c>
    </row>
    <row r="466" spans="1:21" x14ac:dyDescent="0.25">
      <c r="A466" t="s">
        <v>113</v>
      </c>
      <c r="B466" t="s">
        <v>114</v>
      </c>
      <c r="C466">
        <v>5</v>
      </c>
      <c r="D466">
        <v>2</v>
      </c>
      <c r="E466"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v>75.894010847256595</v>
      </c>
      <c r="P466">
        <v>6513.4957842609601</v>
      </c>
      <c r="Q466">
        <v>15653.678885510601</v>
      </c>
      <c r="R466">
        <v>41482.249046603101</v>
      </c>
      <c r="S466">
        <v>85.9</v>
      </c>
      <c r="T466">
        <v>0.215</v>
      </c>
      <c r="U466">
        <v>0</v>
      </c>
    </row>
    <row r="467" spans="1:21" x14ac:dyDescent="0.25">
      <c r="A467" t="s">
        <v>113</v>
      </c>
      <c r="B467" t="s">
        <v>114</v>
      </c>
      <c r="C467">
        <v>6</v>
      </c>
      <c r="D467">
        <v>2</v>
      </c>
      <c r="E467"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v>79.391013054437593</v>
      </c>
      <c r="P467">
        <v>7472.8083505459499</v>
      </c>
      <c r="Q467">
        <v>17959.164505037101</v>
      </c>
      <c r="R467">
        <v>47591.785938348403</v>
      </c>
      <c r="S467">
        <v>85.9</v>
      </c>
      <c r="T467">
        <v>0.215</v>
      </c>
      <c r="U467">
        <v>0</v>
      </c>
    </row>
    <row r="468" spans="1:21" x14ac:dyDescent="0.25">
      <c r="A468" t="s">
        <v>113</v>
      </c>
      <c r="B468" t="s">
        <v>114</v>
      </c>
      <c r="C468">
        <v>7</v>
      </c>
      <c r="D468">
        <v>2</v>
      </c>
      <c r="E468"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v>81.6658447944763</v>
      </c>
      <c r="P468">
        <v>8145.2542658518996</v>
      </c>
      <c r="Q468">
        <v>19575.232554318402</v>
      </c>
      <c r="R468">
        <v>51874.366268943901</v>
      </c>
      <c r="S468">
        <v>85.9</v>
      </c>
      <c r="T468">
        <v>0.215</v>
      </c>
      <c r="U468">
        <v>0</v>
      </c>
    </row>
    <row r="469" spans="1:21" x14ac:dyDescent="0.25">
      <c r="A469" t="s">
        <v>113</v>
      </c>
      <c r="B469" t="s">
        <v>114</v>
      </c>
      <c r="C469">
        <v>8</v>
      </c>
      <c r="D469">
        <v>2</v>
      </c>
      <c r="E469"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v>83.145643530336798</v>
      </c>
      <c r="P469">
        <v>8603.8279654683902</v>
      </c>
      <c r="Q469">
        <v>20677.308256352801</v>
      </c>
      <c r="R469">
        <v>54794.866879334899</v>
      </c>
      <c r="S469">
        <v>85.9</v>
      </c>
      <c r="T469">
        <v>0.215</v>
      </c>
      <c r="U469">
        <v>0</v>
      </c>
    </row>
    <row r="470" spans="1:21" x14ac:dyDescent="0.25">
      <c r="A470" t="s">
        <v>113</v>
      </c>
      <c r="B470" t="s">
        <v>114</v>
      </c>
      <c r="C470">
        <v>9</v>
      </c>
      <c r="D470">
        <v>2</v>
      </c>
      <c r="E470"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v>84.1082660663741</v>
      </c>
      <c r="P470">
        <v>8911.2621458725098</v>
      </c>
      <c r="Q470">
        <v>21416.155121058699</v>
      </c>
      <c r="R470">
        <v>56752.811070805401</v>
      </c>
      <c r="S470">
        <v>85.9</v>
      </c>
      <c r="T470">
        <v>0.215</v>
      </c>
      <c r="U470">
        <v>0</v>
      </c>
    </row>
    <row r="471" spans="1:21" x14ac:dyDescent="0.25">
      <c r="A471" t="s">
        <v>113</v>
      </c>
      <c r="B471" t="s">
        <v>114</v>
      </c>
      <c r="C471">
        <v>10</v>
      </c>
      <c r="D471">
        <v>2</v>
      </c>
      <c r="E471"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v>84.734460780851904</v>
      </c>
      <c r="P471">
        <v>9115.1634332104404</v>
      </c>
      <c r="Q471">
        <v>21906.184650830201</v>
      </c>
      <c r="R471">
        <v>58051.389324700001</v>
      </c>
      <c r="S471">
        <v>85.9</v>
      </c>
      <c r="T471">
        <v>0.215</v>
      </c>
      <c r="U471">
        <v>0</v>
      </c>
    </row>
    <row r="472" spans="1:21" x14ac:dyDescent="0.25">
      <c r="A472" t="s">
        <v>115</v>
      </c>
      <c r="B472" t="s">
        <v>116</v>
      </c>
      <c r="C472">
        <v>1</v>
      </c>
      <c r="D472">
        <v>7</v>
      </c>
      <c r="E472"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 s="2">
        <v>224.55171764903801</v>
      </c>
      <c r="P472" s="2">
        <v>169840.165108227</v>
      </c>
      <c r="Q472" s="2">
        <v>408171.50951268303</v>
      </c>
      <c r="R472" s="2">
        <v>1081654.50020861</v>
      </c>
      <c r="S472">
        <v>271.77999999999997</v>
      </c>
      <c r="T472">
        <v>0.25</v>
      </c>
      <c r="U472">
        <v>0</v>
      </c>
    </row>
    <row r="473" spans="1:21" x14ac:dyDescent="0.25">
      <c r="A473" t="s">
        <v>115</v>
      </c>
      <c r="B473" t="s">
        <v>116</v>
      </c>
      <c r="C473">
        <v>2</v>
      </c>
      <c r="D473">
        <v>7</v>
      </c>
      <c r="E473"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 s="2">
        <v>263.57295513348203</v>
      </c>
      <c r="P473" s="2">
        <v>274658.97599979601</v>
      </c>
      <c r="Q473" s="2">
        <v>660079.25017975504</v>
      </c>
      <c r="R473" s="2">
        <v>1749210.01297635</v>
      </c>
      <c r="S473">
        <v>271.77999999999997</v>
      </c>
      <c r="T473">
        <v>0.25</v>
      </c>
      <c r="U473">
        <v>0</v>
      </c>
    </row>
    <row r="474" spans="1:21" x14ac:dyDescent="0.25">
      <c r="A474" t="s">
        <v>115</v>
      </c>
      <c r="B474" t="s">
        <v>116</v>
      </c>
      <c r="C474">
        <v>3</v>
      </c>
      <c r="D474">
        <v>7</v>
      </c>
      <c r="E474"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 s="2">
        <v>270.35382944947099</v>
      </c>
      <c r="P474" s="2">
        <v>296407.25929609803</v>
      </c>
      <c r="Q474" s="2">
        <v>712346.21316053404</v>
      </c>
      <c r="R474" s="2">
        <v>1887717.4648754201</v>
      </c>
      <c r="S474">
        <v>271.77999999999997</v>
      </c>
      <c r="T474">
        <v>0.25</v>
      </c>
      <c r="U474">
        <v>0</v>
      </c>
    </row>
    <row r="475" spans="1:21" x14ac:dyDescent="0.25">
      <c r="A475" t="s">
        <v>115</v>
      </c>
      <c r="B475" t="s">
        <v>116</v>
      </c>
      <c r="C475">
        <v>4</v>
      </c>
      <c r="D475">
        <v>7</v>
      </c>
      <c r="E475"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 s="2">
        <v>271.53216871940202</v>
      </c>
      <c r="P475" s="2">
        <v>300299.85605939402</v>
      </c>
      <c r="Q475" s="2">
        <v>721701.16813120502</v>
      </c>
      <c r="R475" s="2">
        <v>1912508.0955476901</v>
      </c>
      <c r="S475">
        <v>271.77999999999997</v>
      </c>
      <c r="T475">
        <v>0.25</v>
      </c>
      <c r="U475">
        <v>0</v>
      </c>
    </row>
    <row r="476" spans="1:21" x14ac:dyDescent="0.25">
      <c r="A476" t="s">
        <v>115</v>
      </c>
      <c r="B476" t="s">
        <v>116</v>
      </c>
      <c r="C476">
        <v>5</v>
      </c>
      <c r="D476">
        <v>7</v>
      </c>
      <c r="E476"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 s="2">
        <v>271.73693338106</v>
      </c>
      <c r="P476" s="2">
        <v>300979.74435133999</v>
      </c>
      <c r="Q476" s="2">
        <v>723335.12220941996</v>
      </c>
      <c r="R476" s="2">
        <v>1916838.07385496</v>
      </c>
      <c r="S476">
        <v>271.77999999999997</v>
      </c>
      <c r="T476">
        <v>0.25</v>
      </c>
      <c r="U476">
        <v>0</v>
      </c>
    </row>
    <row r="477" spans="1:21" x14ac:dyDescent="0.25">
      <c r="A477" t="s">
        <v>115</v>
      </c>
      <c r="B477" t="s">
        <v>116</v>
      </c>
      <c r="C477">
        <v>6</v>
      </c>
      <c r="D477">
        <v>7</v>
      </c>
      <c r="E477"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 s="2">
        <v>271.772516143796</v>
      </c>
      <c r="P477" s="2">
        <v>301097.995777231</v>
      </c>
      <c r="Q477" s="2">
        <v>723619.31212985096</v>
      </c>
      <c r="R477" s="2">
        <v>1917591.1771441</v>
      </c>
      <c r="S477">
        <v>271.77999999999997</v>
      </c>
      <c r="T477">
        <v>0.25</v>
      </c>
      <c r="U477">
        <v>0</v>
      </c>
    </row>
    <row r="478" spans="1:21" x14ac:dyDescent="0.25">
      <c r="A478" t="s">
        <v>115</v>
      </c>
      <c r="B478" t="s">
        <v>116</v>
      </c>
      <c r="C478">
        <v>7</v>
      </c>
      <c r="D478">
        <v>7</v>
      </c>
      <c r="E478"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 s="2">
        <v>271.77869950079503</v>
      </c>
      <c r="P478" s="2">
        <v>301118.54795210803</v>
      </c>
      <c r="Q478" s="2">
        <v>723668.704523211</v>
      </c>
      <c r="R478" s="2">
        <v>1917722.0669865101</v>
      </c>
      <c r="S478">
        <v>271.77999999999997</v>
      </c>
      <c r="T478">
        <v>0.25</v>
      </c>
      <c r="U478">
        <v>0</v>
      </c>
    </row>
    <row r="479" spans="1:21" x14ac:dyDescent="0.25">
      <c r="A479" t="s">
        <v>115</v>
      </c>
      <c r="B479" t="s">
        <v>116</v>
      </c>
      <c r="C479">
        <v>8</v>
      </c>
      <c r="D479">
        <v>7</v>
      </c>
      <c r="E479"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 s="2">
        <v>271.77977400712501</v>
      </c>
      <c r="P479" s="2">
        <v>301122.11947996001</v>
      </c>
      <c r="Q479" s="2">
        <v>723677.28786339797</v>
      </c>
      <c r="R479" s="2">
        <v>1917744.812838</v>
      </c>
      <c r="S479">
        <v>271.77999999999997</v>
      </c>
      <c r="T479">
        <v>0.25</v>
      </c>
      <c r="U479">
        <v>0</v>
      </c>
    </row>
    <row r="480" spans="1:21" x14ac:dyDescent="0.25">
      <c r="A480" t="s">
        <v>115</v>
      </c>
      <c r="B480" t="s">
        <v>116</v>
      </c>
      <c r="C480">
        <v>9</v>
      </c>
      <c r="D480">
        <v>7</v>
      </c>
      <c r="E480"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 s="2">
        <v>271.77996072832701</v>
      </c>
      <c r="P480" s="2">
        <v>301122.74012131902</v>
      </c>
      <c r="Q480" s="2">
        <v>723678.77943119197</v>
      </c>
      <c r="R480" s="2">
        <v>1917748.76549266</v>
      </c>
      <c r="S480">
        <v>271.77999999999997</v>
      </c>
      <c r="T480">
        <v>0.25</v>
      </c>
      <c r="U480">
        <v>0</v>
      </c>
    </row>
    <row r="481" spans="1:21" x14ac:dyDescent="0.25">
      <c r="A481" t="s">
        <v>115</v>
      </c>
      <c r="B481" t="s">
        <v>116</v>
      </c>
      <c r="C481">
        <v>10</v>
      </c>
      <c r="D481">
        <v>7</v>
      </c>
      <c r="E481"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 s="2">
        <v>271.77999317560699</v>
      </c>
      <c r="P481" s="2">
        <v>301122.847972702</v>
      </c>
      <c r="Q481" s="2">
        <v>723679.03862701904</v>
      </c>
      <c r="R481" s="2">
        <v>1917749.4523616</v>
      </c>
      <c r="S481">
        <v>271.77999999999997</v>
      </c>
      <c r="T481">
        <v>0.25</v>
      </c>
      <c r="U481">
        <v>0</v>
      </c>
    </row>
    <row r="482" spans="1:21" x14ac:dyDescent="0.25">
      <c r="A482" t="s">
        <v>117</v>
      </c>
      <c r="B482" t="s">
        <v>118</v>
      </c>
      <c r="C482">
        <v>1</v>
      </c>
      <c r="D482">
        <v>2</v>
      </c>
      <c r="E482"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v>13.2689088746917</v>
      </c>
      <c r="P482">
        <v>35.042646182029301</v>
      </c>
      <c r="Q482">
        <v>84.216885801560394</v>
      </c>
      <c r="R482">
        <v>223.17474737413499</v>
      </c>
      <c r="S482">
        <v>73.2</v>
      </c>
      <c r="T482">
        <v>0.1</v>
      </c>
      <c r="U482">
        <v>0</v>
      </c>
    </row>
    <row r="483" spans="1:21" x14ac:dyDescent="0.25">
      <c r="A483" t="s">
        <v>117</v>
      </c>
      <c r="B483" t="s">
        <v>118</v>
      </c>
      <c r="C483">
        <v>2</v>
      </c>
      <c r="D483">
        <v>2</v>
      </c>
      <c r="E483"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v>24.132572630191198</v>
      </c>
      <c r="P483">
        <v>210.81529906747201</v>
      </c>
      <c r="Q483">
        <v>506.64575599007998</v>
      </c>
      <c r="R483">
        <v>1342.61125337371</v>
      </c>
      <c r="S483">
        <v>73.2</v>
      </c>
      <c r="T483">
        <v>0.1</v>
      </c>
      <c r="U483">
        <v>0</v>
      </c>
    </row>
    <row r="484" spans="1:21" x14ac:dyDescent="0.25">
      <c r="A484" t="s">
        <v>117</v>
      </c>
      <c r="B484" t="s">
        <v>118</v>
      </c>
      <c r="C484">
        <v>3</v>
      </c>
      <c r="D484">
        <v>2</v>
      </c>
      <c r="E484"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v>33.026988237917301</v>
      </c>
      <c r="P484">
        <v>540.378640515999</v>
      </c>
      <c r="Q484">
        <v>1298.6749351502001</v>
      </c>
      <c r="R484">
        <v>3441.4885781480398</v>
      </c>
      <c r="S484">
        <v>73.2</v>
      </c>
      <c r="T484">
        <v>0.1</v>
      </c>
      <c r="U484">
        <v>0</v>
      </c>
    </row>
    <row r="485" spans="1:21" x14ac:dyDescent="0.25">
      <c r="A485" t="s">
        <v>117</v>
      </c>
      <c r="B485" t="s">
        <v>118</v>
      </c>
      <c r="C485">
        <v>4</v>
      </c>
      <c r="D485">
        <v>2</v>
      </c>
      <c r="E485"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v>40.309119826619401</v>
      </c>
      <c r="P485">
        <v>982.42906970705906</v>
      </c>
      <c r="Q485">
        <v>2361.0407827614999</v>
      </c>
      <c r="R485">
        <v>6256.7580743179697</v>
      </c>
      <c r="S485">
        <v>73.2</v>
      </c>
      <c r="T485">
        <v>0.1</v>
      </c>
      <c r="U485">
        <v>0</v>
      </c>
    </row>
    <row r="486" spans="1:21" x14ac:dyDescent="0.25">
      <c r="A486" t="s">
        <v>117</v>
      </c>
      <c r="B486" t="s">
        <v>118</v>
      </c>
      <c r="C486">
        <v>5</v>
      </c>
      <c r="D486">
        <v>2</v>
      </c>
      <c r="E486"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v>46.271224906250403</v>
      </c>
      <c r="P486">
        <v>1486.0186101607501</v>
      </c>
      <c r="Q486">
        <v>3571.3016346088698</v>
      </c>
      <c r="R486">
        <v>9463.9493317135202</v>
      </c>
      <c r="S486">
        <v>73.2</v>
      </c>
      <c r="T486">
        <v>0.1</v>
      </c>
      <c r="U486">
        <v>0</v>
      </c>
    </row>
    <row r="487" spans="1:21" x14ac:dyDescent="0.25">
      <c r="A487" t="s">
        <v>117</v>
      </c>
      <c r="B487" t="s">
        <v>118</v>
      </c>
      <c r="C487">
        <v>6</v>
      </c>
      <c r="D487">
        <v>2</v>
      </c>
      <c r="E487"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v>51.152583688026802</v>
      </c>
      <c r="P487">
        <v>2007.6776427407499</v>
      </c>
      <c r="Q487">
        <v>4824.9883267021196</v>
      </c>
      <c r="R487">
        <v>12786.219065760601</v>
      </c>
      <c r="S487">
        <v>73.2</v>
      </c>
      <c r="T487">
        <v>0.1</v>
      </c>
      <c r="U487">
        <v>0</v>
      </c>
    </row>
    <row r="488" spans="1:21" x14ac:dyDescent="0.25">
      <c r="A488" t="s">
        <v>117</v>
      </c>
      <c r="B488" t="s">
        <v>118</v>
      </c>
      <c r="C488">
        <v>7</v>
      </c>
      <c r="D488">
        <v>2</v>
      </c>
      <c r="E488"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v>55.149102239474402</v>
      </c>
      <c r="P488">
        <v>2515.9766149775</v>
      </c>
      <c r="Q488">
        <v>6046.56720734798</v>
      </c>
      <c r="R488">
        <v>16023.4030994722</v>
      </c>
      <c r="S488">
        <v>73.2</v>
      </c>
      <c r="T488">
        <v>0.1</v>
      </c>
      <c r="U488">
        <v>0</v>
      </c>
    </row>
    <row r="489" spans="1:21" x14ac:dyDescent="0.25">
      <c r="A489" t="s">
        <v>117</v>
      </c>
      <c r="B489" t="s">
        <v>118</v>
      </c>
      <c r="C489">
        <v>8</v>
      </c>
      <c r="D489">
        <v>2</v>
      </c>
      <c r="E489"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v>58.421174882791199</v>
      </c>
      <c r="P489">
        <v>2990.9015578450098</v>
      </c>
      <c r="Q489">
        <v>7187.9393363254303</v>
      </c>
      <c r="R489">
        <v>19048.039241262399</v>
      </c>
      <c r="S489">
        <v>73.2</v>
      </c>
      <c r="T489">
        <v>0.1</v>
      </c>
      <c r="U489">
        <v>0</v>
      </c>
    </row>
    <row r="490" spans="1:21" x14ac:dyDescent="0.25">
      <c r="A490" t="s">
        <v>117</v>
      </c>
      <c r="B490" t="s">
        <v>118</v>
      </c>
      <c r="C490">
        <v>9</v>
      </c>
      <c r="D490">
        <v>2</v>
      </c>
      <c r="E490"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v>61.1001213821799</v>
      </c>
      <c r="P490">
        <v>3421.50735657306</v>
      </c>
      <c r="Q490">
        <v>8222.8006646793001</v>
      </c>
      <c r="R490">
        <v>21790.421761400099</v>
      </c>
      <c r="S490">
        <v>73.2</v>
      </c>
      <c r="T490">
        <v>0.1</v>
      </c>
      <c r="U490">
        <v>0</v>
      </c>
    </row>
    <row r="491" spans="1:21" x14ac:dyDescent="0.25">
      <c r="A491" t="s">
        <v>117</v>
      </c>
      <c r="B491" t="s">
        <v>118</v>
      </c>
      <c r="C491">
        <v>10</v>
      </c>
      <c r="D491">
        <v>2</v>
      </c>
      <c r="E491"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v>63.293457267080001</v>
      </c>
      <c r="P491">
        <v>3803.3624564326001</v>
      </c>
      <c r="Q491">
        <v>9140.5009767666306</v>
      </c>
      <c r="R491">
        <v>24222.327588431599</v>
      </c>
      <c r="S491">
        <v>73.2</v>
      </c>
      <c r="T491">
        <v>0.1</v>
      </c>
      <c r="U491">
        <v>0</v>
      </c>
    </row>
    <row r="492" spans="1:21" x14ac:dyDescent="0.25">
      <c r="A492" t="s">
        <v>119</v>
      </c>
      <c r="B492" t="s">
        <v>120</v>
      </c>
      <c r="C492">
        <v>1</v>
      </c>
      <c r="D492">
        <v>3</v>
      </c>
      <c r="E492"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 s="2">
        <v>79.381198515365895</v>
      </c>
      <c r="P492" s="2">
        <v>8986.2401870910307</v>
      </c>
      <c r="Q492" s="2">
        <v>21596.347481593399</v>
      </c>
      <c r="R492" s="2">
        <v>57230.320826222604</v>
      </c>
      <c r="S492">
        <v>133.76666666666699</v>
      </c>
      <c r="T492">
        <v>0.3</v>
      </c>
      <c r="U492">
        <v>0</v>
      </c>
    </row>
    <row r="493" spans="1:21" x14ac:dyDescent="0.25">
      <c r="A493" t="s">
        <v>119</v>
      </c>
      <c r="B493" t="s">
        <v>120</v>
      </c>
      <c r="C493">
        <v>2</v>
      </c>
      <c r="D493">
        <v>3</v>
      </c>
      <c r="E493"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 s="2">
        <v>103.919288910812</v>
      </c>
      <c r="P493" s="2">
        <v>19945.0176823855</v>
      </c>
      <c r="Q493" s="2">
        <v>47933.231632745599</v>
      </c>
      <c r="R493" s="2">
        <v>127023.06382677599</v>
      </c>
      <c r="S493">
        <v>133.76666666666699</v>
      </c>
      <c r="T493">
        <v>0.3</v>
      </c>
      <c r="U493">
        <v>1</v>
      </c>
    </row>
    <row r="494" spans="1:21" x14ac:dyDescent="0.25">
      <c r="A494" t="s">
        <v>119</v>
      </c>
      <c r="B494" t="s">
        <v>120</v>
      </c>
      <c r="C494">
        <v>3</v>
      </c>
      <c r="D494">
        <v>3</v>
      </c>
      <c r="E494"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 s="2">
        <v>117.386078447359</v>
      </c>
      <c r="P494" s="2">
        <v>28607.4331888491</v>
      </c>
      <c r="Q494" s="2">
        <v>68751.341477647395</v>
      </c>
      <c r="R494" s="2">
        <v>182191.054915766</v>
      </c>
      <c r="S494">
        <v>133.76666666666699</v>
      </c>
      <c r="T494">
        <v>0.3</v>
      </c>
      <c r="U494">
        <v>2</v>
      </c>
    </row>
    <row r="495" spans="1:21" x14ac:dyDescent="0.25">
      <c r="A495" t="s">
        <v>119</v>
      </c>
      <c r="B495" t="s">
        <v>120</v>
      </c>
      <c r="C495">
        <v>4</v>
      </c>
      <c r="D495">
        <v>3</v>
      </c>
      <c r="E495"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 s="2">
        <v>124.776809245846</v>
      </c>
      <c r="P495" s="2">
        <v>34274.4145864491</v>
      </c>
      <c r="Q495" s="2">
        <v>82370.619049385103</v>
      </c>
      <c r="R495" s="2">
        <v>218282.14048087099</v>
      </c>
      <c r="S495">
        <v>133.76666666666699</v>
      </c>
      <c r="T495">
        <v>0.3</v>
      </c>
      <c r="U495">
        <v>3</v>
      </c>
    </row>
    <row r="496" spans="1:21" x14ac:dyDescent="0.25">
      <c r="A496" t="s">
        <v>119</v>
      </c>
      <c r="B496" t="s">
        <v>120</v>
      </c>
      <c r="C496">
        <v>5</v>
      </c>
      <c r="D496">
        <v>3</v>
      </c>
      <c r="E496"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 s="2">
        <v>128.832928307294</v>
      </c>
      <c r="P496" s="2">
        <v>37678.476387287898</v>
      </c>
      <c r="Q496" s="2">
        <v>90551.493360461202</v>
      </c>
      <c r="R496" s="2">
        <v>239961.457405222</v>
      </c>
      <c r="S496">
        <v>133.76666666666699</v>
      </c>
      <c r="T496">
        <v>0.3</v>
      </c>
      <c r="U496">
        <v>4</v>
      </c>
    </row>
    <row r="497" spans="1:21" x14ac:dyDescent="0.25">
      <c r="A497" t="s">
        <v>119</v>
      </c>
      <c r="B497" t="s">
        <v>120</v>
      </c>
      <c r="C497">
        <v>6</v>
      </c>
      <c r="D497">
        <v>3</v>
      </c>
      <c r="E497"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 s="2">
        <v>131.05897364559999</v>
      </c>
      <c r="P497" s="2">
        <v>39638.3337957205</v>
      </c>
      <c r="Q497" s="2">
        <v>95261.556827014007</v>
      </c>
      <c r="R497" s="2">
        <v>252443.12559158701</v>
      </c>
      <c r="S497">
        <v>133.76666666666699</v>
      </c>
      <c r="T497">
        <v>0.3</v>
      </c>
      <c r="U497">
        <v>5</v>
      </c>
    </row>
    <row r="498" spans="1:21" x14ac:dyDescent="0.25">
      <c r="A498" t="s">
        <v>119</v>
      </c>
      <c r="B498" t="s">
        <v>120</v>
      </c>
      <c r="C498">
        <v>7</v>
      </c>
      <c r="D498">
        <v>3</v>
      </c>
      <c r="E498"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 s="2">
        <v>132.28065322973401</v>
      </c>
      <c r="P498" s="2">
        <v>40742.053315997902</v>
      </c>
      <c r="Q498" s="2">
        <v>97914.091122321406</v>
      </c>
      <c r="R498" s="2">
        <v>259472.341474152</v>
      </c>
      <c r="S498">
        <v>133.76666666666699</v>
      </c>
      <c r="T498">
        <v>0.3</v>
      </c>
      <c r="U498">
        <v>6</v>
      </c>
    </row>
    <row r="499" spans="1:21" x14ac:dyDescent="0.25">
      <c r="A499" t="s">
        <v>119</v>
      </c>
      <c r="B499" t="s">
        <v>120</v>
      </c>
      <c r="C499">
        <v>8</v>
      </c>
      <c r="D499">
        <v>3</v>
      </c>
      <c r="E499"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 s="2">
        <v>132.951125201086</v>
      </c>
      <c r="P499" s="2">
        <v>41356.344500212603</v>
      </c>
      <c r="Q499" s="2">
        <v>99390.397741438603</v>
      </c>
      <c r="R499" s="2">
        <v>263384.55401481199</v>
      </c>
      <c r="S499">
        <v>133.76666666666699</v>
      </c>
      <c r="T499">
        <v>0.3</v>
      </c>
      <c r="U499">
        <v>7</v>
      </c>
    </row>
    <row r="500" spans="1:21" x14ac:dyDescent="0.25">
      <c r="A500" t="s">
        <v>119</v>
      </c>
      <c r="B500" t="s">
        <v>120</v>
      </c>
      <c r="C500">
        <v>9</v>
      </c>
      <c r="D500">
        <v>3</v>
      </c>
      <c r="E500"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 s="2">
        <v>133.31908802063899</v>
      </c>
      <c r="P500" s="2">
        <v>41696.066099314703</v>
      </c>
      <c r="Q500" s="2">
        <v>100206.839940675</v>
      </c>
      <c r="R500" s="2">
        <v>265548.12584278802</v>
      </c>
      <c r="S500">
        <v>133.76666666666699</v>
      </c>
      <c r="T500">
        <v>0.3</v>
      </c>
      <c r="U500">
        <v>8</v>
      </c>
    </row>
    <row r="501" spans="1:21" x14ac:dyDescent="0.25">
      <c r="A501" t="s">
        <v>119</v>
      </c>
      <c r="B501" t="s">
        <v>120</v>
      </c>
      <c r="C501">
        <v>10</v>
      </c>
      <c r="D501">
        <v>3</v>
      </c>
      <c r="E501"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 s="2">
        <v>133.521030297659</v>
      </c>
      <c r="P501" s="2">
        <v>41883.292127343702</v>
      </c>
      <c r="Q501" s="2">
        <v>100656.79434593501</v>
      </c>
      <c r="R501" s="2">
        <v>266740.505016729</v>
      </c>
      <c r="S501">
        <v>133.76666666666699</v>
      </c>
      <c r="T501">
        <v>0.3</v>
      </c>
      <c r="U501">
        <v>9</v>
      </c>
    </row>
    <row r="502" spans="1:21" x14ac:dyDescent="0.25">
      <c r="A502" t="s">
        <v>121</v>
      </c>
      <c r="B502" t="s">
        <v>122</v>
      </c>
      <c r="C502">
        <v>1</v>
      </c>
      <c r="D502">
        <v>7</v>
      </c>
      <c r="E502"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 s="2">
        <v>2161.2090696800601</v>
      </c>
      <c r="P502" s="2">
        <v>10094628.5810501</v>
      </c>
      <c r="Q502" s="2">
        <v>24260102.3336941</v>
      </c>
      <c r="R502" s="2">
        <v>64289271.184289299</v>
      </c>
      <c r="S502">
        <v>2615.7600000000002</v>
      </c>
      <c r="T502">
        <v>0.25</v>
      </c>
      <c r="U502">
        <v>0</v>
      </c>
    </row>
    <row r="503" spans="1:21" x14ac:dyDescent="0.25">
      <c r="A503" t="s">
        <v>121</v>
      </c>
      <c r="B503" t="s">
        <v>122</v>
      </c>
      <c r="C503">
        <v>2</v>
      </c>
      <c r="D503">
        <v>7</v>
      </c>
      <c r="E503"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 s="2">
        <v>2536.7708923392402</v>
      </c>
      <c r="P503" s="2">
        <v>16324644.688155601</v>
      </c>
      <c r="Q503" s="2">
        <v>39232503.456274003</v>
      </c>
      <c r="R503" s="2">
        <v>103966134.159126</v>
      </c>
      <c r="S503">
        <v>2615.7600000000002</v>
      </c>
      <c r="T503">
        <v>0.25</v>
      </c>
      <c r="U503">
        <v>0</v>
      </c>
    </row>
    <row r="504" spans="1:21" x14ac:dyDescent="0.25">
      <c r="A504" t="s">
        <v>121</v>
      </c>
      <c r="B504" t="s">
        <v>122</v>
      </c>
      <c r="C504">
        <v>3</v>
      </c>
      <c r="D504">
        <v>7</v>
      </c>
      <c r="E504"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 s="2">
        <v>2602.0337512721599</v>
      </c>
      <c r="P504" s="2">
        <v>17617276.7461363</v>
      </c>
      <c r="Q504" s="2">
        <v>42339045.292324699</v>
      </c>
      <c r="R504" s="2">
        <v>112198470.02466001</v>
      </c>
      <c r="S504">
        <v>2615.7600000000002</v>
      </c>
      <c r="T504">
        <v>0.25</v>
      </c>
      <c r="U504">
        <v>0</v>
      </c>
    </row>
    <row r="505" spans="1:21" x14ac:dyDescent="0.25">
      <c r="A505" t="s">
        <v>121</v>
      </c>
      <c r="B505" t="s">
        <v>122</v>
      </c>
      <c r="C505">
        <v>4</v>
      </c>
      <c r="D505">
        <v>7</v>
      </c>
      <c r="E505"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 s="2">
        <v>2613.3747356297799</v>
      </c>
      <c r="P505" s="2">
        <v>17848637.322806899</v>
      </c>
      <c r="Q505" s="2">
        <v>42895066.8656739</v>
      </c>
      <c r="R505" s="2">
        <v>113671927.19403601</v>
      </c>
      <c r="S505">
        <v>2615.7600000000002</v>
      </c>
      <c r="T505">
        <v>0.25</v>
      </c>
      <c r="U505">
        <v>0</v>
      </c>
    </row>
    <row r="506" spans="1:21" x14ac:dyDescent="0.25">
      <c r="A506" t="s">
        <v>121</v>
      </c>
      <c r="B506" t="s">
        <v>122</v>
      </c>
      <c r="C506">
        <v>5</v>
      </c>
      <c r="D506">
        <v>7</v>
      </c>
      <c r="E506"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 s="2">
        <v>2615.3455032042202</v>
      </c>
      <c r="P506" s="2">
        <v>17889047.197464202</v>
      </c>
      <c r="Q506" s="2">
        <v>42992182.642307498</v>
      </c>
      <c r="R506" s="2">
        <v>113929284.002115</v>
      </c>
      <c r="S506">
        <v>2615.7600000000002</v>
      </c>
      <c r="T506">
        <v>0.25</v>
      </c>
      <c r="U506">
        <v>0</v>
      </c>
    </row>
    <row r="507" spans="1:21" x14ac:dyDescent="0.25">
      <c r="A507" t="s">
        <v>121</v>
      </c>
      <c r="B507" t="s">
        <v>122</v>
      </c>
      <c r="C507">
        <v>6</v>
      </c>
      <c r="D507">
        <v>7</v>
      </c>
      <c r="E507"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 s="2">
        <v>2615.68797125725</v>
      </c>
      <c r="P507" s="2">
        <v>17896075.595150799</v>
      </c>
      <c r="Q507" s="2">
        <v>43009073.768687397</v>
      </c>
      <c r="R507" s="2">
        <v>113974045.487022</v>
      </c>
      <c r="S507">
        <v>2615.7600000000002</v>
      </c>
      <c r="T507">
        <v>0.25</v>
      </c>
      <c r="U507">
        <v>0</v>
      </c>
    </row>
    <row r="508" spans="1:21" x14ac:dyDescent="0.25">
      <c r="A508" t="s">
        <v>121</v>
      </c>
      <c r="B508" t="s">
        <v>122</v>
      </c>
      <c r="C508">
        <v>7</v>
      </c>
      <c r="D508">
        <v>7</v>
      </c>
      <c r="E508"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 s="2">
        <v>2615.74748328133</v>
      </c>
      <c r="P508" s="2">
        <v>17897297.135248799</v>
      </c>
      <c r="Q508" s="2">
        <v>43012009.457459196</v>
      </c>
      <c r="R508" s="2">
        <v>113981825.06226701</v>
      </c>
      <c r="S508">
        <v>2615.7600000000002</v>
      </c>
      <c r="T508">
        <v>0.25</v>
      </c>
      <c r="U508">
        <v>0</v>
      </c>
    </row>
    <row r="509" spans="1:21" x14ac:dyDescent="0.25">
      <c r="A509" t="s">
        <v>121</v>
      </c>
      <c r="B509" t="s">
        <v>122</v>
      </c>
      <c r="C509">
        <v>8</v>
      </c>
      <c r="D509">
        <v>7</v>
      </c>
      <c r="E509"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 s="2">
        <v>2615.7578249204398</v>
      </c>
      <c r="P509" s="2">
        <v>17897509.412757501</v>
      </c>
      <c r="Q509" s="2">
        <v>43012519.6172975</v>
      </c>
      <c r="R509" s="2">
        <v>113983176.985838</v>
      </c>
      <c r="S509">
        <v>2615.7600000000002</v>
      </c>
      <c r="T509">
        <v>0.25</v>
      </c>
      <c r="U509">
        <v>0</v>
      </c>
    </row>
    <row r="510" spans="1:21" x14ac:dyDescent="0.25">
      <c r="A510" t="s">
        <v>121</v>
      </c>
      <c r="B510" t="s">
        <v>122</v>
      </c>
      <c r="C510">
        <v>9</v>
      </c>
      <c r="D510">
        <v>7</v>
      </c>
      <c r="E510"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 s="2">
        <v>2615.7596220278501</v>
      </c>
      <c r="P510" s="2">
        <v>17897546.301228501</v>
      </c>
      <c r="Q510" s="2">
        <v>43012608.270195797</v>
      </c>
      <c r="R510" s="2">
        <v>113983411.91601899</v>
      </c>
      <c r="S510">
        <v>2615.7600000000002</v>
      </c>
      <c r="T510">
        <v>0.25</v>
      </c>
      <c r="U510">
        <v>0</v>
      </c>
    </row>
    <row r="511" spans="1:21" x14ac:dyDescent="0.25">
      <c r="A511" t="s">
        <v>121</v>
      </c>
      <c r="B511" t="s">
        <v>122</v>
      </c>
      <c r="C511">
        <v>10</v>
      </c>
      <c r="D511">
        <v>7</v>
      </c>
      <c r="E511"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 s="2">
        <v>2615.7599343182901</v>
      </c>
      <c r="P511" s="2">
        <v>17897552.711488701</v>
      </c>
      <c r="Q511" s="2">
        <v>43012623.675771996</v>
      </c>
      <c r="R511" s="2">
        <v>113983452.740796</v>
      </c>
      <c r="S511">
        <v>2615.7600000000002</v>
      </c>
      <c r="T511">
        <v>0.25</v>
      </c>
      <c r="U511">
        <v>0</v>
      </c>
    </row>
    <row r="512" spans="1:21" x14ac:dyDescent="0.25">
      <c r="A512" t="s">
        <v>123</v>
      </c>
      <c r="B512" t="s">
        <v>124</v>
      </c>
      <c r="C512">
        <v>1</v>
      </c>
      <c r="D512">
        <v>2</v>
      </c>
      <c r="E512"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v>22.930154254913301</v>
      </c>
      <c r="P512">
        <v>156.66977937661699</v>
      </c>
      <c r="Q512">
        <v>376.51953707430101</v>
      </c>
      <c r="R512">
        <v>997.77677324689898</v>
      </c>
      <c r="S512">
        <v>111</v>
      </c>
      <c r="T512">
        <v>0.13</v>
      </c>
      <c r="U512">
        <v>0.22</v>
      </c>
    </row>
    <row r="513" spans="1:21" x14ac:dyDescent="0.25">
      <c r="A513" t="s">
        <v>123</v>
      </c>
      <c r="B513" t="s">
        <v>124</v>
      </c>
      <c r="C513">
        <v>2</v>
      </c>
      <c r="D513">
        <v>2</v>
      </c>
      <c r="E513"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v>43.093605776775398</v>
      </c>
      <c r="P513">
        <v>1107.6521425180999</v>
      </c>
      <c r="Q513">
        <v>2661.9854422448898</v>
      </c>
      <c r="R513">
        <v>7054.2614219489697</v>
      </c>
      <c r="S513">
        <v>111</v>
      </c>
      <c r="T513">
        <v>0.13</v>
      </c>
      <c r="U513">
        <v>0.22</v>
      </c>
    </row>
    <row r="514" spans="1:21" x14ac:dyDescent="0.25">
      <c r="A514" t="s">
        <v>123</v>
      </c>
      <c r="B514" t="s">
        <v>124</v>
      </c>
      <c r="C514">
        <v>3</v>
      </c>
      <c r="D514">
        <v>2</v>
      </c>
      <c r="E514"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v>58.6406670479805</v>
      </c>
      <c r="P514">
        <v>2878.3274599697502</v>
      </c>
      <c r="Q514">
        <v>6917.3935591678601</v>
      </c>
      <c r="R514">
        <v>18331.092931794799</v>
      </c>
      <c r="S514">
        <v>111</v>
      </c>
      <c r="T514">
        <v>0.13</v>
      </c>
      <c r="U514">
        <v>0.22</v>
      </c>
    </row>
    <row r="515" spans="1:21" x14ac:dyDescent="0.25">
      <c r="A515" t="s">
        <v>123</v>
      </c>
      <c r="B515" t="s">
        <v>124</v>
      </c>
      <c r="C515">
        <v>4</v>
      </c>
      <c r="D515">
        <v>2</v>
      </c>
      <c r="E515"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v>70.628253295728499</v>
      </c>
      <c r="P515">
        <v>5123.38331347024</v>
      </c>
      <c r="Q515">
        <v>12312.865449339701</v>
      </c>
      <c r="R515">
        <v>32629.093440750101</v>
      </c>
      <c r="S515">
        <v>111</v>
      </c>
      <c r="T515">
        <v>0.13</v>
      </c>
      <c r="U515">
        <v>0.22</v>
      </c>
    </row>
    <row r="516" spans="1:21" x14ac:dyDescent="0.25">
      <c r="A516" t="s">
        <v>123</v>
      </c>
      <c r="B516" t="s">
        <v>124</v>
      </c>
      <c r="C516">
        <v>5</v>
      </c>
      <c r="D516">
        <v>2</v>
      </c>
      <c r="E516"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v>79.871300682011494</v>
      </c>
      <c r="P516">
        <v>7501.2726572146203</v>
      </c>
      <c r="Q516">
        <v>18027.571875065201</v>
      </c>
      <c r="R516">
        <v>47773.065468922701</v>
      </c>
      <c r="S516">
        <v>111</v>
      </c>
      <c r="T516">
        <v>0.13</v>
      </c>
      <c r="U516">
        <v>0.22</v>
      </c>
    </row>
    <row r="517" spans="1:21" x14ac:dyDescent="0.25">
      <c r="A517" t="s">
        <v>123</v>
      </c>
      <c r="B517" t="s">
        <v>124</v>
      </c>
      <c r="C517">
        <v>6</v>
      </c>
      <c r="D517">
        <v>2</v>
      </c>
      <c r="E517"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v>86.998167026862603</v>
      </c>
      <c r="P517">
        <v>9776.9844196191898</v>
      </c>
      <c r="Q517">
        <v>23496.718143761598</v>
      </c>
      <c r="R517">
        <v>62266.303080968202</v>
      </c>
      <c r="S517">
        <v>111</v>
      </c>
      <c r="T517">
        <v>0.13</v>
      </c>
      <c r="U517">
        <v>0.22</v>
      </c>
    </row>
    <row r="518" spans="1:21" x14ac:dyDescent="0.25">
      <c r="A518" t="s">
        <v>123</v>
      </c>
      <c r="B518" t="s">
        <v>124</v>
      </c>
      <c r="C518">
        <v>7</v>
      </c>
      <c r="D518">
        <v>2</v>
      </c>
      <c r="E518"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v>92.493348623870105</v>
      </c>
      <c r="P518">
        <v>11821.3251869711</v>
      </c>
      <c r="Q518">
        <v>28409.817800939902</v>
      </c>
      <c r="R518">
        <v>75286.017172490596</v>
      </c>
      <c r="S518">
        <v>111</v>
      </c>
      <c r="T518">
        <v>0.13</v>
      </c>
      <c r="U518">
        <v>0.22</v>
      </c>
    </row>
    <row r="519" spans="1:21" x14ac:dyDescent="0.25">
      <c r="A519" t="s">
        <v>123</v>
      </c>
      <c r="B519" t="s">
        <v>124</v>
      </c>
      <c r="C519">
        <v>8</v>
      </c>
      <c r="D519">
        <v>2</v>
      </c>
      <c r="E519"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v>96.730417108521294</v>
      </c>
      <c r="P519">
        <v>13582.1678366007</v>
      </c>
      <c r="Q519">
        <v>32641.595377555099</v>
      </c>
      <c r="R519">
        <v>86500.227750520906</v>
      </c>
      <c r="S519">
        <v>111</v>
      </c>
      <c r="T519">
        <v>0.13</v>
      </c>
      <c r="U519">
        <v>0.22</v>
      </c>
    </row>
    <row r="520" spans="1:21" x14ac:dyDescent="0.25">
      <c r="A520" t="s">
        <v>123</v>
      </c>
      <c r="B520" t="s">
        <v>124</v>
      </c>
      <c r="C520">
        <v>9</v>
      </c>
      <c r="D520">
        <v>2</v>
      </c>
      <c r="E520"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v>99.997415482769895</v>
      </c>
      <c r="P520">
        <v>15055.279034998401</v>
      </c>
      <c r="Q520">
        <v>36181.877036766302</v>
      </c>
      <c r="R520">
        <v>95881.974147430607</v>
      </c>
      <c r="S520">
        <v>111</v>
      </c>
      <c r="T520">
        <v>0.13</v>
      </c>
      <c r="U520">
        <v>0.22</v>
      </c>
    </row>
    <row r="521" spans="1:21" x14ac:dyDescent="0.25">
      <c r="A521" t="s">
        <v>123</v>
      </c>
      <c r="B521" t="s">
        <v>124</v>
      </c>
      <c r="C521">
        <v>10</v>
      </c>
      <c r="D521">
        <v>2</v>
      </c>
      <c r="E521"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v>102.51643976005199</v>
      </c>
      <c r="P521">
        <v>16262.357460261001</v>
      </c>
      <c r="Q521">
        <v>39082.8105269429</v>
      </c>
      <c r="R521">
        <v>103569.447896399</v>
      </c>
      <c r="S521">
        <v>111</v>
      </c>
      <c r="T521">
        <v>0.13</v>
      </c>
      <c r="U521">
        <v>0.22</v>
      </c>
    </row>
    <row r="522" spans="1:21" x14ac:dyDescent="0.25">
      <c r="A522" t="s">
        <v>125</v>
      </c>
      <c r="B522" t="s">
        <v>126</v>
      </c>
      <c r="C522">
        <v>1</v>
      </c>
      <c r="D522">
        <v>1</v>
      </c>
      <c r="E522"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v>12.9421111471095</v>
      </c>
      <c r="P522">
        <v>25.171327616078901</v>
      </c>
      <c r="Q522">
        <v>60.493457380627</v>
      </c>
      <c r="R522">
        <v>160.307662058662</v>
      </c>
      <c r="S522">
        <v>136</v>
      </c>
      <c r="T522">
        <v>0.1</v>
      </c>
      <c r="U522">
        <v>0</v>
      </c>
    </row>
    <row r="523" spans="1:21" x14ac:dyDescent="0.25">
      <c r="A523" t="s">
        <v>125</v>
      </c>
      <c r="B523" t="s">
        <v>126</v>
      </c>
      <c r="C523">
        <v>2</v>
      </c>
      <c r="D523">
        <v>1</v>
      </c>
      <c r="E523"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v>24.652617581394502</v>
      </c>
      <c r="P523">
        <v>163.11506433652201</v>
      </c>
      <c r="Q523">
        <v>392.00928703802498</v>
      </c>
      <c r="R523">
        <v>1038.82461065077</v>
      </c>
      <c r="S523">
        <v>136</v>
      </c>
      <c r="T523">
        <v>0.1</v>
      </c>
      <c r="U523">
        <v>0</v>
      </c>
    </row>
    <row r="524" spans="1:21" x14ac:dyDescent="0.25">
      <c r="A524" t="s">
        <v>125</v>
      </c>
      <c r="B524" t="s">
        <v>126</v>
      </c>
      <c r="C524">
        <v>3</v>
      </c>
      <c r="D524">
        <v>1</v>
      </c>
      <c r="E524"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v>35.248721987286402</v>
      </c>
      <c r="P524">
        <v>460.05213204372899</v>
      </c>
      <c r="Q524">
        <v>1105.6287720349201</v>
      </c>
      <c r="R524">
        <v>2929.9162458925298</v>
      </c>
      <c r="S524">
        <v>136</v>
      </c>
      <c r="T524">
        <v>0.1</v>
      </c>
      <c r="U524">
        <v>0</v>
      </c>
    </row>
    <row r="525" spans="1:21" x14ac:dyDescent="0.25">
      <c r="A525" t="s">
        <v>125</v>
      </c>
      <c r="B525" t="s">
        <v>126</v>
      </c>
      <c r="C525">
        <v>4</v>
      </c>
      <c r="D525">
        <v>1</v>
      </c>
      <c r="E525"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v>44.836473739153099</v>
      </c>
      <c r="P525">
        <v>924.32023765543704</v>
      </c>
      <c r="Q525">
        <v>2221.3896603110702</v>
      </c>
      <c r="R525">
        <v>5886.6825998243403</v>
      </c>
      <c r="S525">
        <v>136</v>
      </c>
      <c r="T525">
        <v>0.1</v>
      </c>
      <c r="U525">
        <v>0</v>
      </c>
    </row>
    <row r="526" spans="1:21" x14ac:dyDescent="0.25">
      <c r="A526" t="s">
        <v>125</v>
      </c>
      <c r="B526" t="s">
        <v>126</v>
      </c>
      <c r="C526">
        <v>5</v>
      </c>
      <c r="D526">
        <v>1</v>
      </c>
      <c r="E526"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v>53.511830279081899</v>
      </c>
      <c r="P526">
        <v>1543.8165596502899</v>
      </c>
      <c r="Q526">
        <v>3710.2056228077099</v>
      </c>
      <c r="R526">
        <v>9832.0449004404309</v>
      </c>
      <c r="S526">
        <v>136</v>
      </c>
      <c r="T526">
        <v>0.1</v>
      </c>
      <c r="U526">
        <v>0</v>
      </c>
    </row>
    <row r="527" spans="1:21" x14ac:dyDescent="0.25">
      <c r="A527" t="s">
        <v>125</v>
      </c>
      <c r="B527" t="s">
        <v>126</v>
      </c>
      <c r="C527">
        <v>6</v>
      </c>
      <c r="D527">
        <v>1</v>
      </c>
      <c r="E527"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v>61.3616174912124</v>
      </c>
      <c r="P527">
        <v>2296.1062271517799</v>
      </c>
      <c r="Q527">
        <v>5518.1596422777602</v>
      </c>
      <c r="R527">
        <v>14623.1230520361</v>
      </c>
      <c r="S527">
        <v>136</v>
      </c>
      <c r="T527">
        <v>0.1</v>
      </c>
      <c r="U527">
        <v>0</v>
      </c>
    </row>
    <row r="528" spans="1:21" x14ac:dyDescent="0.25">
      <c r="A528" t="s">
        <v>125</v>
      </c>
      <c r="B528" t="s">
        <v>126</v>
      </c>
      <c r="C528">
        <v>7</v>
      </c>
      <c r="D528">
        <v>1</v>
      </c>
      <c r="E528"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v>68.464398684368305</v>
      </c>
      <c r="P528">
        <v>3154.5627713873801</v>
      </c>
      <c r="Q528">
        <v>7581.2611665161803</v>
      </c>
      <c r="R528">
        <v>20090.342091267899</v>
      </c>
      <c r="S528">
        <v>136</v>
      </c>
      <c r="T528">
        <v>0.1</v>
      </c>
      <c r="U528">
        <v>0</v>
      </c>
    </row>
    <row r="529" spans="1:21" x14ac:dyDescent="0.25">
      <c r="A529" t="s">
        <v>125</v>
      </c>
      <c r="B529" t="s">
        <v>126</v>
      </c>
      <c r="C529">
        <v>8</v>
      </c>
      <c r="D529">
        <v>1</v>
      </c>
      <c r="E529"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v>74.891260880057899</v>
      </c>
      <c r="P529">
        <v>4092.0560363752302</v>
      </c>
      <c r="Q529">
        <v>9834.3091477414691</v>
      </c>
      <c r="R529">
        <v>26060.919241514901</v>
      </c>
      <c r="S529">
        <v>136</v>
      </c>
      <c r="T529">
        <v>0.1</v>
      </c>
      <c r="U529">
        <v>0</v>
      </c>
    </row>
    <row r="530" spans="1:21" x14ac:dyDescent="0.25">
      <c r="A530" t="s">
        <v>125</v>
      </c>
      <c r="B530" t="s">
        <v>126</v>
      </c>
      <c r="C530">
        <v>9</v>
      </c>
      <c r="D530">
        <v>1</v>
      </c>
      <c r="E530"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v>80.706526275278506</v>
      </c>
      <c r="P530">
        <v>5083.0731391647396</v>
      </c>
      <c r="Q530">
        <v>12215.9892794154</v>
      </c>
      <c r="R530">
        <v>32372.371590450799</v>
      </c>
      <c r="S530">
        <v>136</v>
      </c>
      <c r="T530">
        <v>0.1</v>
      </c>
      <c r="U530">
        <v>0</v>
      </c>
    </row>
    <row r="531" spans="1:21" x14ac:dyDescent="0.25">
      <c r="A531" t="s">
        <v>125</v>
      </c>
      <c r="B531" t="s">
        <v>126</v>
      </c>
      <c r="C531">
        <v>10</v>
      </c>
      <c r="D531">
        <v>1</v>
      </c>
      <c r="E531"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v>85.968396000683796</v>
      </c>
      <c r="P531">
        <v>6104.8338399565801</v>
      </c>
      <c r="Q531">
        <v>14671.554530056699</v>
      </c>
      <c r="R531">
        <v>38879.619504650203</v>
      </c>
      <c r="S531">
        <v>136</v>
      </c>
      <c r="T531">
        <v>0.1</v>
      </c>
      <c r="U531">
        <v>0</v>
      </c>
    </row>
    <row r="532" spans="1:21" x14ac:dyDescent="0.25">
      <c r="A532" t="s">
        <v>127</v>
      </c>
      <c r="B532" t="s">
        <v>128</v>
      </c>
      <c r="C532">
        <v>1</v>
      </c>
      <c r="D532">
        <v>2</v>
      </c>
      <c r="E532"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v>29.254489500772099</v>
      </c>
      <c r="P532">
        <v>350.51419254962502</v>
      </c>
      <c r="Q532">
        <v>842.37969850907302</v>
      </c>
      <c r="R532">
        <v>2232.3062010490398</v>
      </c>
      <c r="S532">
        <v>62.2</v>
      </c>
      <c r="T532">
        <v>0.31</v>
      </c>
      <c r="U532">
        <v>-0.05</v>
      </c>
    </row>
    <row r="533" spans="1:21" x14ac:dyDescent="0.25">
      <c r="A533" t="s">
        <v>127</v>
      </c>
      <c r="B533" t="s">
        <v>128</v>
      </c>
      <c r="C533">
        <v>2</v>
      </c>
      <c r="D533">
        <v>2</v>
      </c>
      <c r="E533"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v>44.4771458832234</v>
      </c>
      <c r="P533">
        <v>1231.7959377121299</v>
      </c>
      <c r="Q533">
        <v>2960.3363078878301</v>
      </c>
      <c r="R533">
        <v>7844.8912159027605</v>
      </c>
      <c r="S533">
        <v>62.2</v>
      </c>
      <c r="T533">
        <v>0.31</v>
      </c>
      <c r="U533">
        <v>-0.05</v>
      </c>
    </row>
    <row r="534" spans="1:21" x14ac:dyDescent="0.25">
      <c r="A534" t="s">
        <v>127</v>
      </c>
      <c r="B534" t="s">
        <v>128</v>
      </c>
      <c r="C534">
        <v>3</v>
      </c>
      <c r="D534">
        <v>2</v>
      </c>
      <c r="E534"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v>52.666089209578203</v>
      </c>
      <c r="P534">
        <v>2045.13154257155</v>
      </c>
      <c r="Q534">
        <v>4915.0001023108598</v>
      </c>
      <c r="R534">
        <v>13024.750271123799</v>
      </c>
      <c r="S534">
        <v>62.2</v>
      </c>
      <c r="T534">
        <v>0.31</v>
      </c>
      <c r="U534">
        <v>-0.05</v>
      </c>
    </row>
    <row r="535" spans="1:21" x14ac:dyDescent="0.25">
      <c r="A535" t="s">
        <v>127</v>
      </c>
      <c r="B535" t="s">
        <v>128</v>
      </c>
      <c r="C535">
        <v>4</v>
      </c>
      <c r="D535">
        <v>2</v>
      </c>
      <c r="E535"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v>57.071285721768703</v>
      </c>
      <c r="P535">
        <v>2602.4416775725899</v>
      </c>
      <c r="Q535">
        <v>6254.3659638851004</v>
      </c>
      <c r="R535">
        <v>16574.069804295501</v>
      </c>
      <c r="S535">
        <v>62.2</v>
      </c>
      <c r="T535">
        <v>0.31</v>
      </c>
      <c r="U535">
        <v>-0.05</v>
      </c>
    </row>
    <row r="536" spans="1:21" x14ac:dyDescent="0.25">
      <c r="A536" t="s">
        <v>127</v>
      </c>
      <c r="B536" t="s">
        <v>128</v>
      </c>
      <c r="C536">
        <v>5</v>
      </c>
      <c r="D536">
        <v>2</v>
      </c>
      <c r="E536"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v>59.441036682013099</v>
      </c>
      <c r="P536">
        <v>2940.2696501024202</v>
      </c>
      <c r="Q536">
        <v>7066.2572701331901</v>
      </c>
      <c r="R536">
        <v>18725.581765853</v>
      </c>
      <c r="S536">
        <v>62.2</v>
      </c>
      <c r="T536">
        <v>0.31</v>
      </c>
      <c r="U536">
        <v>-0.05</v>
      </c>
    </row>
    <row r="537" spans="1:21" x14ac:dyDescent="0.25">
      <c r="A537" t="s">
        <v>127</v>
      </c>
      <c r="B537" t="s">
        <v>128</v>
      </c>
      <c r="C537">
        <v>6</v>
      </c>
      <c r="D537">
        <v>2</v>
      </c>
      <c r="E537"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v>60.715831029561201</v>
      </c>
      <c r="P537">
        <v>3133.5300703345201</v>
      </c>
      <c r="Q537">
        <v>7530.7139397609299</v>
      </c>
      <c r="R537">
        <v>19956.391940366499</v>
      </c>
      <c r="S537">
        <v>62.2</v>
      </c>
      <c r="T537">
        <v>0.31</v>
      </c>
      <c r="U537">
        <v>-0.05</v>
      </c>
    </row>
    <row r="538" spans="1:21" x14ac:dyDescent="0.25">
      <c r="A538" t="s">
        <v>127</v>
      </c>
      <c r="B538" t="s">
        <v>128</v>
      </c>
      <c r="C538">
        <v>7</v>
      </c>
      <c r="D538">
        <v>2</v>
      </c>
      <c r="E538"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v>61.401599557901797</v>
      </c>
      <c r="P538">
        <v>3240.9108939090602</v>
      </c>
      <c r="Q538">
        <v>7788.77888466488</v>
      </c>
      <c r="R538">
        <v>20640.264044361898</v>
      </c>
      <c r="S538">
        <v>62.2</v>
      </c>
      <c r="T538">
        <v>0.31</v>
      </c>
      <c r="U538">
        <v>-0.05</v>
      </c>
    </row>
    <row r="539" spans="1:21" x14ac:dyDescent="0.25">
      <c r="A539" t="s">
        <v>127</v>
      </c>
      <c r="B539" t="s">
        <v>128</v>
      </c>
      <c r="C539">
        <v>8</v>
      </c>
      <c r="D539">
        <v>2</v>
      </c>
      <c r="E539"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v>61.7705049232002</v>
      </c>
      <c r="P539">
        <v>3299.6774570688699</v>
      </c>
      <c r="Q539">
        <v>7930.0107115329902</v>
      </c>
      <c r="R539">
        <v>21014.5283855624</v>
      </c>
      <c r="S539">
        <v>62.2</v>
      </c>
      <c r="T539">
        <v>0.31</v>
      </c>
      <c r="U539">
        <v>-0.05</v>
      </c>
    </row>
    <row r="540" spans="1:21" x14ac:dyDescent="0.25">
      <c r="A540" t="s">
        <v>127</v>
      </c>
      <c r="B540" t="s">
        <v>128</v>
      </c>
      <c r="C540">
        <v>9</v>
      </c>
      <c r="D540">
        <v>2</v>
      </c>
      <c r="E540"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v>61.9689555124612</v>
      </c>
      <c r="P540">
        <v>3331.58243878855</v>
      </c>
      <c r="Q540">
        <v>8006.6869473408997</v>
      </c>
      <c r="R540">
        <v>21217.720410453399</v>
      </c>
      <c r="S540">
        <v>62.2</v>
      </c>
      <c r="T540">
        <v>0.31</v>
      </c>
      <c r="U540">
        <v>-0.05</v>
      </c>
    </row>
    <row r="541" spans="1:21" x14ac:dyDescent="0.25">
      <c r="A541" t="s">
        <v>127</v>
      </c>
      <c r="B541" t="s">
        <v>128</v>
      </c>
      <c r="C541">
        <v>10</v>
      </c>
      <c r="D541">
        <v>2</v>
      </c>
      <c r="E541"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v>62.075710903091597</v>
      </c>
      <c r="P541">
        <v>3348.8303064529</v>
      </c>
      <c r="Q541">
        <v>8048.1382034436401</v>
      </c>
      <c r="R541">
        <v>21327.566239125601</v>
      </c>
      <c r="S541">
        <v>62.2</v>
      </c>
      <c r="T541">
        <v>0.31</v>
      </c>
      <c r="U541">
        <v>-0.05</v>
      </c>
    </row>
    <row r="542" spans="1:21" x14ac:dyDescent="0.25">
      <c r="A542" t="s">
        <v>129</v>
      </c>
      <c r="B542" t="s">
        <v>130</v>
      </c>
      <c r="C542">
        <v>1</v>
      </c>
      <c r="D542">
        <v>2</v>
      </c>
      <c r="E542"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v>13.0201114672162</v>
      </c>
      <c r="P542">
        <v>20.276843800881</v>
      </c>
      <c r="Q542">
        <v>48.730698872581101</v>
      </c>
      <c r="R542">
        <v>129.13635201234001</v>
      </c>
      <c r="S542">
        <v>158</v>
      </c>
      <c r="T542">
        <v>4.2999999999999997E-2</v>
      </c>
      <c r="U542">
        <v>0</v>
      </c>
    </row>
    <row r="543" spans="1:21" x14ac:dyDescent="0.25">
      <c r="A543" t="s">
        <v>129</v>
      </c>
      <c r="B543" t="s">
        <v>130</v>
      </c>
      <c r="C543">
        <v>2</v>
      </c>
      <c r="D543">
        <v>2</v>
      </c>
      <c r="E543"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v>24.967290639377001</v>
      </c>
      <c r="P543">
        <v>132.232952044819</v>
      </c>
      <c r="Q543">
        <v>317.79128104979299</v>
      </c>
      <c r="R543">
        <v>842.14689478195305</v>
      </c>
      <c r="S543">
        <v>158</v>
      </c>
      <c r="T543">
        <v>4.2999999999999997E-2</v>
      </c>
      <c r="U543">
        <v>0</v>
      </c>
    </row>
    <row r="544" spans="1:21" x14ac:dyDescent="0.25">
      <c r="A544" t="s">
        <v>129</v>
      </c>
      <c r="B544" t="s">
        <v>130</v>
      </c>
      <c r="C544">
        <v>3</v>
      </c>
      <c r="D544">
        <v>2</v>
      </c>
      <c r="E544"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v>35.929953327105402</v>
      </c>
      <c r="P544">
        <v>377.24646058580998</v>
      </c>
      <c r="Q544">
        <v>906.624514745998</v>
      </c>
      <c r="R544">
        <v>2402.55496407689</v>
      </c>
      <c r="S544">
        <v>158</v>
      </c>
      <c r="T544">
        <v>4.2999999999999997E-2</v>
      </c>
      <c r="U544">
        <v>0</v>
      </c>
    </row>
    <row r="545" spans="1:21" x14ac:dyDescent="0.25">
      <c r="A545" t="s">
        <v>129</v>
      </c>
      <c r="B545" t="s">
        <v>130</v>
      </c>
      <c r="C545">
        <v>4</v>
      </c>
      <c r="D545">
        <v>2</v>
      </c>
      <c r="E545"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v>45.989229368177298</v>
      </c>
      <c r="P545">
        <v>767.99726584738801</v>
      </c>
      <c r="Q545">
        <v>1845.70359492283</v>
      </c>
      <c r="R545">
        <v>4891.1145265454898</v>
      </c>
      <c r="S545">
        <v>158</v>
      </c>
      <c r="T545">
        <v>4.2999999999999997E-2</v>
      </c>
      <c r="U545">
        <v>0</v>
      </c>
    </row>
    <row r="546" spans="1:21" x14ac:dyDescent="0.25">
      <c r="A546" t="s">
        <v>129</v>
      </c>
      <c r="B546" t="s">
        <v>130</v>
      </c>
      <c r="C546">
        <v>5</v>
      </c>
      <c r="D546">
        <v>2</v>
      </c>
      <c r="E546"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v>55.219563033716</v>
      </c>
      <c r="P546">
        <v>1300.5820447465801</v>
      </c>
      <c r="Q546">
        <v>3125.6477883839998</v>
      </c>
      <c r="R546">
        <v>8282.9666392176096</v>
      </c>
      <c r="S546">
        <v>158</v>
      </c>
      <c r="T546">
        <v>4.2999999999999997E-2</v>
      </c>
      <c r="U546">
        <v>0</v>
      </c>
    </row>
    <row r="547" spans="1:21" x14ac:dyDescent="0.25">
      <c r="A547" t="s">
        <v>129</v>
      </c>
      <c r="B547" t="s">
        <v>130</v>
      </c>
      <c r="C547">
        <v>6</v>
      </c>
      <c r="D547">
        <v>2</v>
      </c>
      <c r="E547"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v>63.689263957451402</v>
      </c>
      <c r="P547">
        <v>1961.64653301096</v>
      </c>
      <c r="Q547">
        <v>4714.3632131962504</v>
      </c>
      <c r="R547">
        <v>12493.062514970001</v>
      </c>
      <c r="S547">
        <v>158</v>
      </c>
      <c r="T547">
        <v>4.2999999999999997E-2</v>
      </c>
      <c r="U547">
        <v>0</v>
      </c>
    </row>
    <row r="548" spans="1:21" x14ac:dyDescent="0.25">
      <c r="A548" t="s">
        <v>129</v>
      </c>
      <c r="B548" t="s">
        <v>130</v>
      </c>
      <c r="C548">
        <v>7</v>
      </c>
      <c r="D548">
        <v>2</v>
      </c>
      <c r="E548"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v>71.461012665231095</v>
      </c>
      <c r="P548">
        <v>2732.9344287040599</v>
      </c>
      <c r="Q548">
        <v>6567.9750749917403</v>
      </c>
      <c r="R548">
        <v>17405.1339487281</v>
      </c>
      <c r="S548">
        <v>158</v>
      </c>
      <c r="T548">
        <v>4.2999999999999997E-2</v>
      </c>
      <c r="U548">
        <v>0</v>
      </c>
    </row>
    <row r="549" spans="1:21" x14ac:dyDescent="0.25">
      <c r="A549" t="s">
        <v>129</v>
      </c>
      <c r="B549" t="s">
        <v>130</v>
      </c>
      <c r="C549">
        <v>8</v>
      </c>
      <c r="D549">
        <v>2</v>
      </c>
      <c r="E549"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v>78.5923244459823</v>
      </c>
      <c r="P549">
        <v>3594.2211705995601</v>
      </c>
      <c r="Q549">
        <v>8637.8783239595195</v>
      </c>
      <c r="R549">
        <v>22890.377558492699</v>
      </c>
      <c r="S549">
        <v>158</v>
      </c>
      <c r="T549">
        <v>4.2999999999999997E-2</v>
      </c>
      <c r="U549">
        <v>0</v>
      </c>
    </row>
    <row r="550" spans="1:21" x14ac:dyDescent="0.25">
      <c r="A550" t="s">
        <v>129</v>
      </c>
      <c r="B550" t="s">
        <v>130</v>
      </c>
      <c r="C550">
        <v>9</v>
      </c>
      <c r="D550">
        <v>2</v>
      </c>
      <c r="E550"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v>85.135974997031994</v>
      </c>
      <c r="P550">
        <v>4525.1791917624996</v>
      </c>
      <c r="Q550">
        <v>10875.2203599195</v>
      </c>
      <c r="R550">
        <v>28819.3339537867</v>
      </c>
      <c r="S550">
        <v>158</v>
      </c>
      <c r="T550">
        <v>4.2999999999999997E-2</v>
      </c>
      <c r="U550">
        <v>0</v>
      </c>
    </row>
    <row r="551" spans="1:21" x14ac:dyDescent="0.25">
      <c r="A551" t="s">
        <v>129</v>
      </c>
      <c r="B551" t="s">
        <v>130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v>91.140390993795705</v>
      </c>
      <c r="P551">
        <v>5506.5218729766202</v>
      </c>
      <c r="Q551">
        <v>13233.650259496801</v>
      </c>
      <c r="R551">
        <v>35069.1731876665</v>
      </c>
      <c r="S551">
        <v>158</v>
      </c>
      <c r="T551">
        <v>4.2999999999999997E-2</v>
      </c>
      <c r="U551">
        <v>0</v>
      </c>
    </row>
    <row r="552" spans="1:21" x14ac:dyDescent="0.25">
      <c r="A552" t="s">
        <v>131</v>
      </c>
      <c r="B552" t="s">
        <v>132</v>
      </c>
      <c r="C552">
        <v>1</v>
      </c>
      <c r="D552">
        <v>2</v>
      </c>
      <c r="E552"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v>15.066373896171299</v>
      </c>
      <c r="P552">
        <v>36.505086715089099</v>
      </c>
      <c r="Q552">
        <v>87.731522987476794</v>
      </c>
      <c r="R552">
        <v>232.48853591681299</v>
      </c>
      <c r="S552">
        <v>45.7</v>
      </c>
      <c r="T552">
        <v>0.2</v>
      </c>
      <c r="U552">
        <v>0</v>
      </c>
    </row>
    <row r="553" spans="1:21" x14ac:dyDescent="0.25">
      <c r="A553" t="s">
        <v>131</v>
      </c>
      <c r="B553" t="s">
        <v>132</v>
      </c>
      <c r="C553">
        <v>2</v>
      </c>
      <c r="D553">
        <v>2</v>
      </c>
      <c r="E553"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v>25.165666339843</v>
      </c>
      <c r="P553">
        <v>161.61158694284299</v>
      </c>
      <c r="Q553">
        <v>388.39602725989698</v>
      </c>
      <c r="R553">
        <v>1029.24947223873</v>
      </c>
      <c r="S553">
        <v>45.7</v>
      </c>
      <c r="T553">
        <v>0.2</v>
      </c>
      <c r="U553">
        <v>0</v>
      </c>
    </row>
    <row r="554" spans="1:21" x14ac:dyDescent="0.25">
      <c r="A554" t="s">
        <v>131</v>
      </c>
      <c r="B554" t="s">
        <v>132</v>
      </c>
      <c r="C554">
        <v>3</v>
      </c>
      <c r="D554">
        <v>2</v>
      </c>
      <c r="E554"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v>31.9354245156124</v>
      </c>
      <c r="P554">
        <v>322.49192680133098</v>
      </c>
      <c r="Q554">
        <v>775.03467147640299</v>
      </c>
      <c r="R554">
        <v>2053.84187941247</v>
      </c>
      <c r="S554">
        <v>45.7</v>
      </c>
      <c r="T554">
        <v>0.2</v>
      </c>
      <c r="U554">
        <v>0</v>
      </c>
    </row>
    <row r="555" spans="1:21" x14ac:dyDescent="0.25">
      <c r="A555" t="s">
        <v>131</v>
      </c>
      <c r="B555" t="s">
        <v>132</v>
      </c>
      <c r="C555">
        <v>4</v>
      </c>
      <c r="D555">
        <v>2</v>
      </c>
      <c r="E555"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v>36.473329127644298</v>
      </c>
      <c r="P555">
        <v>474.085543126929</v>
      </c>
      <c r="Q555">
        <v>1139.35482606808</v>
      </c>
      <c r="R555">
        <v>3019.2902890804098</v>
      </c>
      <c r="S555">
        <v>45.7</v>
      </c>
      <c r="T555">
        <v>0.2</v>
      </c>
      <c r="U555">
        <v>0</v>
      </c>
    </row>
    <row r="556" spans="1:21" x14ac:dyDescent="0.25">
      <c r="A556" t="s">
        <v>131</v>
      </c>
      <c r="B556" t="s">
        <v>132</v>
      </c>
      <c r="C556">
        <v>5</v>
      </c>
      <c r="D556">
        <v>2</v>
      </c>
      <c r="E556"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v>39.515177556086797</v>
      </c>
      <c r="P556">
        <v>598.05820783112802</v>
      </c>
      <c r="Q556">
        <v>1437.2944192048301</v>
      </c>
      <c r="R556">
        <v>3808.8302108927901</v>
      </c>
      <c r="S556">
        <v>45.7</v>
      </c>
      <c r="T556">
        <v>0.2</v>
      </c>
      <c r="U556">
        <v>0</v>
      </c>
    </row>
    <row r="557" spans="1:21" x14ac:dyDescent="0.25">
      <c r="A557" t="s">
        <v>131</v>
      </c>
      <c r="B557" t="s">
        <v>132</v>
      </c>
      <c r="C557">
        <v>6</v>
      </c>
      <c r="D557">
        <v>2</v>
      </c>
      <c r="E557"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v>41.554189534673903</v>
      </c>
      <c r="P557">
        <v>692.00782131257404</v>
      </c>
      <c r="Q557">
        <v>1663.08056071275</v>
      </c>
      <c r="R557">
        <v>4407.1634858887801</v>
      </c>
      <c r="S557">
        <v>45.7</v>
      </c>
      <c r="T557">
        <v>0.2</v>
      </c>
      <c r="U557">
        <v>0</v>
      </c>
    </row>
    <row r="558" spans="1:21" x14ac:dyDescent="0.25">
      <c r="A558" t="s">
        <v>131</v>
      </c>
      <c r="B558" t="s">
        <v>132</v>
      </c>
      <c r="C558">
        <v>7</v>
      </c>
      <c r="D558">
        <v>2</v>
      </c>
      <c r="E558"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v>42.920980138027602</v>
      </c>
      <c r="P558">
        <v>760.09865717706396</v>
      </c>
      <c r="Q558">
        <v>1826.72111794536</v>
      </c>
      <c r="R558">
        <v>4840.8109625551997</v>
      </c>
      <c r="S558">
        <v>45.7</v>
      </c>
      <c r="T558">
        <v>0.2</v>
      </c>
      <c r="U558">
        <v>0</v>
      </c>
    </row>
    <row r="559" spans="1:21" x14ac:dyDescent="0.25">
      <c r="A559" t="s">
        <v>131</v>
      </c>
      <c r="B559" t="s">
        <v>132</v>
      </c>
      <c r="C559">
        <v>8</v>
      </c>
      <c r="D559">
        <v>2</v>
      </c>
      <c r="E559"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v>43.837167278188701</v>
      </c>
      <c r="P559">
        <v>808.11140356816702</v>
      </c>
      <c r="Q559">
        <v>1942.1086363089801</v>
      </c>
      <c r="R559">
        <v>5146.5878862188001</v>
      </c>
      <c r="S559">
        <v>45.7</v>
      </c>
      <c r="T559">
        <v>0.2</v>
      </c>
      <c r="U559">
        <v>0</v>
      </c>
    </row>
    <row r="560" spans="1:21" x14ac:dyDescent="0.25">
      <c r="A560" t="s">
        <v>131</v>
      </c>
      <c r="B560" t="s">
        <v>132</v>
      </c>
      <c r="C560">
        <v>9</v>
      </c>
      <c r="D560">
        <v>2</v>
      </c>
      <c r="E560"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v>44.4513058841587</v>
      </c>
      <c r="P560">
        <v>841.38188165621102</v>
      </c>
      <c r="Q560">
        <v>2022.06652645088</v>
      </c>
      <c r="R560">
        <v>5358.4762950948298</v>
      </c>
      <c r="S560">
        <v>45.7</v>
      </c>
      <c r="T560">
        <v>0.2</v>
      </c>
      <c r="U560">
        <v>0</v>
      </c>
    </row>
    <row r="561" spans="1:21" x14ac:dyDescent="0.25">
      <c r="A561" t="s">
        <v>131</v>
      </c>
      <c r="B561" t="s">
        <v>132</v>
      </c>
      <c r="C561">
        <v>10</v>
      </c>
      <c r="D561">
        <v>2</v>
      </c>
      <c r="E561"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v>44.862975302784797</v>
      </c>
      <c r="P561">
        <v>864.17847758364303</v>
      </c>
      <c r="Q561">
        <v>2076.8528660986399</v>
      </c>
      <c r="R561">
        <v>5503.66009516139</v>
      </c>
      <c r="S561">
        <v>45.7</v>
      </c>
      <c r="T561">
        <v>0.2</v>
      </c>
      <c r="U561">
        <v>0</v>
      </c>
    </row>
    <row r="562" spans="1:21" x14ac:dyDescent="0.25">
      <c r="A562" t="s">
        <v>133</v>
      </c>
      <c r="B562" t="s">
        <v>134</v>
      </c>
      <c r="C562">
        <v>1</v>
      </c>
      <c r="D562">
        <v>3</v>
      </c>
      <c r="E562"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v>29.546722842284201</v>
      </c>
      <c r="P562">
        <v>459.60273867480799</v>
      </c>
      <c r="Q562">
        <v>1104.54875913196</v>
      </c>
      <c r="R562">
        <v>2927.0542116996899</v>
      </c>
      <c r="S562">
        <v>114</v>
      </c>
      <c r="T562">
        <v>0.1</v>
      </c>
      <c r="U562">
        <v>0</v>
      </c>
    </row>
    <row r="563" spans="1:21" x14ac:dyDescent="0.25">
      <c r="A563" t="s">
        <v>133</v>
      </c>
      <c r="B563" t="s">
        <v>134</v>
      </c>
      <c r="C563">
        <v>2</v>
      </c>
      <c r="D563">
        <v>3</v>
      </c>
      <c r="E563"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v>51.435473485281001</v>
      </c>
      <c r="P563">
        <v>2562.8206892267699</v>
      </c>
      <c r="Q563">
        <v>6159.1460928305096</v>
      </c>
      <c r="R563">
        <v>16321.7371460008</v>
      </c>
      <c r="S563">
        <v>114</v>
      </c>
      <c r="T563">
        <v>0.1</v>
      </c>
      <c r="U563">
        <v>0</v>
      </c>
    </row>
    <row r="564" spans="1:21" x14ac:dyDescent="0.25">
      <c r="A564" t="s">
        <v>133</v>
      </c>
      <c r="B564" t="s">
        <v>134</v>
      </c>
      <c r="C564">
        <v>3</v>
      </c>
      <c r="D564">
        <v>3</v>
      </c>
      <c r="E564"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v>67.651058789571707</v>
      </c>
      <c r="P564">
        <v>5993.1476155814598</v>
      </c>
      <c r="Q564">
        <v>14403.1425512652</v>
      </c>
      <c r="R564">
        <v>38168.327760852902</v>
      </c>
      <c r="S564">
        <v>114</v>
      </c>
      <c r="T564">
        <v>0.1</v>
      </c>
      <c r="U564">
        <v>0</v>
      </c>
    </row>
    <row r="565" spans="1:21" x14ac:dyDescent="0.25">
      <c r="A565" t="s">
        <v>133</v>
      </c>
      <c r="B565" t="s">
        <v>134</v>
      </c>
      <c r="C565">
        <v>4</v>
      </c>
      <c r="D565">
        <v>3</v>
      </c>
      <c r="E565"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v>79.663859842009003</v>
      </c>
      <c r="P565">
        <v>9947.4986753603207</v>
      </c>
      <c r="Q565">
        <v>23906.509674021399</v>
      </c>
      <c r="R565">
        <v>63352.250636156801</v>
      </c>
      <c r="S565">
        <v>114</v>
      </c>
      <c r="T565">
        <v>0.1</v>
      </c>
      <c r="U565">
        <v>0</v>
      </c>
    </row>
    <row r="566" spans="1:21" x14ac:dyDescent="0.25">
      <c r="A566" t="s">
        <v>133</v>
      </c>
      <c r="B566" t="s">
        <v>134</v>
      </c>
      <c r="C566">
        <v>5</v>
      </c>
      <c r="D566">
        <v>3</v>
      </c>
      <c r="E566"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v>88.563161743078993</v>
      </c>
      <c r="P566">
        <v>13813.0113976149</v>
      </c>
      <c r="Q566">
        <v>33196.374423491703</v>
      </c>
      <c r="R566">
        <v>87970.392222252907</v>
      </c>
      <c r="S566">
        <v>114</v>
      </c>
      <c r="T566">
        <v>0.1</v>
      </c>
      <c r="U566">
        <v>0</v>
      </c>
    </row>
    <row r="567" spans="1:21" x14ac:dyDescent="0.25">
      <c r="A567" t="s">
        <v>133</v>
      </c>
      <c r="B567" t="s">
        <v>134</v>
      </c>
      <c r="C567">
        <v>6</v>
      </c>
      <c r="D567">
        <v>3</v>
      </c>
      <c r="E567"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v>95.155926742739098</v>
      </c>
      <c r="P567">
        <v>17256.584213301299</v>
      </c>
      <c r="Q567">
        <v>41472.204309784502</v>
      </c>
      <c r="R567">
        <v>109901.34142092901</v>
      </c>
      <c r="S567">
        <v>114</v>
      </c>
      <c r="T567">
        <v>0.1</v>
      </c>
      <c r="U567">
        <v>0</v>
      </c>
    </row>
    <row r="568" spans="1:21" x14ac:dyDescent="0.25">
      <c r="A568" t="s">
        <v>133</v>
      </c>
      <c r="B568" t="s">
        <v>134</v>
      </c>
      <c r="C568">
        <v>7</v>
      </c>
      <c r="D568">
        <v>3</v>
      </c>
      <c r="E568"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v>100.03996717916</v>
      </c>
      <c r="P568">
        <v>20153.092430026401</v>
      </c>
      <c r="Q568">
        <v>48433.291107970203</v>
      </c>
      <c r="R568">
        <v>128348.22143612101</v>
      </c>
      <c r="S568">
        <v>114</v>
      </c>
      <c r="T568">
        <v>0.1</v>
      </c>
      <c r="U568">
        <v>0</v>
      </c>
    </row>
    <row r="569" spans="1:21" x14ac:dyDescent="0.25">
      <c r="A569" t="s">
        <v>133</v>
      </c>
      <c r="B569" t="s">
        <v>134</v>
      </c>
      <c r="C569">
        <v>8</v>
      </c>
      <c r="D569">
        <v>3</v>
      </c>
      <c r="E569"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v>103.65815332500701</v>
      </c>
      <c r="P569">
        <v>22499.583071964</v>
      </c>
      <c r="Q569">
        <v>54072.538024426904</v>
      </c>
      <c r="R569">
        <v>143292.225764731</v>
      </c>
      <c r="S569">
        <v>114</v>
      </c>
      <c r="T569">
        <v>0.1</v>
      </c>
      <c r="U569">
        <v>0</v>
      </c>
    </row>
    <row r="570" spans="1:21" x14ac:dyDescent="0.25">
      <c r="A570" t="s">
        <v>133</v>
      </c>
      <c r="B570" t="s">
        <v>134</v>
      </c>
      <c r="C570">
        <v>9</v>
      </c>
      <c r="D570">
        <v>3</v>
      </c>
      <c r="E570"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v>106.33857154766901</v>
      </c>
      <c r="P570">
        <v>24352.596306280098</v>
      </c>
      <c r="Q570">
        <v>58525.826258784298</v>
      </c>
      <c r="R570">
        <v>155093.43958577799</v>
      </c>
      <c r="S570">
        <v>114</v>
      </c>
      <c r="T570">
        <v>0.1</v>
      </c>
      <c r="U570">
        <v>0</v>
      </c>
    </row>
    <row r="571" spans="1:21" x14ac:dyDescent="0.25">
      <c r="A571" t="s">
        <v>133</v>
      </c>
      <c r="B571" t="s">
        <v>134</v>
      </c>
      <c r="C571">
        <v>10</v>
      </c>
      <c r="D571">
        <v>3</v>
      </c>
      <c r="E571"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v>108.324274206064</v>
      </c>
      <c r="P571">
        <v>25790.137840376901</v>
      </c>
      <c r="Q571">
        <v>61980.624466178502</v>
      </c>
      <c r="R571">
        <v>164248.65483537299</v>
      </c>
      <c r="S571">
        <v>114</v>
      </c>
      <c r="T571">
        <v>0.1</v>
      </c>
      <c r="U571">
        <v>0</v>
      </c>
    </row>
    <row r="572" spans="1:21" x14ac:dyDescent="0.25">
      <c r="A572" t="s">
        <v>135</v>
      </c>
      <c r="B572" t="s">
        <v>136</v>
      </c>
      <c r="C572">
        <v>1</v>
      </c>
      <c r="D572">
        <v>2</v>
      </c>
      <c r="E572"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v>10.867623885161199</v>
      </c>
      <c r="P572">
        <v>15.402281088118899</v>
      </c>
      <c r="Q572">
        <v>37.015816121410502</v>
      </c>
      <c r="R572">
        <v>98.091912721737899</v>
      </c>
      <c r="S572">
        <v>60.5</v>
      </c>
      <c r="T572">
        <v>9.9000000000000005E-2</v>
      </c>
      <c r="U572">
        <v>0</v>
      </c>
    </row>
    <row r="573" spans="1:21" x14ac:dyDescent="0.25">
      <c r="A573" t="s">
        <v>135</v>
      </c>
      <c r="B573" t="s">
        <v>136</v>
      </c>
      <c r="C573">
        <v>2</v>
      </c>
      <c r="D573">
        <v>2</v>
      </c>
      <c r="E573"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v>19.7830948957881</v>
      </c>
      <c r="P573">
        <v>92.910318473838302</v>
      </c>
      <c r="Q573">
        <v>223.28843661100299</v>
      </c>
      <c r="R573">
        <v>591.71435701915698</v>
      </c>
      <c r="S573">
        <v>60.5</v>
      </c>
      <c r="T573">
        <v>9.9000000000000005E-2</v>
      </c>
      <c r="U573">
        <v>0</v>
      </c>
    </row>
    <row r="574" spans="1:21" x14ac:dyDescent="0.25">
      <c r="A574" t="s">
        <v>135</v>
      </c>
      <c r="B574" t="s">
        <v>136</v>
      </c>
      <c r="C574">
        <v>3</v>
      </c>
      <c r="D574">
        <v>2</v>
      </c>
      <c r="E574"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v>27.097078539430701</v>
      </c>
      <c r="P574">
        <v>238.75290053153901</v>
      </c>
      <c r="Q574">
        <v>573.78731202004099</v>
      </c>
      <c r="R574">
        <v>1520.5363768531099</v>
      </c>
      <c r="S574">
        <v>60.5</v>
      </c>
      <c r="T574">
        <v>9.9000000000000005E-2</v>
      </c>
      <c r="U574">
        <v>0</v>
      </c>
    </row>
    <row r="575" spans="1:21" x14ac:dyDescent="0.25">
      <c r="A575" t="s">
        <v>135</v>
      </c>
      <c r="B575" t="s">
        <v>136</v>
      </c>
      <c r="C575">
        <v>4</v>
      </c>
      <c r="D575">
        <v>2</v>
      </c>
      <c r="E575"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v>33.0972502270183</v>
      </c>
      <c r="P575">
        <v>435.06784457378302</v>
      </c>
      <c r="Q575">
        <v>1045.5848223354601</v>
      </c>
      <c r="R575">
        <v>2770.7997791889602</v>
      </c>
      <c r="S575">
        <v>60.5</v>
      </c>
      <c r="T575">
        <v>9.9000000000000005E-2</v>
      </c>
      <c r="U575">
        <v>0</v>
      </c>
    </row>
    <row r="576" spans="1:21" x14ac:dyDescent="0.25">
      <c r="A576" t="s">
        <v>135</v>
      </c>
      <c r="B576" t="s">
        <v>136</v>
      </c>
      <c r="C576">
        <v>5</v>
      </c>
      <c r="D576">
        <v>2</v>
      </c>
      <c r="E576"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v>38.019610193166201</v>
      </c>
      <c r="P576">
        <v>659.48394244968597</v>
      </c>
      <c r="Q576">
        <v>1584.9169489297899</v>
      </c>
      <c r="R576">
        <v>4200.02991466395</v>
      </c>
      <c r="S576">
        <v>60.5</v>
      </c>
      <c r="T576">
        <v>9.9000000000000005E-2</v>
      </c>
      <c r="U576">
        <v>0</v>
      </c>
    </row>
    <row r="577" spans="1:21" x14ac:dyDescent="0.25">
      <c r="A577" t="s">
        <v>135</v>
      </c>
      <c r="B577" t="s">
        <v>136</v>
      </c>
      <c r="C577">
        <v>6</v>
      </c>
      <c r="D577">
        <v>2</v>
      </c>
      <c r="E577"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v>42.057765915686602</v>
      </c>
      <c r="P577">
        <v>892.72941441720604</v>
      </c>
      <c r="Q577">
        <v>2145.4684316683602</v>
      </c>
      <c r="R577">
        <v>5685.4913439211596</v>
      </c>
      <c r="S577">
        <v>60.5</v>
      </c>
      <c r="T577">
        <v>9.9000000000000005E-2</v>
      </c>
      <c r="U577">
        <v>0</v>
      </c>
    </row>
    <row r="578" spans="1:21" x14ac:dyDescent="0.25">
      <c r="A578" t="s">
        <v>135</v>
      </c>
      <c r="B578" t="s">
        <v>136</v>
      </c>
      <c r="C578">
        <v>7</v>
      </c>
      <c r="D578">
        <v>2</v>
      </c>
      <c r="E578"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v>45.370547132718301</v>
      </c>
      <c r="P578">
        <v>1120.7359308993</v>
      </c>
      <c r="Q578">
        <v>2693.4292980035998</v>
      </c>
      <c r="R578">
        <v>7137.5876397095499</v>
      </c>
      <c r="S578">
        <v>60.5</v>
      </c>
      <c r="T578">
        <v>9.9000000000000005E-2</v>
      </c>
      <c r="U578">
        <v>0</v>
      </c>
    </row>
    <row r="579" spans="1:21" x14ac:dyDescent="0.25">
      <c r="A579" t="s">
        <v>135</v>
      </c>
      <c r="B579" t="s">
        <v>136</v>
      </c>
      <c r="C579">
        <v>8</v>
      </c>
      <c r="D579">
        <v>2</v>
      </c>
      <c r="E579"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v>48.088252973212398</v>
      </c>
      <c r="P579">
        <v>1334.43752153734</v>
      </c>
      <c r="Q579">
        <v>3207.01158744855</v>
      </c>
      <c r="R579">
        <v>8498.5807067386504</v>
      </c>
      <c r="S579">
        <v>60.5</v>
      </c>
      <c r="T579">
        <v>9.9000000000000005E-2</v>
      </c>
      <c r="U579">
        <v>0</v>
      </c>
    </row>
    <row r="580" spans="1:21" x14ac:dyDescent="0.25">
      <c r="A580" t="s">
        <v>135</v>
      </c>
      <c r="B580" t="s">
        <v>136</v>
      </c>
      <c r="C580">
        <v>9</v>
      </c>
      <c r="D580">
        <v>2</v>
      </c>
      <c r="E580"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v>50.317776914450299</v>
      </c>
      <c r="P580">
        <v>1528.78207527939</v>
      </c>
      <c r="Q580">
        <v>3674.07372093101</v>
      </c>
      <c r="R580">
        <v>9736.2953604671693</v>
      </c>
      <c r="S580">
        <v>60.5</v>
      </c>
      <c r="T580">
        <v>9.9000000000000005E-2</v>
      </c>
      <c r="U580">
        <v>0</v>
      </c>
    </row>
    <row r="581" spans="1:21" x14ac:dyDescent="0.25">
      <c r="A581" t="s">
        <v>135</v>
      </c>
      <c r="B581" t="s">
        <v>136</v>
      </c>
      <c r="C581">
        <v>10</v>
      </c>
      <c r="D581">
        <v>2</v>
      </c>
      <c r="E581"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v>52.146811142691</v>
      </c>
      <c r="P581">
        <v>1701.6275700194101</v>
      </c>
      <c r="Q581">
        <v>4089.46784431485</v>
      </c>
      <c r="R581">
        <v>10837.089787434399</v>
      </c>
      <c r="S581">
        <v>60.5</v>
      </c>
      <c r="T581">
        <v>9.9000000000000005E-2</v>
      </c>
      <c r="U581">
        <v>0</v>
      </c>
    </row>
    <row r="582" spans="1:21" x14ac:dyDescent="0.25">
      <c r="A582" t="s">
        <v>137</v>
      </c>
      <c r="B582" t="s">
        <v>138</v>
      </c>
      <c r="C582">
        <v>1</v>
      </c>
      <c r="D582">
        <v>1</v>
      </c>
      <c r="E582"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v>14.233095682371999</v>
      </c>
      <c r="P582">
        <v>22.346742947147799</v>
      </c>
      <c r="Q582">
        <v>53.705222175313203</v>
      </c>
      <c r="R582">
        <v>142.31883876457999</v>
      </c>
      <c r="S582">
        <v>50</v>
      </c>
      <c r="T582">
        <v>0.33500000000000002</v>
      </c>
      <c r="U582">
        <v>0</v>
      </c>
    </row>
    <row r="583" spans="1:21" x14ac:dyDescent="0.25">
      <c r="A583" t="s">
        <v>137</v>
      </c>
      <c r="B583" t="s">
        <v>138</v>
      </c>
      <c r="C583">
        <v>2</v>
      </c>
      <c r="D583">
        <v>1</v>
      </c>
      <c r="E583"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v>24.414571110672899</v>
      </c>
      <c r="P583">
        <v>102.348262303053</v>
      </c>
      <c r="Q583">
        <v>245.970349202243</v>
      </c>
      <c r="R583">
        <v>651.82142538594405</v>
      </c>
      <c r="S583">
        <v>50</v>
      </c>
      <c r="T583">
        <v>0.33500000000000002</v>
      </c>
      <c r="U583">
        <v>0</v>
      </c>
    </row>
    <row r="584" spans="1:21" x14ac:dyDescent="0.25">
      <c r="A584" t="s">
        <v>137</v>
      </c>
      <c r="B584" t="s">
        <v>138</v>
      </c>
      <c r="C584">
        <v>3</v>
      </c>
      <c r="D584">
        <v>1</v>
      </c>
      <c r="E584"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v>31.697768259799201</v>
      </c>
      <c r="P584">
        <v>213.70314200022801</v>
      </c>
      <c r="Q584">
        <v>513.58601778473405</v>
      </c>
      <c r="R584">
        <v>1361.00294712954</v>
      </c>
      <c r="S584">
        <v>50</v>
      </c>
      <c r="T584">
        <v>0.33500000000000002</v>
      </c>
      <c r="U584">
        <v>0</v>
      </c>
    </row>
    <row r="585" spans="1:21" x14ac:dyDescent="0.25">
      <c r="A585" t="s">
        <v>137</v>
      </c>
      <c r="B585" t="s">
        <v>138</v>
      </c>
      <c r="C585">
        <v>4</v>
      </c>
      <c r="D585">
        <v>1</v>
      </c>
      <c r="E585"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v>36.907716570983702</v>
      </c>
      <c r="P585">
        <v>328.23164678402202</v>
      </c>
      <c r="Q585">
        <v>788.82875939442795</v>
      </c>
      <c r="R585">
        <v>2090.3962123952401</v>
      </c>
      <c r="S585">
        <v>50</v>
      </c>
      <c r="T585">
        <v>0.33500000000000002</v>
      </c>
      <c r="U585">
        <v>0</v>
      </c>
    </row>
    <row r="586" spans="1:21" x14ac:dyDescent="0.25">
      <c r="A586" t="s">
        <v>137</v>
      </c>
      <c r="B586" t="s">
        <v>138</v>
      </c>
      <c r="C586">
        <v>5</v>
      </c>
      <c r="D586">
        <v>1</v>
      </c>
      <c r="E586"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v>40.634591025902203</v>
      </c>
      <c r="P586">
        <v>430.52307294985798</v>
      </c>
      <c r="Q586">
        <v>1034.66251610156</v>
      </c>
      <c r="R586">
        <v>2741.8556676691301</v>
      </c>
      <c r="S586">
        <v>50</v>
      </c>
      <c r="T586">
        <v>0.33500000000000002</v>
      </c>
      <c r="U586">
        <v>0</v>
      </c>
    </row>
    <row r="587" spans="1:21" x14ac:dyDescent="0.25">
      <c r="A587" t="s">
        <v>137</v>
      </c>
      <c r="B587" t="s">
        <v>138</v>
      </c>
      <c r="C587">
        <v>6</v>
      </c>
      <c r="D587">
        <v>1</v>
      </c>
      <c r="E587"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v>43.300566266559798</v>
      </c>
      <c r="P587">
        <v>515.01739410924904</v>
      </c>
      <c r="Q587">
        <v>1237.72505193283</v>
      </c>
      <c r="R587">
        <v>3279.9713876219898</v>
      </c>
      <c r="S587">
        <v>50</v>
      </c>
      <c r="T587">
        <v>0.33500000000000002</v>
      </c>
      <c r="U587">
        <v>0</v>
      </c>
    </row>
    <row r="588" spans="1:21" x14ac:dyDescent="0.25">
      <c r="A588" t="s">
        <v>137</v>
      </c>
      <c r="B588" t="s">
        <v>138</v>
      </c>
      <c r="C588">
        <v>7</v>
      </c>
      <c r="D588">
        <v>1</v>
      </c>
      <c r="E588"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v>45.207639893475097</v>
      </c>
      <c r="P588">
        <v>581.57722029877402</v>
      </c>
      <c r="Q588">
        <v>1397.68618192448</v>
      </c>
      <c r="R588">
        <v>3703.8683820998599</v>
      </c>
      <c r="S588">
        <v>50</v>
      </c>
      <c r="T588">
        <v>0.33500000000000002</v>
      </c>
      <c r="U588">
        <v>0</v>
      </c>
    </row>
    <row r="589" spans="1:21" x14ac:dyDescent="0.25">
      <c r="A589" t="s">
        <v>137</v>
      </c>
      <c r="B589" t="s">
        <v>138</v>
      </c>
      <c r="C589">
        <v>8</v>
      </c>
      <c r="D589">
        <v>1</v>
      </c>
      <c r="E589"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v>46.5718422922861</v>
      </c>
      <c r="P589">
        <v>632.43813909693301</v>
      </c>
      <c r="Q589">
        <v>1519.91862316014</v>
      </c>
      <c r="R589">
        <v>4027.7843513743701</v>
      </c>
      <c r="S589">
        <v>50</v>
      </c>
      <c r="T589">
        <v>0.33500000000000002</v>
      </c>
      <c r="U589">
        <v>0</v>
      </c>
    </row>
    <row r="590" spans="1:21" x14ac:dyDescent="0.25">
      <c r="A590" t="s">
        <v>137</v>
      </c>
      <c r="B590" t="s">
        <v>138</v>
      </c>
      <c r="C590">
        <v>9</v>
      </c>
      <c r="D590">
        <v>1</v>
      </c>
      <c r="E590"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v>47.547708225649203</v>
      </c>
      <c r="P590">
        <v>670.52573986895095</v>
      </c>
      <c r="Q590">
        <v>1611.4533522445299</v>
      </c>
      <c r="R590">
        <v>4270.35138344801</v>
      </c>
      <c r="S590">
        <v>50</v>
      </c>
      <c r="T590">
        <v>0.33500000000000002</v>
      </c>
      <c r="U590">
        <v>0</v>
      </c>
    </row>
    <row r="591" spans="1:21" x14ac:dyDescent="0.25">
      <c r="A591" t="s">
        <v>137</v>
      </c>
      <c r="B591" t="s">
        <v>138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7"/>
  <sheetViews>
    <sheetView topLeftCell="A163" zoomScaleNormal="100" workbookViewId="0">
      <selection activeCell="F129" sqref="F129:G187"/>
    </sheetView>
  </sheetViews>
  <sheetFormatPr defaultRowHeight="15" x14ac:dyDescent="0.25"/>
  <cols>
    <col min="1" max="2" width="8.5703125"/>
    <col min="3" max="3" width="11.28515625"/>
    <col min="4" max="5" width="8.5703125"/>
    <col min="6" max="6" width="11.140625"/>
    <col min="7" max="8" width="8.5703125"/>
    <col min="9" max="9" width="10.7109375" customWidth="1"/>
    <col min="10" max="16" width="8.5703125"/>
    <col min="17" max="17" width="16.85546875"/>
    <col min="18" max="18" width="8.5703125"/>
    <col min="19" max="19" width="12.5703125"/>
    <col min="20" max="20" width="8.5703125"/>
    <col min="21" max="21" width="16.85546875"/>
    <col min="22" max="22" width="11.5703125"/>
    <col min="23" max="26" width="16.7109375"/>
    <col min="27" max="27" width="5.7109375"/>
    <col min="28" max="28" width="6.85546875"/>
    <col min="29" max="1025" width="8.5703125"/>
  </cols>
  <sheetData>
    <row r="1" spans="1:32" x14ac:dyDescent="0.25">
      <c r="A1" t="s">
        <v>139</v>
      </c>
      <c r="B1" t="s">
        <v>140</v>
      </c>
      <c r="C1" t="s">
        <v>141</v>
      </c>
      <c r="D1" s="5" t="s">
        <v>142</v>
      </c>
      <c r="F1" t="s">
        <v>143</v>
      </c>
      <c r="G1" s="5" t="s">
        <v>142</v>
      </c>
      <c r="K1" t="s">
        <v>144</v>
      </c>
      <c r="L1" t="s">
        <v>145</v>
      </c>
      <c r="M1" t="s">
        <v>4</v>
      </c>
      <c r="N1" t="s">
        <v>146</v>
      </c>
      <c r="O1" t="s">
        <v>147</v>
      </c>
      <c r="Q1" t="s">
        <v>148</v>
      </c>
      <c r="R1" t="s">
        <v>149</v>
      </c>
      <c r="T1" t="s">
        <v>150</v>
      </c>
      <c r="U1" t="s">
        <v>148</v>
      </c>
      <c r="V1" s="5" t="s">
        <v>151</v>
      </c>
      <c r="W1" t="s">
        <v>141</v>
      </c>
      <c r="X1" s="5" t="s">
        <v>151</v>
      </c>
      <c r="Y1" t="s">
        <v>143</v>
      </c>
      <c r="AA1" t="s">
        <v>0</v>
      </c>
      <c r="AB1" t="s">
        <v>2</v>
      </c>
    </row>
    <row r="2" spans="1:32" x14ac:dyDescent="0.25">
      <c r="A2" t="s">
        <v>21</v>
      </c>
      <c r="B2">
        <v>18</v>
      </c>
      <c r="C2" t="s">
        <v>152</v>
      </c>
      <c r="D2">
        <v>130.36000000000001</v>
      </c>
      <c r="F2" t="s">
        <v>153</v>
      </c>
      <c r="G2">
        <v>49.19</v>
      </c>
      <c r="I2" t="s">
        <v>21</v>
      </c>
      <c r="J2" t="s">
        <v>22</v>
      </c>
      <c r="K2">
        <v>1</v>
      </c>
      <c r="L2">
        <v>1</v>
      </c>
      <c r="M2">
        <v>1</v>
      </c>
      <c r="N2">
        <v>49.194905069999997</v>
      </c>
      <c r="O2">
        <v>130.36649840000001</v>
      </c>
      <c r="Q2" t="s">
        <v>154</v>
      </c>
      <c r="R2" s="6">
        <v>450000000</v>
      </c>
      <c r="S2" t="s">
        <v>155</v>
      </c>
      <c r="T2" s="6">
        <v>300000000000</v>
      </c>
      <c r="U2" t="s">
        <v>21</v>
      </c>
      <c r="V2" t="s">
        <v>152</v>
      </c>
      <c r="W2">
        <v>15.6702154201362</v>
      </c>
      <c r="X2" t="s">
        <v>153</v>
      </c>
      <c r="Y2">
        <v>5.9132888377872499</v>
      </c>
      <c r="AA2" t="s">
        <v>21</v>
      </c>
      <c r="AB2">
        <v>1</v>
      </c>
      <c r="AC2" s="24"/>
      <c r="AD2" s="24" t="s">
        <v>1044</v>
      </c>
      <c r="AE2" s="24"/>
      <c r="AF2" s="24"/>
    </row>
    <row r="3" spans="1:32" x14ac:dyDescent="0.25">
      <c r="A3" t="s">
        <v>23</v>
      </c>
      <c r="B3">
        <v>13</v>
      </c>
      <c r="C3" t="s">
        <v>156</v>
      </c>
      <c r="D3">
        <v>2197.7399999999998</v>
      </c>
      <c r="F3" t="s">
        <v>157</v>
      </c>
      <c r="G3">
        <v>829.48</v>
      </c>
      <c r="I3" t="s">
        <v>23</v>
      </c>
      <c r="J3" t="s">
        <v>24</v>
      </c>
      <c r="K3">
        <v>1</v>
      </c>
      <c r="L3">
        <v>3</v>
      </c>
      <c r="M3">
        <v>3</v>
      </c>
      <c r="N3">
        <v>829.48845900000003</v>
      </c>
      <c r="O3">
        <v>2197.74442</v>
      </c>
      <c r="Q3" t="s">
        <v>158</v>
      </c>
      <c r="R3" s="6">
        <v>28000000</v>
      </c>
      <c r="S3" t="s">
        <v>159</v>
      </c>
      <c r="T3" s="6">
        <v>600000000000</v>
      </c>
      <c r="U3" t="s">
        <v>23</v>
      </c>
      <c r="V3" t="s">
        <v>156</v>
      </c>
      <c r="W3">
        <v>30722.2293625085</v>
      </c>
      <c r="X3" t="s">
        <v>157</v>
      </c>
      <c r="Y3">
        <v>11593.2940990598</v>
      </c>
      <c r="AA3" t="s">
        <v>23</v>
      </c>
      <c r="AB3">
        <v>1</v>
      </c>
    </row>
    <row r="4" spans="1:32" x14ac:dyDescent="0.25">
      <c r="A4" t="s">
        <v>25</v>
      </c>
      <c r="B4">
        <v>15</v>
      </c>
      <c r="C4" t="s">
        <v>160</v>
      </c>
      <c r="D4">
        <v>2197.7399999999998</v>
      </c>
      <c r="F4" t="s">
        <v>161</v>
      </c>
      <c r="G4">
        <v>829.48</v>
      </c>
      <c r="I4" t="s">
        <v>25</v>
      </c>
      <c r="J4" t="s">
        <v>26</v>
      </c>
      <c r="K4">
        <v>1</v>
      </c>
      <c r="L4">
        <v>3</v>
      </c>
      <c r="M4">
        <v>3</v>
      </c>
      <c r="N4">
        <v>829.48845900000003</v>
      </c>
      <c r="O4">
        <v>2197.74442</v>
      </c>
      <c r="Q4" t="s">
        <v>162</v>
      </c>
      <c r="R4" s="6">
        <v>28000000</v>
      </c>
      <c r="S4" t="s">
        <v>163</v>
      </c>
      <c r="T4" s="6">
        <v>600000000000</v>
      </c>
      <c r="U4" t="s">
        <v>25</v>
      </c>
      <c r="V4" t="s">
        <v>160</v>
      </c>
      <c r="W4">
        <v>69414.948406311203</v>
      </c>
      <c r="X4" t="s">
        <v>161</v>
      </c>
      <c r="Y4">
        <v>26194.320153324999</v>
      </c>
      <c r="AA4" t="s">
        <v>25</v>
      </c>
      <c r="AB4">
        <v>1</v>
      </c>
      <c r="AD4" s="13" t="s">
        <v>1041</v>
      </c>
    </row>
    <row r="5" spans="1:32" x14ac:dyDescent="0.25">
      <c r="A5" t="s">
        <v>27</v>
      </c>
      <c r="B5">
        <v>4</v>
      </c>
      <c r="C5" t="s">
        <v>164</v>
      </c>
      <c r="D5">
        <v>713.92</v>
      </c>
      <c r="F5" t="s">
        <v>165</v>
      </c>
      <c r="G5">
        <v>269.41000000000003</v>
      </c>
      <c r="I5" t="s">
        <v>27</v>
      </c>
      <c r="J5" t="s">
        <v>28</v>
      </c>
      <c r="K5">
        <v>1</v>
      </c>
      <c r="L5">
        <v>1</v>
      </c>
      <c r="M5">
        <v>1</v>
      </c>
      <c r="N5">
        <v>269.40639270000003</v>
      </c>
      <c r="O5">
        <v>713.92694070000005</v>
      </c>
      <c r="Q5" t="s">
        <v>166</v>
      </c>
      <c r="R5" s="6">
        <v>185000000</v>
      </c>
      <c r="S5" t="s">
        <v>167</v>
      </c>
      <c r="T5" s="6">
        <v>100000000000</v>
      </c>
      <c r="U5" t="s">
        <v>27</v>
      </c>
      <c r="V5" t="s">
        <v>164</v>
      </c>
      <c r="W5">
        <v>996.27068584899905</v>
      </c>
      <c r="X5" t="s">
        <v>165</v>
      </c>
      <c r="Y5">
        <v>375.95120220717001</v>
      </c>
      <c r="AA5" t="s">
        <v>27</v>
      </c>
      <c r="AB5">
        <v>1</v>
      </c>
      <c r="AD5" s="13" t="s">
        <v>1040</v>
      </c>
    </row>
    <row r="6" spans="1:32" x14ac:dyDescent="0.25">
      <c r="A6" t="s">
        <v>29</v>
      </c>
      <c r="B6">
        <v>46</v>
      </c>
      <c r="C6" t="s">
        <v>168</v>
      </c>
      <c r="D6">
        <v>3590.52</v>
      </c>
      <c r="F6" t="s">
        <v>169</v>
      </c>
      <c r="G6">
        <v>1355</v>
      </c>
      <c r="I6" t="s">
        <v>29</v>
      </c>
      <c r="J6" t="s">
        <v>30</v>
      </c>
      <c r="K6">
        <v>1</v>
      </c>
      <c r="L6">
        <v>7</v>
      </c>
      <c r="M6" s="2">
        <v>7</v>
      </c>
      <c r="N6">
        <v>1355.00938</v>
      </c>
      <c r="O6">
        <v>3590.52486</v>
      </c>
      <c r="Q6" t="s">
        <v>170</v>
      </c>
      <c r="R6">
        <v>20000</v>
      </c>
      <c r="S6" t="s">
        <v>171</v>
      </c>
      <c r="T6" s="6">
        <v>15600000000</v>
      </c>
      <c r="U6" t="s">
        <v>29</v>
      </c>
      <c r="V6" t="s">
        <v>168</v>
      </c>
      <c r="W6">
        <v>19047.550758637299</v>
      </c>
      <c r="X6" t="s">
        <v>169</v>
      </c>
      <c r="Y6">
        <v>7187.7550032593599</v>
      </c>
      <c r="AA6" t="s">
        <v>29</v>
      </c>
      <c r="AB6">
        <v>1</v>
      </c>
      <c r="AD6" s="13" t="s">
        <v>1043</v>
      </c>
    </row>
    <row r="7" spans="1:32" x14ac:dyDescent="0.25">
      <c r="A7" t="s">
        <v>31</v>
      </c>
      <c r="B7">
        <v>19</v>
      </c>
      <c r="C7" t="s">
        <v>172</v>
      </c>
      <c r="D7">
        <v>130.36000000000001</v>
      </c>
      <c r="F7" t="s">
        <v>173</v>
      </c>
      <c r="G7">
        <v>49.19</v>
      </c>
      <c r="I7" s="2" t="s">
        <v>31</v>
      </c>
      <c r="J7" t="s">
        <v>32</v>
      </c>
      <c r="K7">
        <v>1</v>
      </c>
      <c r="L7">
        <v>1</v>
      </c>
      <c r="M7">
        <v>1</v>
      </c>
      <c r="N7">
        <v>49.194905069999997</v>
      </c>
      <c r="O7">
        <v>130.36649840000001</v>
      </c>
      <c r="Q7" t="s">
        <v>174</v>
      </c>
      <c r="R7" s="6">
        <v>450000000</v>
      </c>
      <c r="S7" t="s">
        <v>175</v>
      </c>
      <c r="T7" s="6">
        <v>300000000000</v>
      </c>
      <c r="U7" t="s">
        <v>31</v>
      </c>
      <c r="V7" t="s">
        <v>172</v>
      </c>
      <c r="W7">
        <v>404.252420368012</v>
      </c>
      <c r="X7" t="s">
        <v>173</v>
      </c>
      <c r="Y7">
        <v>152.54808315774099</v>
      </c>
      <c r="AA7" t="s">
        <v>31</v>
      </c>
      <c r="AB7">
        <v>1</v>
      </c>
      <c r="AD7" s="13" t="s">
        <v>1042</v>
      </c>
    </row>
    <row r="8" spans="1:32" x14ac:dyDescent="0.25">
      <c r="A8" t="s">
        <v>33</v>
      </c>
      <c r="B8">
        <v>28</v>
      </c>
      <c r="C8" t="s">
        <v>176</v>
      </c>
      <c r="D8">
        <v>337.98</v>
      </c>
      <c r="F8" t="s">
        <v>177</v>
      </c>
      <c r="G8">
        <v>127.54</v>
      </c>
      <c r="I8" t="s">
        <v>33</v>
      </c>
      <c r="J8" t="s">
        <v>34</v>
      </c>
      <c r="K8">
        <v>1</v>
      </c>
      <c r="L8">
        <v>2</v>
      </c>
      <c r="M8">
        <v>2</v>
      </c>
      <c r="N8">
        <v>127.5414564</v>
      </c>
      <c r="O8">
        <v>337.98485950000003</v>
      </c>
      <c r="Q8" t="s">
        <v>178</v>
      </c>
      <c r="R8" s="6">
        <v>1450000000</v>
      </c>
      <c r="S8" t="s">
        <v>179</v>
      </c>
      <c r="T8" s="6">
        <v>100000000000</v>
      </c>
      <c r="U8" t="s">
        <v>33</v>
      </c>
      <c r="V8" t="s">
        <v>176</v>
      </c>
      <c r="W8">
        <v>80.089254907511005</v>
      </c>
      <c r="X8" t="s">
        <v>177</v>
      </c>
      <c r="Y8">
        <v>30.222360342457002</v>
      </c>
      <c r="AA8" t="s">
        <v>33</v>
      </c>
      <c r="AB8">
        <v>1</v>
      </c>
    </row>
    <row r="9" spans="1:32" x14ac:dyDescent="0.25">
      <c r="A9" t="s">
        <v>35</v>
      </c>
      <c r="B9">
        <v>17</v>
      </c>
      <c r="C9" t="s">
        <v>180</v>
      </c>
      <c r="D9">
        <v>130.36000000000001</v>
      </c>
      <c r="F9" t="s">
        <v>181</v>
      </c>
      <c r="G9">
        <v>49.19</v>
      </c>
      <c r="I9" t="s">
        <v>35</v>
      </c>
      <c r="J9" t="s">
        <v>36</v>
      </c>
      <c r="K9">
        <v>1</v>
      </c>
      <c r="L9">
        <v>1</v>
      </c>
      <c r="M9">
        <v>1</v>
      </c>
      <c r="N9">
        <v>49.194905069999997</v>
      </c>
      <c r="O9">
        <v>130.36649840000001</v>
      </c>
      <c r="Q9" t="s">
        <v>182</v>
      </c>
      <c r="R9" s="6">
        <v>450000000</v>
      </c>
      <c r="S9" t="s">
        <v>183</v>
      </c>
      <c r="T9" s="6">
        <v>300000000000</v>
      </c>
      <c r="U9" t="s">
        <v>35</v>
      </c>
      <c r="V9" t="s">
        <v>180</v>
      </c>
      <c r="W9">
        <v>270.39361778800998</v>
      </c>
      <c r="X9" t="s">
        <v>181</v>
      </c>
      <c r="Y9">
        <v>102.035327467174</v>
      </c>
      <c r="AA9" t="s">
        <v>35</v>
      </c>
      <c r="AB9">
        <v>1</v>
      </c>
    </row>
    <row r="10" spans="1:32" x14ac:dyDescent="0.25">
      <c r="A10" t="s">
        <v>37</v>
      </c>
      <c r="B10">
        <v>56</v>
      </c>
      <c r="C10" t="s">
        <v>184</v>
      </c>
      <c r="D10">
        <v>4009729654</v>
      </c>
      <c r="F10" t="s">
        <v>185</v>
      </c>
      <c r="G10">
        <v>1513105530</v>
      </c>
      <c r="I10" t="s">
        <v>37</v>
      </c>
      <c r="J10" t="s">
        <v>38</v>
      </c>
      <c r="K10">
        <v>1</v>
      </c>
      <c r="L10">
        <v>9</v>
      </c>
      <c r="M10">
        <v>9</v>
      </c>
      <c r="N10">
        <v>1513105530</v>
      </c>
      <c r="O10">
        <v>4009729654</v>
      </c>
      <c r="Q10" t="s">
        <v>186</v>
      </c>
      <c r="R10">
        <v>7</v>
      </c>
      <c r="S10" t="s">
        <v>187</v>
      </c>
      <c r="T10" s="6">
        <v>300000000000</v>
      </c>
      <c r="U10" t="s">
        <v>37</v>
      </c>
      <c r="V10" t="s">
        <v>184</v>
      </c>
      <c r="W10">
        <v>21475883.685726099</v>
      </c>
      <c r="X10" t="s">
        <v>185</v>
      </c>
      <c r="Y10">
        <v>8104107.05121738</v>
      </c>
      <c r="AA10" t="s">
        <v>37</v>
      </c>
      <c r="AB10">
        <v>1</v>
      </c>
    </row>
    <row r="11" spans="1:32" x14ac:dyDescent="0.25">
      <c r="A11" t="s">
        <v>39</v>
      </c>
      <c r="B11">
        <v>23</v>
      </c>
      <c r="C11" t="s">
        <v>188</v>
      </c>
      <c r="D11">
        <v>819.64</v>
      </c>
      <c r="F11" t="s">
        <v>189</v>
      </c>
      <c r="G11">
        <v>309.3</v>
      </c>
      <c r="I11" t="s">
        <v>39</v>
      </c>
      <c r="J11" t="s">
        <v>40</v>
      </c>
      <c r="K11">
        <v>1</v>
      </c>
      <c r="L11">
        <v>2</v>
      </c>
      <c r="M11">
        <v>2</v>
      </c>
      <c r="N11">
        <v>309.3006489</v>
      </c>
      <c r="O11">
        <v>819.64671959999998</v>
      </c>
      <c r="Q11" t="s">
        <v>190</v>
      </c>
      <c r="R11" s="6">
        <v>37000000</v>
      </c>
      <c r="S11" t="s">
        <v>191</v>
      </c>
      <c r="T11" s="6">
        <v>25000000000</v>
      </c>
      <c r="U11" t="s">
        <v>39</v>
      </c>
      <c r="V11" t="s">
        <v>188</v>
      </c>
      <c r="W11">
        <v>199.73129049052301</v>
      </c>
      <c r="X11" t="s">
        <v>189</v>
      </c>
      <c r="Y11">
        <v>75.370298298310402</v>
      </c>
      <c r="AA11" t="s">
        <v>39</v>
      </c>
      <c r="AB11">
        <v>1</v>
      </c>
    </row>
    <row r="12" spans="1:32" x14ac:dyDescent="0.25">
      <c r="A12" t="s">
        <v>41</v>
      </c>
      <c r="B12">
        <v>42</v>
      </c>
      <c r="C12" t="s">
        <v>192</v>
      </c>
      <c r="D12">
        <v>911.02</v>
      </c>
      <c r="F12" t="s">
        <v>193</v>
      </c>
      <c r="G12">
        <v>343.77</v>
      </c>
      <c r="I12" t="s">
        <v>41</v>
      </c>
      <c r="J12" t="s">
        <v>42</v>
      </c>
      <c r="K12">
        <v>1</v>
      </c>
      <c r="L12">
        <v>4</v>
      </c>
      <c r="M12">
        <v>4</v>
      </c>
      <c r="N12">
        <v>343.77932070000003</v>
      </c>
      <c r="O12">
        <v>911.0151998</v>
      </c>
      <c r="Q12" t="s">
        <v>194</v>
      </c>
      <c r="R12" s="6">
        <v>58000000</v>
      </c>
      <c r="S12" t="s">
        <v>195</v>
      </c>
      <c r="T12" s="6">
        <v>3500000000000</v>
      </c>
      <c r="U12" t="s">
        <v>41</v>
      </c>
      <c r="V12" t="s">
        <v>192</v>
      </c>
      <c r="W12">
        <v>140.53000327082</v>
      </c>
      <c r="X12" t="s">
        <v>193</v>
      </c>
      <c r="Y12">
        <v>53.030189913516899</v>
      </c>
      <c r="AA12" t="s">
        <v>41</v>
      </c>
      <c r="AB12">
        <v>1</v>
      </c>
    </row>
    <row r="13" spans="1:32" x14ac:dyDescent="0.25">
      <c r="A13" t="s">
        <v>43</v>
      </c>
      <c r="B13">
        <v>34</v>
      </c>
      <c r="C13" t="s">
        <v>196</v>
      </c>
      <c r="D13">
        <v>337.98</v>
      </c>
      <c r="F13" t="s">
        <v>197</v>
      </c>
      <c r="G13">
        <v>127.54</v>
      </c>
      <c r="I13" t="s">
        <v>43</v>
      </c>
      <c r="J13" t="s">
        <v>44</v>
      </c>
      <c r="K13">
        <v>1</v>
      </c>
      <c r="L13">
        <v>2</v>
      </c>
      <c r="M13">
        <v>2</v>
      </c>
      <c r="N13">
        <v>127.5414564</v>
      </c>
      <c r="O13">
        <v>337.98485950000003</v>
      </c>
      <c r="Q13" t="s">
        <v>198</v>
      </c>
      <c r="R13" s="6">
        <v>1450000000</v>
      </c>
      <c r="S13" t="s">
        <v>199</v>
      </c>
      <c r="T13" s="6">
        <v>100000000000</v>
      </c>
      <c r="U13" t="s">
        <v>43</v>
      </c>
      <c r="V13" t="s">
        <v>196</v>
      </c>
      <c r="W13">
        <v>466.66919853490498</v>
      </c>
      <c r="X13" t="s">
        <v>197</v>
      </c>
      <c r="Y13">
        <v>176.10158435279399</v>
      </c>
      <c r="AA13" t="s">
        <v>43</v>
      </c>
      <c r="AB13">
        <v>1</v>
      </c>
    </row>
    <row r="14" spans="1:32" x14ac:dyDescent="0.25">
      <c r="A14" t="s">
        <v>45</v>
      </c>
      <c r="B14">
        <v>45</v>
      </c>
      <c r="C14" t="s">
        <v>200</v>
      </c>
      <c r="D14">
        <v>2172.11</v>
      </c>
      <c r="F14" t="s">
        <v>201</v>
      </c>
      <c r="G14">
        <v>819.66</v>
      </c>
      <c r="I14" t="s">
        <v>45</v>
      </c>
      <c r="J14" t="s">
        <v>46</v>
      </c>
      <c r="K14">
        <v>1</v>
      </c>
      <c r="L14">
        <v>5</v>
      </c>
      <c r="M14">
        <v>5</v>
      </c>
      <c r="N14">
        <v>819.66597860000002</v>
      </c>
      <c r="O14">
        <v>2172.1148429999998</v>
      </c>
      <c r="Q14" t="s">
        <v>202</v>
      </c>
      <c r="R14">
        <v>990000</v>
      </c>
      <c r="S14" t="s">
        <v>203</v>
      </c>
      <c r="T14" s="6">
        <v>2000000000000</v>
      </c>
      <c r="U14" t="s">
        <v>45</v>
      </c>
      <c r="V14" t="s">
        <v>200</v>
      </c>
      <c r="W14">
        <v>15351.073787568001</v>
      </c>
      <c r="X14" t="s">
        <v>201</v>
      </c>
      <c r="Y14">
        <v>5792.8580330445302</v>
      </c>
      <c r="AA14" t="s">
        <v>45</v>
      </c>
      <c r="AB14">
        <v>1</v>
      </c>
    </row>
    <row r="15" spans="1:32" x14ac:dyDescent="0.25">
      <c r="A15" t="s">
        <v>47</v>
      </c>
      <c r="B15">
        <v>22</v>
      </c>
      <c r="C15" t="s">
        <v>204</v>
      </c>
      <c r="D15">
        <v>127.37</v>
      </c>
      <c r="F15" t="s">
        <v>205</v>
      </c>
      <c r="G15">
        <v>48.06</v>
      </c>
      <c r="I15" s="2" t="s">
        <v>47</v>
      </c>
      <c r="J15" t="s">
        <v>48</v>
      </c>
      <c r="K15">
        <v>1</v>
      </c>
      <c r="L15">
        <v>1</v>
      </c>
      <c r="M15">
        <v>1</v>
      </c>
      <c r="N15">
        <v>48.065368900000003</v>
      </c>
      <c r="O15">
        <v>127.37322760000001</v>
      </c>
      <c r="Q15" t="s">
        <v>206</v>
      </c>
      <c r="R15" s="6">
        <v>1910000000</v>
      </c>
      <c r="S15" t="s">
        <v>207</v>
      </c>
      <c r="T15" s="6">
        <v>20000000000</v>
      </c>
      <c r="U15" t="s">
        <v>47</v>
      </c>
      <c r="V15" t="s">
        <v>204</v>
      </c>
      <c r="W15">
        <v>727.57224084181701</v>
      </c>
      <c r="X15" t="s">
        <v>205</v>
      </c>
      <c r="Y15">
        <v>274.55556258181798</v>
      </c>
      <c r="AA15" t="s">
        <v>47</v>
      </c>
      <c r="AB15">
        <v>1</v>
      </c>
    </row>
    <row r="16" spans="1:32" x14ac:dyDescent="0.25">
      <c r="A16" t="s">
        <v>49</v>
      </c>
      <c r="B16">
        <v>39</v>
      </c>
      <c r="C16" t="s">
        <v>208</v>
      </c>
      <c r="D16">
        <v>337.98</v>
      </c>
      <c r="F16" t="s">
        <v>209</v>
      </c>
      <c r="G16">
        <v>127.54</v>
      </c>
      <c r="I16" s="2" t="s">
        <v>49</v>
      </c>
      <c r="J16" t="s">
        <v>50</v>
      </c>
      <c r="K16">
        <v>1</v>
      </c>
      <c r="L16">
        <v>1</v>
      </c>
      <c r="M16">
        <v>1</v>
      </c>
      <c r="N16">
        <v>127.5414564</v>
      </c>
      <c r="O16">
        <v>337.98485950000003</v>
      </c>
      <c r="Q16" t="s">
        <v>210</v>
      </c>
      <c r="R16" s="6">
        <v>1450000000</v>
      </c>
      <c r="S16" t="s">
        <v>211</v>
      </c>
      <c r="T16" s="6">
        <v>100000000000</v>
      </c>
      <c r="U16" t="s">
        <v>49</v>
      </c>
      <c r="V16" t="s">
        <v>208</v>
      </c>
      <c r="W16">
        <v>127.131497649247</v>
      </c>
      <c r="X16" t="s">
        <v>209</v>
      </c>
      <c r="Y16">
        <v>47.974150056319502</v>
      </c>
      <c r="AA16" t="s">
        <v>49</v>
      </c>
      <c r="AB16">
        <v>1</v>
      </c>
    </row>
    <row r="17" spans="1:28" x14ac:dyDescent="0.25">
      <c r="A17" t="s">
        <v>51</v>
      </c>
      <c r="B17">
        <v>12</v>
      </c>
      <c r="C17" t="s">
        <v>212</v>
      </c>
      <c r="D17">
        <v>1261.47</v>
      </c>
      <c r="F17" t="s">
        <v>213</v>
      </c>
      <c r="G17">
        <v>476.02</v>
      </c>
      <c r="I17" s="2" t="s">
        <v>51</v>
      </c>
      <c r="J17" t="s">
        <v>52</v>
      </c>
      <c r="K17">
        <v>1</v>
      </c>
      <c r="L17">
        <v>1</v>
      </c>
      <c r="M17">
        <v>1</v>
      </c>
      <c r="N17">
        <v>476.02739730000002</v>
      </c>
      <c r="O17">
        <v>1261.4726029999999</v>
      </c>
      <c r="Q17" t="s">
        <v>214</v>
      </c>
      <c r="R17" s="6">
        <v>580000000</v>
      </c>
      <c r="S17" t="s">
        <v>215</v>
      </c>
      <c r="T17" s="6">
        <v>30000000000</v>
      </c>
      <c r="U17" t="s">
        <v>51</v>
      </c>
      <c r="V17" t="s">
        <v>212</v>
      </c>
      <c r="W17">
        <v>12.2518744364379</v>
      </c>
      <c r="X17" t="s">
        <v>213</v>
      </c>
      <c r="Y17">
        <v>4.6233488439388202</v>
      </c>
      <c r="AA17" t="s">
        <v>51</v>
      </c>
      <c r="AB17">
        <v>1</v>
      </c>
    </row>
    <row r="18" spans="1:28" x14ac:dyDescent="0.25">
      <c r="A18" t="s">
        <v>53</v>
      </c>
      <c r="B18">
        <v>11</v>
      </c>
      <c r="C18" t="s">
        <v>216</v>
      </c>
      <c r="D18">
        <v>1261.47</v>
      </c>
      <c r="F18" t="s">
        <v>217</v>
      </c>
      <c r="G18">
        <v>476.02</v>
      </c>
      <c r="I18" t="s">
        <v>53</v>
      </c>
      <c r="J18" t="s">
        <v>54</v>
      </c>
      <c r="K18">
        <v>1</v>
      </c>
      <c r="L18">
        <v>2</v>
      </c>
      <c r="M18">
        <v>2</v>
      </c>
      <c r="N18">
        <v>476.02739730000002</v>
      </c>
      <c r="O18">
        <v>1261.4726029999999</v>
      </c>
      <c r="Q18" t="s">
        <v>218</v>
      </c>
      <c r="R18" s="6">
        <v>580000000</v>
      </c>
      <c r="S18" t="s">
        <v>219</v>
      </c>
      <c r="T18" s="6">
        <v>30000000000</v>
      </c>
      <c r="U18" t="s">
        <v>53</v>
      </c>
      <c r="V18" t="s">
        <v>216</v>
      </c>
      <c r="W18">
        <v>18.340413692641</v>
      </c>
      <c r="X18" t="s">
        <v>217</v>
      </c>
      <c r="Y18">
        <v>6.9209108274117002</v>
      </c>
      <c r="AA18" t="s">
        <v>53</v>
      </c>
      <c r="AB18">
        <v>1</v>
      </c>
    </row>
    <row r="19" spans="1:28" x14ac:dyDescent="0.25">
      <c r="A19" t="s">
        <v>55</v>
      </c>
      <c r="B19">
        <v>20</v>
      </c>
      <c r="C19" t="s">
        <v>220</v>
      </c>
      <c r="D19">
        <v>86.61</v>
      </c>
      <c r="F19" t="s">
        <v>221</v>
      </c>
      <c r="G19">
        <v>32.68</v>
      </c>
      <c r="I19" t="s">
        <v>55</v>
      </c>
      <c r="J19" t="s">
        <v>56</v>
      </c>
      <c r="K19">
        <v>1</v>
      </c>
      <c r="L19">
        <v>1</v>
      </c>
      <c r="M19">
        <v>1</v>
      </c>
      <c r="N19">
        <v>32.684450849999998</v>
      </c>
      <c r="O19">
        <v>86.613794760000005</v>
      </c>
      <c r="Q19" t="s">
        <v>222</v>
      </c>
      <c r="R19" s="6">
        <v>94000000</v>
      </c>
      <c r="S19" t="s">
        <v>223</v>
      </c>
      <c r="T19" s="6">
        <v>100000000000</v>
      </c>
      <c r="U19" t="s">
        <v>55</v>
      </c>
      <c r="V19" t="s">
        <v>220</v>
      </c>
      <c r="W19">
        <v>170.20192964498199</v>
      </c>
      <c r="X19" t="s">
        <v>221</v>
      </c>
      <c r="Y19">
        <v>64.2271432622573</v>
      </c>
      <c r="AA19" t="s">
        <v>55</v>
      </c>
      <c r="AB19">
        <v>1</v>
      </c>
    </row>
    <row r="20" spans="1:28" x14ac:dyDescent="0.25">
      <c r="A20" t="s">
        <v>57</v>
      </c>
      <c r="B20">
        <v>40</v>
      </c>
      <c r="C20" t="s">
        <v>224</v>
      </c>
      <c r="D20">
        <v>769.97</v>
      </c>
      <c r="F20" t="s">
        <v>225</v>
      </c>
      <c r="G20">
        <v>290.55</v>
      </c>
      <c r="I20" t="s">
        <v>57</v>
      </c>
      <c r="J20" t="s">
        <v>58</v>
      </c>
      <c r="K20">
        <v>1</v>
      </c>
      <c r="L20">
        <v>2</v>
      </c>
      <c r="M20">
        <v>2</v>
      </c>
      <c r="N20">
        <v>290.55515500000001</v>
      </c>
      <c r="O20">
        <v>769.97116089999997</v>
      </c>
      <c r="Q20" t="s">
        <v>226</v>
      </c>
      <c r="R20" s="6">
        <v>218000000</v>
      </c>
      <c r="S20" t="s">
        <v>227</v>
      </c>
      <c r="T20" s="6">
        <v>700000000000</v>
      </c>
      <c r="U20" t="s">
        <v>57</v>
      </c>
      <c r="V20" t="s">
        <v>224</v>
      </c>
      <c r="W20">
        <v>486.01577302060099</v>
      </c>
      <c r="X20" t="s">
        <v>225</v>
      </c>
      <c r="Y20">
        <v>183.40217849833999</v>
      </c>
      <c r="AA20" t="s">
        <v>57</v>
      </c>
      <c r="AB20">
        <v>1</v>
      </c>
    </row>
    <row r="21" spans="1:28" x14ac:dyDescent="0.25">
      <c r="A21" t="s">
        <v>59</v>
      </c>
      <c r="B21">
        <v>9</v>
      </c>
      <c r="C21" t="s">
        <v>228</v>
      </c>
      <c r="D21">
        <v>1261.47</v>
      </c>
      <c r="F21" t="s">
        <v>229</v>
      </c>
      <c r="G21">
        <v>476.02</v>
      </c>
      <c r="I21" t="s">
        <v>59</v>
      </c>
      <c r="J21" t="s">
        <v>60</v>
      </c>
      <c r="K21">
        <v>1</v>
      </c>
      <c r="L21">
        <v>2</v>
      </c>
      <c r="M21">
        <v>2</v>
      </c>
      <c r="N21">
        <v>476.02739730000002</v>
      </c>
      <c r="O21">
        <v>1261.4726029999999</v>
      </c>
      <c r="Q21" t="s">
        <v>230</v>
      </c>
      <c r="R21" s="6">
        <v>580000000</v>
      </c>
      <c r="S21" t="s">
        <v>231</v>
      </c>
      <c r="T21" s="6">
        <v>30000000000</v>
      </c>
      <c r="U21" t="s">
        <v>59</v>
      </c>
      <c r="V21" t="s">
        <v>228</v>
      </c>
      <c r="W21">
        <v>311.95837928240701</v>
      </c>
      <c r="X21" t="s">
        <v>229</v>
      </c>
      <c r="Y21">
        <v>117.720143125437</v>
      </c>
      <c r="AA21" t="s">
        <v>59</v>
      </c>
      <c r="AB21">
        <v>1</v>
      </c>
    </row>
    <row r="22" spans="1:28" x14ac:dyDescent="0.25">
      <c r="A22" t="s">
        <v>61</v>
      </c>
      <c r="B22">
        <v>2</v>
      </c>
      <c r="C22" t="s">
        <v>232</v>
      </c>
      <c r="D22">
        <v>44.58</v>
      </c>
      <c r="F22" t="s">
        <v>233</v>
      </c>
      <c r="G22">
        <v>16.82</v>
      </c>
      <c r="I22" t="s">
        <v>61</v>
      </c>
      <c r="J22" t="s">
        <v>62</v>
      </c>
      <c r="K22">
        <v>1</v>
      </c>
      <c r="L22">
        <v>1</v>
      </c>
      <c r="M22">
        <v>1</v>
      </c>
      <c r="N22">
        <v>16.822879109999999</v>
      </c>
      <c r="O22">
        <v>44.580629649999999</v>
      </c>
      <c r="Q22" t="s">
        <v>234</v>
      </c>
      <c r="R22" s="6">
        <v>7550000000</v>
      </c>
      <c r="S22" t="s">
        <v>235</v>
      </c>
      <c r="T22" s="6">
        <v>300000000000</v>
      </c>
      <c r="U22" t="s">
        <v>61</v>
      </c>
      <c r="V22" t="s">
        <v>232</v>
      </c>
      <c r="W22">
        <v>7.3494229094695402</v>
      </c>
      <c r="X22" t="s">
        <v>233</v>
      </c>
      <c r="Y22">
        <v>2.77336713564888</v>
      </c>
      <c r="AA22" t="s">
        <v>61</v>
      </c>
      <c r="AB22">
        <v>1</v>
      </c>
    </row>
    <row r="23" spans="1:28" x14ac:dyDescent="0.25">
      <c r="A23" t="s">
        <v>63</v>
      </c>
      <c r="B23">
        <v>59</v>
      </c>
      <c r="C23" t="s">
        <v>236</v>
      </c>
      <c r="D23">
        <v>337.98</v>
      </c>
      <c r="F23" t="s">
        <v>237</v>
      </c>
      <c r="G23">
        <v>127.54</v>
      </c>
      <c r="I23" t="s">
        <v>63</v>
      </c>
      <c r="J23" t="s">
        <v>64</v>
      </c>
      <c r="K23">
        <v>1</v>
      </c>
      <c r="L23">
        <v>2</v>
      </c>
      <c r="M23">
        <v>2</v>
      </c>
      <c r="N23">
        <v>127.5414564</v>
      </c>
      <c r="O23">
        <v>337.98485950000003</v>
      </c>
      <c r="Q23" t="s">
        <v>238</v>
      </c>
      <c r="R23" s="6">
        <v>1450000000</v>
      </c>
      <c r="S23" t="s">
        <v>239</v>
      </c>
      <c r="T23" s="6">
        <v>100000000000</v>
      </c>
      <c r="U23" t="s">
        <v>63</v>
      </c>
      <c r="V23" t="s">
        <v>236</v>
      </c>
      <c r="W23">
        <v>359.983211658242</v>
      </c>
      <c r="X23" t="s">
        <v>237</v>
      </c>
      <c r="Y23">
        <v>135.84272138046899</v>
      </c>
      <c r="AA23" t="s">
        <v>63</v>
      </c>
      <c r="AB23">
        <v>1</v>
      </c>
    </row>
    <row r="24" spans="1:28" x14ac:dyDescent="0.25">
      <c r="A24" t="s">
        <v>65</v>
      </c>
      <c r="B24">
        <v>50</v>
      </c>
      <c r="C24" t="s">
        <v>240</v>
      </c>
      <c r="D24">
        <v>927.5</v>
      </c>
      <c r="F24" t="s">
        <v>241</v>
      </c>
      <c r="G24">
        <v>350</v>
      </c>
      <c r="I24" t="s">
        <v>65</v>
      </c>
      <c r="J24" t="s">
        <v>66</v>
      </c>
      <c r="K24">
        <v>1</v>
      </c>
      <c r="L24">
        <v>3</v>
      </c>
      <c r="M24">
        <v>3</v>
      </c>
      <c r="N24">
        <v>350</v>
      </c>
      <c r="O24">
        <v>927.5</v>
      </c>
      <c r="Q24" t="s">
        <v>242</v>
      </c>
      <c r="R24" s="6">
        <v>61000000</v>
      </c>
      <c r="S24" t="s">
        <v>243</v>
      </c>
      <c r="T24" s="6">
        <v>20000000000000</v>
      </c>
      <c r="U24" t="s">
        <v>65</v>
      </c>
      <c r="V24" t="s">
        <v>240</v>
      </c>
      <c r="W24">
        <v>1096.42188491909</v>
      </c>
      <c r="X24" t="s">
        <v>241</v>
      </c>
      <c r="Y24">
        <v>413.744107516638</v>
      </c>
      <c r="AA24" t="s">
        <v>65</v>
      </c>
      <c r="AB24">
        <v>1</v>
      </c>
    </row>
    <row r="25" spans="1:28" x14ac:dyDescent="0.25">
      <c r="A25" t="s">
        <v>67</v>
      </c>
      <c r="B25">
        <v>1</v>
      </c>
      <c r="C25" t="s">
        <v>244</v>
      </c>
      <c r="D25">
        <v>64.84</v>
      </c>
      <c r="F25" t="s">
        <v>245</v>
      </c>
      <c r="G25">
        <v>24.26</v>
      </c>
      <c r="I25" t="s">
        <v>67</v>
      </c>
      <c r="J25" t="s">
        <v>68</v>
      </c>
      <c r="K25">
        <v>1</v>
      </c>
      <c r="L25">
        <v>1</v>
      </c>
      <c r="M25">
        <v>1</v>
      </c>
      <c r="N25">
        <v>24.46</v>
      </c>
      <c r="O25">
        <v>64.84</v>
      </c>
      <c r="Q25" t="s">
        <v>246</v>
      </c>
      <c r="R25" s="6">
        <v>3550000000</v>
      </c>
      <c r="S25" t="s">
        <v>247</v>
      </c>
      <c r="T25" s="6">
        <v>2000000000000</v>
      </c>
      <c r="U25" t="s">
        <v>67</v>
      </c>
      <c r="V25" t="s">
        <v>244</v>
      </c>
      <c r="W25">
        <v>854.00792107007203</v>
      </c>
      <c r="X25" t="s">
        <v>245</v>
      </c>
      <c r="Y25">
        <v>322.26714002644201</v>
      </c>
      <c r="AA25" t="s">
        <v>67</v>
      </c>
      <c r="AB25">
        <v>1</v>
      </c>
    </row>
    <row r="26" spans="1:28" x14ac:dyDescent="0.25">
      <c r="A26" t="s">
        <v>69</v>
      </c>
      <c r="B26">
        <v>21</v>
      </c>
      <c r="C26" t="s">
        <v>248</v>
      </c>
      <c r="D26">
        <v>127.37</v>
      </c>
      <c r="F26" t="s">
        <v>249</v>
      </c>
      <c r="G26">
        <v>48.06</v>
      </c>
      <c r="I26" t="s">
        <v>69</v>
      </c>
      <c r="J26" t="s">
        <v>70</v>
      </c>
      <c r="K26">
        <v>1</v>
      </c>
      <c r="L26">
        <v>1</v>
      </c>
      <c r="M26">
        <v>1</v>
      </c>
      <c r="N26">
        <v>48.065368900000003</v>
      </c>
      <c r="O26">
        <v>127.37322760000001</v>
      </c>
      <c r="Q26" t="s">
        <v>250</v>
      </c>
      <c r="R26" s="6">
        <v>1910000000</v>
      </c>
      <c r="S26" t="s">
        <v>251</v>
      </c>
      <c r="T26" s="6">
        <v>20000000000</v>
      </c>
      <c r="U26" t="s">
        <v>69</v>
      </c>
      <c r="V26" t="s">
        <v>248</v>
      </c>
      <c r="W26">
        <v>27.4903633797712</v>
      </c>
      <c r="X26" t="s">
        <v>249</v>
      </c>
      <c r="Y26">
        <v>10.3737220301023</v>
      </c>
      <c r="AA26" t="s">
        <v>69</v>
      </c>
      <c r="AB26">
        <v>1</v>
      </c>
    </row>
    <row r="27" spans="1:28" x14ac:dyDescent="0.25">
      <c r="A27" t="s">
        <v>71</v>
      </c>
      <c r="B27">
        <v>16</v>
      </c>
      <c r="C27" t="s">
        <v>252</v>
      </c>
      <c r="D27">
        <v>7.07</v>
      </c>
      <c r="F27" t="s">
        <v>253</v>
      </c>
      <c r="G27">
        <v>2.66</v>
      </c>
      <c r="I27" s="2" t="s">
        <v>71</v>
      </c>
      <c r="J27" t="s">
        <v>72</v>
      </c>
      <c r="K27">
        <v>1</v>
      </c>
      <c r="L27">
        <v>1</v>
      </c>
      <c r="M27">
        <v>1</v>
      </c>
      <c r="N27">
        <v>2.6676279740000002</v>
      </c>
      <c r="O27">
        <v>7.0692141299999998</v>
      </c>
      <c r="Q27" t="s">
        <v>254</v>
      </c>
      <c r="R27">
        <v>1250000</v>
      </c>
      <c r="S27" t="s">
        <v>255</v>
      </c>
      <c r="T27" s="6">
        <v>10000000</v>
      </c>
      <c r="U27" t="s">
        <v>71</v>
      </c>
      <c r="V27" t="s">
        <v>252</v>
      </c>
      <c r="W27">
        <v>4.9535732337123903</v>
      </c>
      <c r="X27" t="s">
        <v>253</v>
      </c>
      <c r="Y27">
        <v>1.86927291838204</v>
      </c>
      <c r="AA27" t="s">
        <v>71</v>
      </c>
      <c r="AB27">
        <v>1</v>
      </c>
    </row>
    <row r="28" spans="1:28" x14ac:dyDescent="0.25">
      <c r="A28" t="s">
        <v>73</v>
      </c>
      <c r="B28">
        <v>25</v>
      </c>
      <c r="C28" t="s">
        <v>256</v>
      </c>
      <c r="D28">
        <v>337.98</v>
      </c>
      <c r="F28" t="s">
        <v>257</v>
      </c>
      <c r="G28">
        <v>127.54</v>
      </c>
      <c r="I28" t="s">
        <v>73</v>
      </c>
      <c r="J28" t="s">
        <v>74</v>
      </c>
      <c r="K28">
        <v>1</v>
      </c>
      <c r="L28">
        <v>2</v>
      </c>
      <c r="M28">
        <v>2</v>
      </c>
      <c r="N28">
        <v>127.5414564</v>
      </c>
      <c r="O28">
        <v>337.98485950000003</v>
      </c>
      <c r="Q28" t="s">
        <v>258</v>
      </c>
      <c r="R28" s="6">
        <v>1450000000</v>
      </c>
      <c r="S28" t="s">
        <v>259</v>
      </c>
      <c r="T28" s="6">
        <v>100000000000</v>
      </c>
      <c r="U28" t="s">
        <v>73</v>
      </c>
      <c r="V28" t="s">
        <v>256</v>
      </c>
      <c r="W28">
        <v>224.475499068441</v>
      </c>
      <c r="X28" t="s">
        <v>257</v>
      </c>
      <c r="Y28">
        <v>84.707735497524993</v>
      </c>
      <c r="AA28" t="s">
        <v>73</v>
      </c>
      <c r="AB28">
        <v>1</v>
      </c>
    </row>
    <row r="29" spans="1:28" x14ac:dyDescent="0.25">
      <c r="A29" t="s">
        <v>75</v>
      </c>
      <c r="B29">
        <v>32</v>
      </c>
      <c r="C29" t="s">
        <v>260</v>
      </c>
      <c r="D29">
        <v>337.98</v>
      </c>
      <c r="F29" t="s">
        <v>261</v>
      </c>
      <c r="G29">
        <v>127.54</v>
      </c>
      <c r="I29" t="s">
        <v>75</v>
      </c>
      <c r="J29" t="s">
        <v>76</v>
      </c>
      <c r="K29">
        <v>1</v>
      </c>
      <c r="L29">
        <v>2</v>
      </c>
      <c r="M29">
        <v>2</v>
      </c>
      <c r="N29">
        <v>127.5414564</v>
      </c>
      <c r="O29">
        <v>337.98485950000003</v>
      </c>
      <c r="Q29" t="s">
        <v>262</v>
      </c>
      <c r="R29" s="6">
        <v>1450000000</v>
      </c>
      <c r="S29" t="s">
        <v>263</v>
      </c>
      <c r="T29" s="6">
        <v>100000000000</v>
      </c>
      <c r="U29" t="s">
        <v>75</v>
      </c>
      <c r="V29" t="s">
        <v>260</v>
      </c>
      <c r="W29">
        <v>38.851500720171998</v>
      </c>
      <c r="X29" t="s">
        <v>261</v>
      </c>
      <c r="Y29">
        <v>14.6609436679894</v>
      </c>
      <c r="AA29" t="s">
        <v>75</v>
      </c>
      <c r="AB29">
        <v>1</v>
      </c>
    </row>
    <row r="30" spans="1:28" x14ac:dyDescent="0.25">
      <c r="A30" t="s">
        <v>77</v>
      </c>
      <c r="B30">
        <v>53</v>
      </c>
      <c r="C30" t="s">
        <v>264</v>
      </c>
      <c r="D30">
        <v>24386.560000000001</v>
      </c>
      <c r="F30" t="s">
        <v>265</v>
      </c>
      <c r="G30">
        <v>9202.4699999999993</v>
      </c>
      <c r="I30" t="s">
        <v>77</v>
      </c>
      <c r="J30" t="s">
        <v>78</v>
      </c>
      <c r="K30">
        <v>1</v>
      </c>
      <c r="L30">
        <v>3</v>
      </c>
      <c r="M30">
        <v>3</v>
      </c>
      <c r="N30">
        <v>9202.4770129999997</v>
      </c>
      <c r="O30">
        <v>24386.56408</v>
      </c>
      <c r="Q30" t="s">
        <v>266</v>
      </c>
      <c r="R30">
        <v>40000</v>
      </c>
      <c r="S30" t="s">
        <v>267</v>
      </c>
      <c r="T30" s="6">
        <v>1500000000</v>
      </c>
      <c r="U30" t="s">
        <v>77</v>
      </c>
      <c r="V30" t="s">
        <v>264</v>
      </c>
      <c r="W30">
        <v>79104.917154454204</v>
      </c>
      <c r="X30" t="s">
        <v>265</v>
      </c>
      <c r="Y30">
        <v>29850.912133756301</v>
      </c>
      <c r="AA30" t="s">
        <v>77</v>
      </c>
      <c r="AB30">
        <v>1</v>
      </c>
    </row>
    <row r="31" spans="1:28" x14ac:dyDescent="0.25">
      <c r="A31" t="s">
        <v>79</v>
      </c>
      <c r="B31">
        <v>10</v>
      </c>
      <c r="C31" t="s">
        <v>268</v>
      </c>
      <c r="D31">
        <v>1261.47</v>
      </c>
      <c r="F31" t="s">
        <v>269</v>
      </c>
      <c r="G31">
        <v>476.02</v>
      </c>
      <c r="I31" t="s">
        <v>79</v>
      </c>
      <c r="J31" t="s">
        <v>80</v>
      </c>
      <c r="K31">
        <v>1</v>
      </c>
      <c r="L31">
        <v>2</v>
      </c>
      <c r="M31">
        <v>2</v>
      </c>
      <c r="N31">
        <v>476.02739730000002</v>
      </c>
      <c r="O31">
        <v>1261.4726029999999</v>
      </c>
      <c r="Q31" t="s">
        <v>270</v>
      </c>
      <c r="R31" s="6">
        <v>580000000</v>
      </c>
      <c r="S31" t="s">
        <v>271</v>
      </c>
      <c r="T31" s="6">
        <v>30000000000</v>
      </c>
      <c r="U31" t="s">
        <v>79</v>
      </c>
      <c r="V31" t="s">
        <v>268</v>
      </c>
      <c r="W31">
        <v>33.639577799778401</v>
      </c>
      <c r="X31" t="s">
        <v>269</v>
      </c>
      <c r="Y31">
        <v>12.6941803018032</v>
      </c>
      <c r="AA31" t="s">
        <v>79</v>
      </c>
      <c r="AB31">
        <v>1</v>
      </c>
    </row>
    <row r="32" spans="1:28" x14ac:dyDescent="0.25">
      <c r="A32" t="s">
        <v>81</v>
      </c>
      <c r="B32">
        <v>26</v>
      </c>
      <c r="C32" t="s">
        <v>272</v>
      </c>
      <c r="D32">
        <v>337.98</v>
      </c>
      <c r="F32" t="s">
        <v>273</v>
      </c>
      <c r="G32">
        <v>127.54</v>
      </c>
      <c r="I32" t="s">
        <v>81</v>
      </c>
      <c r="J32" t="s">
        <v>82</v>
      </c>
      <c r="K32">
        <v>1</v>
      </c>
      <c r="L32">
        <v>2</v>
      </c>
      <c r="M32">
        <v>2</v>
      </c>
      <c r="N32">
        <v>127.5414564</v>
      </c>
      <c r="O32">
        <v>337.98485950000003</v>
      </c>
      <c r="Q32" t="s">
        <v>274</v>
      </c>
      <c r="R32" s="6">
        <v>1450000000</v>
      </c>
      <c r="S32" t="s">
        <v>275</v>
      </c>
      <c r="T32" s="6">
        <v>100000000000</v>
      </c>
      <c r="U32" t="s">
        <v>81</v>
      </c>
      <c r="V32" t="s">
        <v>272</v>
      </c>
      <c r="W32">
        <v>434.737591893022</v>
      </c>
      <c r="X32" t="s">
        <v>273</v>
      </c>
      <c r="Y32">
        <v>164.05192146906501</v>
      </c>
      <c r="AA32" t="s">
        <v>81</v>
      </c>
      <c r="AB32">
        <v>1</v>
      </c>
    </row>
    <row r="33" spans="1:28" x14ac:dyDescent="0.25">
      <c r="A33" t="s">
        <v>83</v>
      </c>
      <c r="B33">
        <v>47</v>
      </c>
      <c r="C33" t="s">
        <v>276</v>
      </c>
      <c r="D33">
        <v>3590.52</v>
      </c>
      <c r="F33" t="s">
        <v>277</v>
      </c>
      <c r="G33">
        <v>1355</v>
      </c>
      <c r="I33" t="s">
        <v>83</v>
      </c>
      <c r="J33" t="s">
        <v>84</v>
      </c>
      <c r="K33">
        <v>1</v>
      </c>
      <c r="L33">
        <v>7</v>
      </c>
      <c r="M33">
        <v>7</v>
      </c>
      <c r="N33">
        <v>1355.00938</v>
      </c>
      <c r="O33">
        <v>3590.52486</v>
      </c>
      <c r="Q33" t="s">
        <v>278</v>
      </c>
      <c r="R33">
        <v>20000</v>
      </c>
      <c r="S33" t="s">
        <v>279</v>
      </c>
      <c r="T33" s="6">
        <v>15600000000</v>
      </c>
      <c r="U33" t="s">
        <v>83</v>
      </c>
      <c r="V33" t="s">
        <v>276</v>
      </c>
      <c r="W33">
        <v>991.86631479491302</v>
      </c>
      <c r="X33" t="s">
        <v>277</v>
      </c>
      <c r="Y33">
        <v>374.28917539430699</v>
      </c>
      <c r="AA33" t="s">
        <v>83</v>
      </c>
      <c r="AB33">
        <v>1</v>
      </c>
    </row>
    <row r="34" spans="1:28" x14ac:dyDescent="0.25">
      <c r="A34" t="s">
        <v>85</v>
      </c>
      <c r="B34">
        <v>48</v>
      </c>
      <c r="C34" t="s">
        <v>280</v>
      </c>
      <c r="D34">
        <v>3590.52</v>
      </c>
      <c r="F34" t="s">
        <v>281</v>
      </c>
      <c r="G34">
        <v>1355</v>
      </c>
      <c r="I34" t="s">
        <v>85</v>
      </c>
      <c r="J34" t="s">
        <v>86</v>
      </c>
      <c r="K34">
        <v>1</v>
      </c>
      <c r="L34">
        <v>7</v>
      </c>
      <c r="M34">
        <v>7</v>
      </c>
      <c r="N34">
        <v>1355.00938</v>
      </c>
      <c r="O34">
        <v>3590.52486</v>
      </c>
      <c r="Q34" t="s">
        <v>282</v>
      </c>
      <c r="R34">
        <v>20000</v>
      </c>
      <c r="S34" t="s">
        <v>283</v>
      </c>
      <c r="T34" s="6">
        <v>15600000000</v>
      </c>
      <c r="U34" t="s">
        <v>85</v>
      </c>
      <c r="V34" t="s">
        <v>280</v>
      </c>
      <c r="W34">
        <v>3446.2373572821698</v>
      </c>
      <c r="X34" t="s">
        <v>281</v>
      </c>
      <c r="Y34">
        <v>1300.4669272762901</v>
      </c>
      <c r="AA34" t="s">
        <v>85</v>
      </c>
      <c r="AB34">
        <v>1</v>
      </c>
    </row>
    <row r="35" spans="1:28" x14ac:dyDescent="0.25">
      <c r="A35" t="s">
        <v>87</v>
      </c>
      <c r="B35">
        <v>31</v>
      </c>
      <c r="C35" t="s">
        <v>284</v>
      </c>
      <c r="D35">
        <v>337.98</v>
      </c>
      <c r="F35" t="s">
        <v>285</v>
      </c>
      <c r="G35">
        <v>127.54</v>
      </c>
      <c r="I35" t="s">
        <v>87</v>
      </c>
      <c r="J35" t="s">
        <v>88</v>
      </c>
      <c r="K35">
        <v>1</v>
      </c>
      <c r="L35">
        <v>2</v>
      </c>
      <c r="M35">
        <v>2</v>
      </c>
      <c r="N35">
        <v>127.5414564</v>
      </c>
      <c r="O35">
        <v>337.98485950000003</v>
      </c>
      <c r="Q35" t="s">
        <v>286</v>
      </c>
      <c r="R35" s="6">
        <v>1450000000</v>
      </c>
      <c r="S35" t="s">
        <v>287</v>
      </c>
      <c r="T35" s="6">
        <v>100000000000</v>
      </c>
      <c r="U35" t="s">
        <v>87</v>
      </c>
      <c r="V35" t="s">
        <v>284</v>
      </c>
      <c r="W35">
        <v>35.8506978604943</v>
      </c>
      <c r="X35" t="s">
        <v>285</v>
      </c>
      <c r="Y35">
        <v>13.5285652303752</v>
      </c>
      <c r="AA35" t="s">
        <v>87</v>
      </c>
      <c r="AB35">
        <v>1</v>
      </c>
    </row>
    <row r="36" spans="1:28" x14ac:dyDescent="0.25">
      <c r="A36" t="s">
        <v>89</v>
      </c>
      <c r="B36">
        <v>54</v>
      </c>
      <c r="C36" t="s">
        <v>288</v>
      </c>
      <c r="D36">
        <v>5263</v>
      </c>
      <c r="F36" t="s">
        <v>289</v>
      </c>
      <c r="G36">
        <v>1466</v>
      </c>
      <c r="I36" t="s">
        <v>89</v>
      </c>
      <c r="J36" t="s">
        <v>90</v>
      </c>
      <c r="K36">
        <v>1</v>
      </c>
      <c r="L36">
        <v>8</v>
      </c>
      <c r="M36">
        <v>8</v>
      </c>
      <c r="N36">
        <v>1466</v>
      </c>
      <c r="O36">
        <v>5263</v>
      </c>
      <c r="Q36" t="s">
        <v>290</v>
      </c>
      <c r="R36">
        <v>34000</v>
      </c>
      <c r="S36" t="s">
        <v>291</v>
      </c>
      <c r="T36" s="6">
        <v>1500000000</v>
      </c>
      <c r="U36" t="s">
        <v>89</v>
      </c>
      <c r="V36" t="s">
        <v>288</v>
      </c>
      <c r="W36">
        <v>4475.5032403121704</v>
      </c>
      <c r="X36" t="s">
        <v>289</v>
      </c>
      <c r="Y36">
        <v>1688.8691472876101</v>
      </c>
      <c r="AA36" t="s">
        <v>89</v>
      </c>
      <c r="AB36">
        <v>1</v>
      </c>
    </row>
    <row r="37" spans="1:28" x14ac:dyDescent="0.25">
      <c r="A37" t="s">
        <v>91</v>
      </c>
      <c r="B37">
        <v>27</v>
      </c>
      <c r="C37" t="s">
        <v>292</v>
      </c>
      <c r="D37">
        <v>337.98</v>
      </c>
      <c r="F37" t="s">
        <v>293</v>
      </c>
      <c r="G37">
        <v>127.54</v>
      </c>
      <c r="I37" t="s">
        <v>91</v>
      </c>
      <c r="J37" t="s">
        <v>92</v>
      </c>
      <c r="K37">
        <v>1</v>
      </c>
      <c r="L37">
        <v>2</v>
      </c>
      <c r="M37">
        <v>2</v>
      </c>
      <c r="N37">
        <v>127.5414564</v>
      </c>
      <c r="O37">
        <v>337.98485950000003</v>
      </c>
      <c r="Q37" t="s">
        <v>294</v>
      </c>
      <c r="R37" s="6">
        <v>1450000000</v>
      </c>
      <c r="S37" t="s">
        <v>295</v>
      </c>
      <c r="T37" s="6">
        <v>100000000000</v>
      </c>
      <c r="U37" t="s">
        <v>91</v>
      </c>
      <c r="V37" t="s">
        <v>292</v>
      </c>
      <c r="W37">
        <v>93.5894778673307</v>
      </c>
      <c r="X37" t="s">
        <v>293</v>
      </c>
      <c r="Y37">
        <v>35.316784100879502</v>
      </c>
      <c r="AA37" t="s">
        <v>91</v>
      </c>
      <c r="AB37">
        <v>1</v>
      </c>
    </row>
    <row r="38" spans="1:28" x14ac:dyDescent="0.25">
      <c r="A38" t="s">
        <v>93</v>
      </c>
      <c r="B38">
        <v>55</v>
      </c>
      <c r="C38" t="s">
        <v>296</v>
      </c>
      <c r="D38">
        <v>4009729654</v>
      </c>
      <c r="F38" t="s">
        <v>297</v>
      </c>
      <c r="G38">
        <v>1513105530</v>
      </c>
      <c r="I38" t="s">
        <v>93</v>
      </c>
      <c r="J38" t="s">
        <v>94</v>
      </c>
      <c r="K38">
        <v>1</v>
      </c>
      <c r="L38">
        <v>9</v>
      </c>
      <c r="M38">
        <v>9</v>
      </c>
      <c r="N38">
        <v>1513105530</v>
      </c>
      <c r="O38">
        <v>4009729654</v>
      </c>
      <c r="Q38" t="s">
        <v>298</v>
      </c>
      <c r="R38">
        <v>7</v>
      </c>
      <c r="S38" t="s">
        <v>299</v>
      </c>
      <c r="T38" s="6">
        <v>300000000000</v>
      </c>
      <c r="U38" t="s">
        <v>93</v>
      </c>
      <c r="V38" t="s">
        <v>296</v>
      </c>
      <c r="W38">
        <v>4665548.9892704301</v>
      </c>
      <c r="X38" t="s">
        <v>297</v>
      </c>
      <c r="Y38">
        <v>1760584.52425299</v>
      </c>
      <c r="AA38" t="s">
        <v>93</v>
      </c>
      <c r="AB38">
        <v>1</v>
      </c>
    </row>
    <row r="39" spans="1:28" x14ac:dyDescent="0.25">
      <c r="A39" t="s">
        <v>95</v>
      </c>
      <c r="B39">
        <v>33</v>
      </c>
      <c r="C39" t="s">
        <v>300</v>
      </c>
      <c r="D39">
        <v>337.98</v>
      </c>
      <c r="F39" t="s">
        <v>301</v>
      </c>
      <c r="G39">
        <v>127.54</v>
      </c>
      <c r="I39" t="s">
        <v>95</v>
      </c>
      <c r="J39" s="2" t="s">
        <v>96</v>
      </c>
      <c r="K39">
        <v>1</v>
      </c>
      <c r="L39">
        <v>2</v>
      </c>
      <c r="M39">
        <v>2</v>
      </c>
      <c r="N39">
        <v>127.5414564</v>
      </c>
      <c r="O39">
        <v>337.98485950000003</v>
      </c>
      <c r="Q39" t="s">
        <v>302</v>
      </c>
      <c r="R39" s="6">
        <v>1450000000</v>
      </c>
      <c r="S39" t="s">
        <v>303</v>
      </c>
      <c r="T39" s="6">
        <v>100000000000</v>
      </c>
      <c r="U39" t="s">
        <v>95</v>
      </c>
      <c r="V39" t="s">
        <v>300</v>
      </c>
      <c r="W39">
        <v>954.19530364704997</v>
      </c>
      <c r="X39" t="s">
        <v>301</v>
      </c>
      <c r="Y39">
        <v>360.07369948945302</v>
      </c>
      <c r="AA39" t="s">
        <v>95</v>
      </c>
      <c r="AB39">
        <v>1</v>
      </c>
    </row>
    <row r="40" spans="1:28" x14ac:dyDescent="0.25">
      <c r="A40" t="s">
        <v>97</v>
      </c>
      <c r="B40">
        <v>52</v>
      </c>
      <c r="C40" t="s">
        <v>304</v>
      </c>
      <c r="D40">
        <v>29170.38</v>
      </c>
      <c r="F40" t="s">
        <v>305</v>
      </c>
      <c r="G40">
        <v>11007.69</v>
      </c>
      <c r="I40" t="s">
        <v>97</v>
      </c>
      <c r="J40" t="s">
        <v>98</v>
      </c>
      <c r="K40">
        <v>1</v>
      </c>
      <c r="L40">
        <v>2</v>
      </c>
      <c r="M40">
        <v>2</v>
      </c>
      <c r="N40">
        <v>11007.69375</v>
      </c>
      <c r="O40">
        <v>29170.388439999999</v>
      </c>
      <c r="Q40" t="s">
        <v>306</v>
      </c>
      <c r="R40" s="6">
        <v>3000000</v>
      </c>
      <c r="S40" t="s">
        <v>307</v>
      </c>
      <c r="T40">
        <v>10500000</v>
      </c>
      <c r="U40" t="s">
        <v>97</v>
      </c>
      <c r="V40" t="s">
        <v>304</v>
      </c>
      <c r="W40">
        <v>799.27177741232094</v>
      </c>
      <c r="X40" t="s">
        <v>305</v>
      </c>
      <c r="Y40">
        <v>301.61199147634801</v>
      </c>
      <c r="AA40" t="s">
        <v>97</v>
      </c>
      <c r="AB40">
        <v>1</v>
      </c>
    </row>
    <row r="41" spans="1:28" x14ac:dyDescent="0.25">
      <c r="A41" t="s">
        <v>99</v>
      </c>
      <c r="B41">
        <v>29</v>
      </c>
      <c r="C41" t="s">
        <v>308</v>
      </c>
      <c r="D41">
        <v>337.98</v>
      </c>
      <c r="F41" t="s">
        <v>309</v>
      </c>
      <c r="G41">
        <v>127.54</v>
      </c>
      <c r="I41" t="s">
        <v>99</v>
      </c>
      <c r="J41" t="s">
        <v>100</v>
      </c>
      <c r="K41">
        <v>1</v>
      </c>
      <c r="L41">
        <v>2</v>
      </c>
      <c r="M41">
        <v>2</v>
      </c>
      <c r="N41">
        <v>127.5414564</v>
      </c>
      <c r="O41">
        <v>337.98485950000003</v>
      </c>
      <c r="Q41" t="s">
        <v>310</v>
      </c>
      <c r="R41" s="6">
        <v>1450000000</v>
      </c>
      <c r="S41" t="s">
        <v>311</v>
      </c>
      <c r="T41" s="6">
        <v>100000000000</v>
      </c>
      <c r="U41" t="s">
        <v>99</v>
      </c>
      <c r="V41" t="s">
        <v>308</v>
      </c>
      <c r="W41">
        <v>33.616262610078202</v>
      </c>
      <c r="X41" t="s">
        <v>309</v>
      </c>
      <c r="Y41">
        <v>12.685382117010599</v>
      </c>
      <c r="AA41" t="s">
        <v>99</v>
      </c>
      <c r="AB41">
        <v>1</v>
      </c>
    </row>
    <row r="42" spans="1:28" x14ac:dyDescent="0.25">
      <c r="A42" t="s">
        <v>101</v>
      </c>
      <c r="B42">
        <v>38</v>
      </c>
      <c r="C42" t="s">
        <v>312</v>
      </c>
      <c r="D42">
        <v>337.98</v>
      </c>
      <c r="F42" t="s">
        <v>313</v>
      </c>
      <c r="G42">
        <v>127.54</v>
      </c>
      <c r="I42" t="s">
        <v>101</v>
      </c>
      <c r="J42" t="s">
        <v>102</v>
      </c>
      <c r="K42">
        <v>1</v>
      </c>
      <c r="L42">
        <v>2</v>
      </c>
      <c r="M42">
        <v>2</v>
      </c>
      <c r="N42">
        <v>127.5414564</v>
      </c>
      <c r="O42">
        <v>337.98485950000003</v>
      </c>
      <c r="Q42" t="s">
        <v>314</v>
      </c>
      <c r="R42" s="6">
        <v>1450000000</v>
      </c>
      <c r="S42" t="s">
        <v>315</v>
      </c>
      <c r="T42" s="6">
        <v>100000000000</v>
      </c>
      <c r="U42" t="s">
        <v>101</v>
      </c>
      <c r="V42" t="s">
        <v>312</v>
      </c>
      <c r="W42">
        <v>419.13081657469502</v>
      </c>
      <c r="X42" t="s">
        <v>313</v>
      </c>
      <c r="Y42">
        <v>158.16257229233801</v>
      </c>
      <c r="AA42" t="s">
        <v>101</v>
      </c>
      <c r="AB42">
        <v>1</v>
      </c>
    </row>
    <row r="43" spans="1:28" x14ac:dyDescent="0.25">
      <c r="A43" t="s">
        <v>103</v>
      </c>
      <c r="B43">
        <v>24</v>
      </c>
      <c r="C43" t="s">
        <v>316</v>
      </c>
      <c r="D43">
        <v>28.4</v>
      </c>
      <c r="F43" t="s">
        <v>317</v>
      </c>
      <c r="G43">
        <v>10.71</v>
      </c>
      <c r="I43" t="s">
        <v>103</v>
      </c>
      <c r="J43" t="s">
        <v>104</v>
      </c>
      <c r="K43">
        <v>1</v>
      </c>
      <c r="L43">
        <v>1</v>
      </c>
      <c r="M43">
        <v>1</v>
      </c>
      <c r="N43">
        <v>10.71857726</v>
      </c>
      <c r="O43">
        <v>28.404229749999999</v>
      </c>
      <c r="Q43" t="s">
        <v>318</v>
      </c>
      <c r="R43" s="6">
        <v>320000000</v>
      </c>
      <c r="S43" t="s">
        <v>319</v>
      </c>
      <c r="T43" s="6">
        <v>60000000000</v>
      </c>
      <c r="U43" t="s">
        <v>103</v>
      </c>
      <c r="V43" t="s">
        <v>316</v>
      </c>
      <c r="W43">
        <v>64.353356093979201</v>
      </c>
      <c r="X43" t="s">
        <v>317</v>
      </c>
      <c r="Y43">
        <v>24.284285318482699</v>
      </c>
      <c r="AA43" t="s">
        <v>103</v>
      </c>
      <c r="AB43">
        <v>1</v>
      </c>
    </row>
    <row r="44" spans="1:28" x14ac:dyDescent="0.25">
      <c r="A44" t="s">
        <v>105</v>
      </c>
      <c r="B44">
        <v>51</v>
      </c>
      <c r="C44" t="s">
        <v>320</v>
      </c>
      <c r="D44">
        <v>927.5</v>
      </c>
      <c r="F44" t="s">
        <v>321</v>
      </c>
      <c r="G44">
        <v>350</v>
      </c>
      <c r="I44" s="2" t="s">
        <v>105</v>
      </c>
      <c r="J44" t="s">
        <v>106</v>
      </c>
      <c r="K44">
        <v>1</v>
      </c>
      <c r="L44">
        <v>3</v>
      </c>
      <c r="M44">
        <v>3</v>
      </c>
      <c r="N44">
        <v>350</v>
      </c>
      <c r="O44">
        <v>927.5</v>
      </c>
      <c r="Q44" t="s">
        <v>322</v>
      </c>
      <c r="R44" s="6">
        <v>61000000</v>
      </c>
      <c r="S44" t="s">
        <v>323</v>
      </c>
      <c r="T44" s="6">
        <v>20000000000000</v>
      </c>
      <c r="U44" t="s">
        <v>105</v>
      </c>
      <c r="V44" t="s">
        <v>320</v>
      </c>
      <c r="W44">
        <v>3057.6018464316899</v>
      </c>
      <c r="X44" t="s">
        <v>321</v>
      </c>
      <c r="Y44">
        <v>1153.8120175213901</v>
      </c>
      <c r="AA44" t="s">
        <v>105</v>
      </c>
      <c r="AB44">
        <v>1</v>
      </c>
    </row>
    <row r="45" spans="1:28" x14ac:dyDescent="0.25">
      <c r="A45" t="s">
        <v>107</v>
      </c>
      <c r="B45">
        <v>43</v>
      </c>
      <c r="C45" t="s">
        <v>324</v>
      </c>
      <c r="D45">
        <v>2172.11</v>
      </c>
      <c r="F45" t="s">
        <v>325</v>
      </c>
      <c r="G45">
        <v>819.66</v>
      </c>
      <c r="I45" t="s">
        <v>107</v>
      </c>
      <c r="J45" t="s">
        <v>108</v>
      </c>
      <c r="K45">
        <v>1</v>
      </c>
      <c r="L45">
        <v>5</v>
      </c>
      <c r="M45">
        <v>5</v>
      </c>
      <c r="N45">
        <v>819.66597860000002</v>
      </c>
      <c r="O45">
        <v>2172.1148429999998</v>
      </c>
      <c r="Q45" t="s">
        <v>326</v>
      </c>
      <c r="R45">
        <v>990000</v>
      </c>
      <c r="S45" t="s">
        <v>327</v>
      </c>
      <c r="T45" s="6">
        <v>2000000000000</v>
      </c>
      <c r="U45" t="s">
        <v>107</v>
      </c>
      <c r="V45" t="s">
        <v>324</v>
      </c>
      <c r="W45">
        <v>951.290870252226</v>
      </c>
      <c r="X45" t="s">
        <v>325</v>
      </c>
      <c r="Y45">
        <v>358.97768688763199</v>
      </c>
      <c r="AA45" t="s">
        <v>107</v>
      </c>
      <c r="AB45">
        <v>1</v>
      </c>
    </row>
    <row r="46" spans="1:28" x14ac:dyDescent="0.25">
      <c r="A46" t="s">
        <v>109</v>
      </c>
      <c r="B46">
        <v>44</v>
      </c>
      <c r="C46" t="s">
        <v>328</v>
      </c>
      <c r="D46">
        <v>2172.11</v>
      </c>
      <c r="F46" t="s">
        <v>329</v>
      </c>
      <c r="G46">
        <v>819.66</v>
      </c>
      <c r="I46" t="s">
        <v>109</v>
      </c>
      <c r="J46" t="s">
        <v>110</v>
      </c>
      <c r="K46">
        <v>1</v>
      </c>
      <c r="L46">
        <v>5</v>
      </c>
      <c r="M46">
        <v>5</v>
      </c>
      <c r="N46">
        <v>819.66597860000002</v>
      </c>
      <c r="O46">
        <v>2172.1148429999998</v>
      </c>
      <c r="Q46" t="s">
        <v>330</v>
      </c>
      <c r="R46">
        <v>990000</v>
      </c>
      <c r="S46" t="s">
        <v>331</v>
      </c>
      <c r="T46" s="6">
        <v>2000000000000</v>
      </c>
      <c r="U46" t="s">
        <v>109</v>
      </c>
      <c r="V46" t="s">
        <v>328</v>
      </c>
      <c r="W46">
        <v>6617.1524054890797</v>
      </c>
      <c r="X46" t="s">
        <v>329</v>
      </c>
      <c r="Y46">
        <v>2497.03864358079</v>
      </c>
      <c r="AA46" t="s">
        <v>109</v>
      </c>
      <c r="AB46">
        <v>1</v>
      </c>
    </row>
    <row r="47" spans="1:28" x14ac:dyDescent="0.25">
      <c r="A47" t="s">
        <v>111</v>
      </c>
      <c r="B47">
        <v>35</v>
      </c>
      <c r="C47" t="s">
        <v>332</v>
      </c>
      <c r="D47">
        <v>337.98</v>
      </c>
      <c r="F47" t="s">
        <v>333</v>
      </c>
      <c r="G47">
        <v>127.54</v>
      </c>
      <c r="I47" t="s">
        <v>111</v>
      </c>
      <c r="J47" t="s">
        <v>112</v>
      </c>
      <c r="K47">
        <v>1</v>
      </c>
      <c r="L47">
        <v>2</v>
      </c>
      <c r="M47">
        <v>2</v>
      </c>
      <c r="N47">
        <v>127.5414564</v>
      </c>
      <c r="O47">
        <v>337.98485950000003</v>
      </c>
      <c r="Q47" t="s">
        <v>334</v>
      </c>
      <c r="R47" s="6">
        <v>1450000000</v>
      </c>
      <c r="S47" t="s">
        <v>335</v>
      </c>
      <c r="T47" s="6">
        <v>100000000000</v>
      </c>
      <c r="U47" t="s">
        <v>111</v>
      </c>
      <c r="V47" t="s">
        <v>332</v>
      </c>
      <c r="W47">
        <v>5126.4731166461897</v>
      </c>
      <c r="X47" t="s">
        <v>333</v>
      </c>
      <c r="Y47">
        <v>1934.5181572249801</v>
      </c>
      <c r="AA47" t="s">
        <v>111</v>
      </c>
      <c r="AB47">
        <v>1</v>
      </c>
    </row>
    <row r="48" spans="1:28" x14ac:dyDescent="0.25">
      <c r="A48" t="s">
        <v>113</v>
      </c>
      <c r="B48">
        <v>6</v>
      </c>
      <c r="C48" t="s">
        <v>336</v>
      </c>
      <c r="D48">
        <v>1261.47</v>
      </c>
      <c r="F48" t="s">
        <v>337</v>
      </c>
      <c r="G48">
        <v>476.02</v>
      </c>
      <c r="I48" t="s">
        <v>113</v>
      </c>
      <c r="J48" t="s">
        <v>114</v>
      </c>
      <c r="K48">
        <v>1</v>
      </c>
      <c r="L48">
        <v>2</v>
      </c>
      <c r="M48">
        <v>2</v>
      </c>
      <c r="N48">
        <v>476.02739730000002</v>
      </c>
      <c r="O48">
        <v>1261.4726029999999</v>
      </c>
      <c r="Q48" t="s">
        <v>338</v>
      </c>
      <c r="R48" s="6">
        <v>580000000</v>
      </c>
      <c r="S48" t="s">
        <v>339</v>
      </c>
      <c r="T48" s="6">
        <v>30000000000</v>
      </c>
      <c r="U48" t="s">
        <v>113</v>
      </c>
      <c r="V48" t="s">
        <v>336</v>
      </c>
      <c r="W48">
        <v>403.647068354856</v>
      </c>
      <c r="X48" t="s">
        <v>337</v>
      </c>
      <c r="Y48">
        <v>152.31964843579499</v>
      </c>
      <c r="AA48" t="s">
        <v>113</v>
      </c>
      <c r="AB48">
        <v>1</v>
      </c>
    </row>
    <row r="49" spans="1:28" x14ac:dyDescent="0.25">
      <c r="A49" t="s">
        <v>115</v>
      </c>
      <c r="B49">
        <v>57</v>
      </c>
      <c r="C49" t="s">
        <v>340</v>
      </c>
      <c r="D49">
        <v>22554538.370000001</v>
      </c>
      <c r="F49" t="s">
        <v>341</v>
      </c>
      <c r="G49">
        <v>8511146.5</v>
      </c>
      <c r="I49" t="s">
        <v>115</v>
      </c>
      <c r="J49" t="s">
        <v>116</v>
      </c>
      <c r="K49">
        <v>1</v>
      </c>
      <c r="L49">
        <v>7</v>
      </c>
      <c r="M49">
        <v>7</v>
      </c>
      <c r="N49">
        <v>8511146.557</v>
      </c>
      <c r="O49">
        <v>22554538.370000001</v>
      </c>
      <c r="Q49" t="s">
        <v>342</v>
      </c>
      <c r="R49">
        <v>1000</v>
      </c>
      <c r="S49" t="s">
        <v>343</v>
      </c>
      <c r="T49" s="6">
        <v>500000000</v>
      </c>
      <c r="U49" t="s">
        <v>115</v>
      </c>
      <c r="V49" t="s">
        <v>340</v>
      </c>
      <c r="W49">
        <v>20755.9519034798</v>
      </c>
      <c r="X49" t="s">
        <v>341</v>
      </c>
      <c r="Y49">
        <v>7832.43468055843</v>
      </c>
      <c r="AA49" t="s">
        <v>115</v>
      </c>
      <c r="AB49">
        <v>1</v>
      </c>
    </row>
    <row r="50" spans="1:28" x14ac:dyDescent="0.25">
      <c r="A50" t="s">
        <v>117</v>
      </c>
      <c r="B50">
        <v>36</v>
      </c>
      <c r="C50" t="s">
        <v>344</v>
      </c>
      <c r="D50">
        <v>337.98</v>
      </c>
      <c r="F50" t="s">
        <v>345</v>
      </c>
      <c r="G50">
        <v>127.54</v>
      </c>
      <c r="I50" t="s">
        <v>117</v>
      </c>
      <c r="J50" t="s">
        <v>118</v>
      </c>
      <c r="K50">
        <v>1</v>
      </c>
      <c r="L50">
        <v>2</v>
      </c>
      <c r="M50">
        <v>2</v>
      </c>
      <c r="N50">
        <v>127.5414564</v>
      </c>
      <c r="O50">
        <v>337.98485950000003</v>
      </c>
      <c r="Q50" t="s">
        <v>346</v>
      </c>
      <c r="R50" s="6">
        <v>1450000000</v>
      </c>
      <c r="S50" t="s">
        <v>347</v>
      </c>
      <c r="T50" s="6">
        <v>100000000000</v>
      </c>
      <c r="U50" t="s">
        <v>117</v>
      </c>
      <c r="V50" t="s">
        <v>344</v>
      </c>
      <c r="W50">
        <v>32.290242825290399</v>
      </c>
      <c r="X50" t="s">
        <v>345</v>
      </c>
      <c r="Y50">
        <v>12.1849972925624</v>
      </c>
      <c r="AA50" t="s">
        <v>117</v>
      </c>
      <c r="AB50">
        <v>1</v>
      </c>
    </row>
    <row r="51" spans="1:28" x14ac:dyDescent="0.25">
      <c r="A51" t="s">
        <v>119</v>
      </c>
      <c r="B51">
        <v>14</v>
      </c>
      <c r="C51" t="s">
        <v>348</v>
      </c>
      <c r="D51">
        <v>2197.7399999999998</v>
      </c>
      <c r="F51" t="s">
        <v>349</v>
      </c>
      <c r="G51">
        <v>829.48</v>
      </c>
      <c r="I51" t="s">
        <v>119</v>
      </c>
      <c r="J51" t="s">
        <v>120</v>
      </c>
      <c r="K51">
        <v>1</v>
      </c>
      <c r="L51">
        <v>3</v>
      </c>
      <c r="M51">
        <v>3</v>
      </c>
      <c r="N51">
        <v>829.48845900000003</v>
      </c>
      <c r="O51">
        <v>2197.74442</v>
      </c>
      <c r="Q51" t="s">
        <v>350</v>
      </c>
      <c r="R51" s="6">
        <v>28000000</v>
      </c>
      <c r="S51" t="s">
        <v>351</v>
      </c>
      <c r="T51" s="6">
        <v>600000000000</v>
      </c>
      <c r="U51" t="s">
        <v>119</v>
      </c>
      <c r="V51" t="s">
        <v>348</v>
      </c>
      <c r="W51">
        <v>4928.5702674546001</v>
      </c>
      <c r="X51" t="s">
        <v>349</v>
      </c>
      <c r="Y51">
        <v>1859.8378367753201</v>
      </c>
      <c r="AA51" t="s">
        <v>119</v>
      </c>
      <c r="AB51">
        <v>1</v>
      </c>
    </row>
    <row r="52" spans="1:28" x14ac:dyDescent="0.25">
      <c r="A52" t="s">
        <v>121</v>
      </c>
      <c r="B52">
        <v>58</v>
      </c>
      <c r="C52" t="s">
        <v>352</v>
      </c>
      <c r="D52">
        <v>22554538.370000001</v>
      </c>
      <c r="F52" t="s">
        <v>353</v>
      </c>
      <c r="G52">
        <v>8511146.5</v>
      </c>
      <c r="I52" t="s">
        <v>121</v>
      </c>
      <c r="J52" t="s">
        <v>122</v>
      </c>
      <c r="K52">
        <v>1</v>
      </c>
      <c r="L52">
        <v>7</v>
      </c>
      <c r="M52">
        <v>7</v>
      </c>
      <c r="N52">
        <v>8511146.557</v>
      </c>
      <c r="O52">
        <v>22554538.370000001</v>
      </c>
      <c r="Q52" t="s">
        <v>354</v>
      </c>
      <c r="R52">
        <v>1000</v>
      </c>
      <c r="S52" t="s">
        <v>355</v>
      </c>
      <c r="T52" s="6">
        <v>500000000</v>
      </c>
      <c r="U52" t="s">
        <v>121</v>
      </c>
      <c r="V52" t="s">
        <v>352</v>
      </c>
      <c r="W52">
        <v>1233651.79949192</v>
      </c>
      <c r="X52" t="s">
        <v>353</v>
      </c>
      <c r="Y52">
        <v>465528.98094034602</v>
      </c>
      <c r="AA52" t="s">
        <v>121</v>
      </c>
      <c r="AB52">
        <v>1</v>
      </c>
    </row>
    <row r="53" spans="1:28" x14ac:dyDescent="0.25">
      <c r="A53" t="s">
        <v>123</v>
      </c>
      <c r="B53">
        <v>30</v>
      </c>
      <c r="C53" t="s">
        <v>356</v>
      </c>
      <c r="D53">
        <v>337.98</v>
      </c>
      <c r="F53" t="s">
        <v>357</v>
      </c>
      <c r="G53">
        <v>127.54</v>
      </c>
      <c r="I53" t="s">
        <v>123</v>
      </c>
      <c r="J53" t="s">
        <v>124</v>
      </c>
      <c r="K53">
        <v>1</v>
      </c>
      <c r="L53">
        <v>2</v>
      </c>
      <c r="M53">
        <v>2</v>
      </c>
      <c r="N53">
        <v>127.5414564</v>
      </c>
      <c r="O53">
        <v>337.98485950000003</v>
      </c>
      <c r="Q53" t="s">
        <v>358</v>
      </c>
      <c r="R53" s="6">
        <v>1450000000</v>
      </c>
      <c r="S53" t="s">
        <v>359</v>
      </c>
      <c r="T53" s="6">
        <v>100000000000</v>
      </c>
      <c r="U53" t="s">
        <v>123</v>
      </c>
      <c r="V53" t="s">
        <v>356</v>
      </c>
      <c r="W53">
        <v>94.039286566230402</v>
      </c>
      <c r="X53" t="s">
        <v>357</v>
      </c>
      <c r="Y53">
        <v>35.486523232539803</v>
      </c>
      <c r="AA53" t="s">
        <v>123</v>
      </c>
      <c r="AB53">
        <v>1</v>
      </c>
    </row>
    <row r="54" spans="1:28" x14ac:dyDescent="0.25">
      <c r="A54" t="s">
        <v>125</v>
      </c>
      <c r="B54">
        <v>3</v>
      </c>
      <c r="C54" t="s">
        <v>360</v>
      </c>
      <c r="D54">
        <v>116.54</v>
      </c>
      <c r="F54" t="s">
        <v>361</v>
      </c>
      <c r="G54">
        <v>43.97</v>
      </c>
      <c r="I54" t="s">
        <v>125</v>
      </c>
      <c r="J54" t="s">
        <v>126</v>
      </c>
      <c r="K54">
        <v>1</v>
      </c>
      <c r="L54">
        <v>1</v>
      </c>
      <c r="M54">
        <v>1</v>
      </c>
      <c r="N54">
        <v>43.979812539999998</v>
      </c>
      <c r="O54">
        <v>116.5465032</v>
      </c>
      <c r="Q54" t="s">
        <v>362</v>
      </c>
      <c r="R54" s="6">
        <v>17000000</v>
      </c>
      <c r="S54" t="s">
        <v>363</v>
      </c>
      <c r="T54" s="6">
        <v>16000000000</v>
      </c>
      <c r="U54" t="s">
        <v>125</v>
      </c>
      <c r="V54" t="s">
        <v>360</v>
      </c>
      <c r="W54">
        <v>160.307662058662</v>
      </c>
      <c r="X54" t="s">
        <v>361</v>
      </c>
      <c r="Y54">
        <v>60.493457380627099</v>
      </c>
      <c r="AA54" t="s">
        <v>125</v>
      </c>
      <c r="AB54">
        <v>1</v>
      </c>
    </row>
    <row r="55" spans="1:28" x14ac:dyDescent="0.25">
      <c r="A55" t="s">
        <v>127</v>
      </c>
      <c r="B55">
        <v>7</v>
      </c>
      <c r="C55" t="s">
        <v>364</v>
      </c>
      <c r="D55">
        <v>1261.47</v>
      </c>
      <c r="F55" t="s">
        <v>365</v>
      </c>
      <c r="G55">
        <v>476.02</v>
      </c>
      <c r="I55" t="s">
        <v>127</v>
      </c>
      <c r="J55" t="s">
        <v>128</v>
      </c>
      <c r="K55">
        <v>1</v>
      </c>
      <c r="L55">
        <v>2</v>
      </c>
      <c r="M55">
        <v>2</v>
      </c>
      <c r="N55">
        <v>476.02739730000002</v>
      </c>
      <c r="O55">
        <v>1261.4726029999999</v>
      </c>
      <c r="Q55" t="s">
        <v>366</v>
      </c>
      <c r="R55" s="6">
        <v>580000000</v>
      </c>
      <c r="S55" t="s">
        <v>367</v>
      </c>
      <c r="T55" s="6">
        <v>30000000000</v>
      </c>
      <c r="U55" t="s">
        <v>127</v>
      </c>
      <c r="V55" t="s">
        <v>364</v>
      </c>
      <c r="W55">
        <v>460.15344435883702</v>
      </c>
      <c r="X55" t="s">
        <v>365</v>
      </c>
      <c r="Y55">
        <v>173.642809192014</v>
      </c>
      <c r="AA55" t="s">
        <v>127</v>
      </c>
      <c r="AB55">
        <v>1</v>
      </c>
    </row>
    <row r="56" spans="1:28" x14ac:dyDescent="0.25">
      <c r="A56" t="s">
        <v>129</v>
      </c>
      <c r="B56">
        <v>37</v>
      </c>
      <c r="C56" t="s">
        <v>368</v>
      </c>
      <c r="D56">
        <v>337.98</v>
      </c>
      <c r="F56" t="s">
        <v>369</v>
      </c>
      <c r="G56">
        <v>127.54</v>
      </c>
      <c r="I56" t="s">
        <v>129</v>
      </c>
      <c r="J56" t="s">
        <v>130</v>
      </c>
      <c r="K56">
        <v>1</v>
      </c>
      <c r="L56">
        <v>2</v>
      </c>
      <c r="M56">
        <v>2</v>
      </c>
      <c r="N56">
        <v>127.5414564</v>
      </c>
      <c r="O56">
        <v>337.98485950000003</v>
      </c>
      <c r="Q56" t="s">
        <v>370</v>
      </c>
      <c r="R56" s="6">
        <v>1450000000</v>
      </c>
      <c r="S56" t="s">
        <v>371</v>
      </c>
      <c r="T56" s="6">
        <v>100000000000</v>
      </c>
      <c r="U56" t="s">
        <v>129</v>
      </c>
      <c r="V56" t="s">
        <v>368</v>
      </c>
      <c r="W56">
        <v>18.650246622806399</v>
      </c>
      <c r="X56" t="s">
        <v>369</v>
      </c>
      <c r="Y56">
        <v>7.0378289142665604</v>
      </c>
      <c r="AA56" t="s">
        <v>129</v>
      </c>
      <c r="AB56">
        <v>1</v>
      </c>
    </row>
    <row r="57" spans="1:28" x14ac:dyDescent="0.25">
      <c r="A57" t="s">
        <v>131</v>
      </c>
      <c r="B57">
        <v>5</v>
      </c>
      <c r="C57" t="s">
        <v>372</v>
      </c>
      <c r="D57">
        <v>1261.47</v>
      </c>
      <c r="F57" t="s">
        <v>373</v>
      </c>
      <c r="G57">
        <v>476.02</v>
      </c>
      <c r="I57" t="s">
        <v>131</v>
      </c>
      <c r="J57" t="s">
        <v>132</v>
      </c>
      <c r="K57">
        <v>1</v>
      </c>
      <c r="L57">
        <v>2</v>
      </c>
      <c r="M57">
        <v>2</v>
      </c>
      <c r="N57">
        <v>476.02739730000002</v>
      </c>
      <c r="O57">
        <v>1261.4726029999999</v>
      </c>
      <c r="Q57" t="s">
        <v>374</v>
      </c>
      <c r="R57" s="6">
        <v>580000000</v>
      </c>
      <c r="S57" t="s">
        <v>375</v>
      </c>
      <c r="T57" s="6">
        <v>30000000000</v>
      </c>
      <c r="U57" t="s">
        <v>131</v>
      </c>
      <c r="V57" t="s">
        <v>372</v>
      </c>
      <c r="W57">
        <v>41.027320347075801</v>
      </c>
      <c r="X57" t="s">
        <v>373</v>
      </c>
      <c r="Y57">
        <v>15.4820076781418</v>
      </c>
      <c r="AA57" t="s">
        <v>131</v>
      </c>
      <c r="AB57">
        <v>1</v>
      </c>
    </row>
    <row r="58" spans="1:28" x14ac:dyDescent="0.25">
      <c r="A58" t="s">
        <v>133</v>
      </c>
      <c r="B58">
        <v>49</v>
      </c>
      <c r="C58" t="s">
        <v>376</v>
      </c>
      <c r="D58">
        <v>927.5</v>
      </c>
      <c r="F58" t="s">
        <v>377</v>
      </c>
      <c r="G58">
        <v>350</v>
      </c>
      <c r="I58" t="s">
        <v>133</v>
      </c>
      <c r="J58" t="s">
        <v>134</v>
      </c>
      <c r="K58">
        <v>1</v>
      </c>
      <c r="L58">
        <v>3</v>
      </c>
      <c r="M58">
        <v>3</v>
      </c>
      <c r="N58">
        <v>350</v>
      </c>
      <c r="O58">
        <v>927.5</v>
      </c>
      <c r="Q58" t="s">
        <v>378</v>
      </c>
      <c r="R58" s="6">
        <v>61000000</v>
      </c>
      <c r="S58" t="s">
        <v>379</v>
      </c>
      <c r="T58" s="6">
        <v>20000000000000</v>
      </c>
      <c r="U58" t="s">
        <v>133</v>
      </c>
      <c r="V58" t="s">
        <v>376</v>
      </c>
      <c r="W58">
        <v>131.069665330036</v>
      </c>
      <c r="X58" t="s">
        <v>377</v>
      </c>
      <c r="Y58">
        <v>49.460251067938003</v>
      </c>
      <c r="AA58" t="s">
        <v>133</v>
      </c>
      <c r="AB58">
        <v>1</v>
      </c>
    </row>
    <row r="59" spans="1:28" x14ac:dyDescent="0.25">
      <c r="A59" t="s">
        <v>135</v>
      </c>
      <c r="B59">
        <v>8</v>
      </c>
      <c r="C59" t="s">
        <v>380</v>
      </c>
      <c r="D59">
        <v>1261.47</v>
      </c>
      <c r="F59" t="s">
        <v>381</v>
      </c>
      <c r="G59">
        <v>476.02</v>
      </c>
      <c r="I59" t="s">
        <v>135</v>
      </c>
      <c r="J59" t="s">
        <v>136</v>
      </c>
      <c r="K59">
        <v>1</v>
      </c>
      <c r="L59">
        <v>2</v>
      </c>
      <c r="M59">
        <v>2</v>
      </c>
      <c r="N59">
        <v>476.02739730000002</v>
      </c>
      <c r="O59">
        <v>1261.4726029999999</v>
      </c>
      <c r="Q59" t="s">
        <v>382</v>
      </c>
      <c r="R59" s="6">
        <v>580000000</v>
      </c>
      <c r="S59" t="s">
        <v>383</v>
      </c>
      <c r="T59" s="6">
        <v>30000000000</v>
      </c>
      <c r="U59" t="s">
        <v>135</v>
      </c>
      <c r="V59" t="s">
        <v>380</v>
      </c>
      <c r="W59">
        <v>14.1723021547285</v>
      </c>
      <c r="X59" t="s">
        <v>381</v>
      </c>
      <c r="Y59">
        <v>5.3480385489541602</v>
      </c>
      <c r="AA59" t="s">
        <v>135</v>
      </c>
      <c r="AB59">
        <v>1</v>
      </c>
    </row>
    <row r="60" spans="1:28" x14ac:dyDescent="0.25">
      <c r="A60" t="s">
        <v>137</v>
      </c>
      <c r="B60">
        <v>41</v>
      </c>
      <c r="C60" t="s">
        <v>384</v>
      </c>
      <c r="D60">
        <v>98.07</v>
      </c>
      <c r="F60" t="s">
        <v>385</v>
      </c>
      <c r="G60">
        <v>37.01</v>
      </c>
      <c r="I60" t="s">
        <v>137</v>
      </c>
      <c r="J60" t="s">
        <v>138</v>
      </c>
      <c r="K60">
        <v>1</v>
      </c>
      <c r="L60">
        <v>1</v>
      </c>
      <c r="M60">
        <v>1</v>
      </c>
      <c r="N60">
        <v>37.010334049999997</v>
      </c>
      <c r="O60">
        <v>98.077385239999998</v>
      </c>
      <c r="Q60" t="s">
        <v>386</v>
      </c>
      <c r="R60" s="6">
        <v>405000000</v>
      </c>
      <c r="S60" t="s">
        <v>387</v>
      </c>
      <c r="T60" s="6">
        <v>25000000000</v>
      </c>
      <c r="U60" t="s">
        <v>137</v>
      </c>
      <c r="V60" t="s">
        <v>384</v>
      </c>
      <c r="W60">
        <v>142.31883876457999</v>
      </c>
      <c r="X60" t="s">
        <v>385</v>
      </c>
      <c r="Y60">
        <v>53.705222175313203</v>
      </c>
      <c r="AA60" t="s">
        <v>137</v>
      </c>
      <c r="AB60">
        <v>1</v>
      </c>
    </row>
    <row r="61" spans="1:28" x14ac:dyDescent="0.25">
      <c r="Q61" t="s">
        <v>388</v>
      </c>
      <c r="R61" s="6">
        <v>905000000000</v>
      </c>
      <c r="S61" t="s">
        <v>389</v>
      </c>
      <c r="T61" s="6">
        <v>20200000000000</v>
      </c>
      <c r="U61" t="s">
        <v>390</v>
      </c>
    </row>
    <row r="62" spans="1:28" x14ac:dyDescent="0.25">
      <c r="Q62" t="s">
        <v>391</v>
      </c>
      <c r="R62" s="6">
        <v>905000000000</v>
      </c>
      <c r="S62" t="s">
        <v>392</v>
      </c>
      <c r="T62" s="6">
        <v>20200000000000</v>
      </c>
      <c r="U62" t="s">
        <v>393</v>
      </c>
    </row>
    <row r="63" spans="1:28" x14ac:dyDescent="0.25">
      <c r="Q63" t="s">
        <v>394</v>
      </c>
      <c r="R63" s="6">
        <v>900000000000</v>
      </c>
      <c r="S63" t="s">
        <v>395</v>
      </c>
      <c r="T63" s="6">
        <v>20000000000000</v>
      </c>
      <c r="U63" t="s">
        <v>396</v>
      </c>
    </row>
    <row r="64" spans="1:28" x14ac:dyDescent="0.25">
      <c r="Q64" t="s">
        <v>397</v>
      </c>
      <c r="R64" s="6">
        <v>900000000000</v>
      </c>
      <c r="S64" t="s">
        <v>398</v>
      </c>
      <c r="T64" s="6">
        <v>20000000000000</v>
      </c>
      <c r="U64" t="s">
        <v>399</v>
      </c>
    </row>
    <row r="66" spans="1:23" s="13" customFormat="1" x14ac:dyDescent="0.25">
      <c r="A66" s="13" t="s">
        <v>1039</v>
      </c>
      <c r="S66" s="13" t="s">
        <v>1045</v>
      </c>
    </row>
    <row r="67" spans="1:23" s="24" customFormat="1" x14ac:dyDescent="0.25">
      <c r="A67" s="24" t="s">
        <v>0</v>
      </c>
      <c r="B67" s="24" t="s">
        <v>1</v>
      </c>
      <c r="C67" s="24" t="s">
        <v>2</v>
      </c>
      <c r="D67" s="24" t="s">
        <v>3</v>
      </c>
      <c r="E67" s="24" t="s">
        <v>4</v>
      </c>
      <c r="F67" s="24" t="s">
        <v>5</v>
      </c>
      <c r="G67" s="24" t="s">
        <v>6</v>
      </c>
      <c r="H67" s="24" t="s">
        <v>7</v>
      </c>
      <c r="I67" s="24" t="s">
        <v>8</v>
      </c>
      <c r="J67" s="24" t="s">
        <v>9</v>
      </c>
      <c r="K67" s="24" t="s">
        <v>10</v>
      </c>
      <c r="L67" s="24" t="s">
        <v>11</v>
      </c>
      <c r="M67" s="24" t="s">
        <v>12</v>
      </c>
      <c r="N67" s="24" t="s">
        <v>13</v>
      </c>
      <c r="O67" s="24" t="s">
        <v>400</v>
      </c>
      <c r="P67" s="24" t="s">
        <v>401</v>
      </c>
      <c r="Q67" s="24" t="s">
        <v>14</v>
      </c>
      <c r="R67" s="24" t="s">
        <v>15</v>
      </c>
      <c r="S67" s="24" t="s">
        <v>16</v>
      </c>
      <c r="T67" s="24" t="s">
        <v>17</v>
      </c>
      <c r="U67" s="24" t="s">
        <v>18</v>
      </c>
      <c r="V67" s="24" t="s">
        <v>19</v>
      </c>
      <c r="W67" s="24" t="s">
        <v>20</v>
      </c>
    </row>
    <row r="68" spans="1:23" x14ac:dyDescent="0.25">
      <c r="A68" t="s">
        <v>21</v>
      </c>
      <c r="B68" t="s">
        <v>22</v>
      </c>
      <c r="C68">
        <v>1</v>
      </c>
      <c r="D68">
        <v>1</v>
      </c>
      <c r="E68">
        <v>1</v>
      </c>
      <c r="F68">
        <v>49.194905069999997</v>
      </c>
      <c r="G68">
        <v>130.36649840000001</v>
      </c>
      <c r="H68">
        <v>20.47</v>
      </c>
      <c r="I68">
        <v>2.0469999999999999E-2</v>
      </c>
      <c r="J68">
        <v>2.05E-5</v>
      </c>
      <c r="K68">
        <v>4.5128570999999999E-2</v>
      </c>
      <c r="L68">
        <v>1.6E-2</v>
      </c>
      <c r="M68">
        <v>3</v>
      </c>
      <c r="N68">
        <v>10.85590298</v>
      </c>
      <c r="O68">
        <v>4.312265116177349E-3</v>
      </c>
      <c r="P68">
        <v>1.953965355498311</v>
      </c>
      <c r="Q68" s="4">
        <f>U68*(1-EXP(-V68*(C68-W68)))</f>
        <v>4.9630720029657098</v>
      </c>
      <c r="R68" s="4">
        <f t="shared" ref="R68" si="0">L68*(Q68^M68)</f>
        <v>1.9560128803047006</v>
      </c>
      <c r="S68" s="4">
        <f t="shared" ref="S68" si="1">R68/20/5.7/3.65*1000</f>
        <v>4.7008240334167279</v>
      </c>
      <c r="T68" s="4">
        <f t="shared" ref="T68" si="2">S68*2.65</f>
        <v>12.457183688554329</v>
      </c>
      <c r="U68">
        <v>11</v>
      </c>
      <c r="V68">
        <v>0.6</v>
      </c>
      <c r="W68">
        <v>0</v>
      </c>
    </row>
    <row r="69" spans="1:23" x14ac:dyDescent="0.25">
      <c r="A69" t="s">
        <v>23</v>
      </c>
      <c r="B69" t="s">
        <v>24</v>
      </c>
      <c r="C69">
        <v>1</v>
      </c>
      <c r="D69">
        <v>3</v>
      </c>
      <c r="E69">
        <v>3</v>
      </c>
      <c r="F69">
        <v>829.48845900000003</v>
      </c>
      <c r="G69">
        <v>2197.74442</v>
      </c>
      <c r="H69">
        <v>345.15014780000001</v>
      </c>
      <c r="I69">
        <v>0.34515014799999999</v>
      </c>
      <c r="J69">
        <v>3.4515000000000001E-4</v>
      </c>
      <c r="K69">
        <v>0.76092491900000003</v>
      </c>
      <c r="L69">
        <v>0.03</v>
      </c>
      <c r="M69">
        <v>3</v>
      </c>
      <c r="N69">
        <v>30.046246140000001</v>
      </c>
      <c r="O69">
        <v>41.381880133243143</v>
      </c>
      <c r="P69">
        <v>33.673223297257124</v>
      </c>
      <c r="Q69" s="4">
        <f t="shared" ref="Q69:Q126" si="3">U69*(1-EXP(-V69*(C69-W69)))</f>
        <v>31.40365204813336</v>
      </c>
      <c r="R69" s="4">
        <f t="shared" ref="R69:R126" si="4">L69*(Q69^M69)</f>
        <v>929.0984272970918</v>
      </c>
      <c r="S69" s="4">
        <f t="shared" ref="S69:S126" si="5">R69/20/5.7/3.65*1000</f>
        <v>2232.8729327014944</v>
      </c>
      <c r="T69" s="4">
        <f t="shared" ref="T69:T126" si="6">S69*2.65</f>
        <v>5917.11327165896</v>
      </c>
      <c r="U69">
        <v>330</v>
      </c>
      <c r="V69">
        <v>0.1</v>
      </c>
      <c r="W69">
        <v>0</v>
      </c>
    </row>
    <row r="70" spans="1:23" x14ac:dyDescent="0.25">
      <c r="A70" t="s">
        <v>25</v>
      </c>
      <c r="B70" t="s">
        <v>26</v>
      </c>
      <c r="C70">
        <v>1</v>
      </c>
      <c r="D70">
        <v>3</v>
      </c>
      <c r="E70">
        <v>3</v>
      </c>
      <c r="F70">
        <v>829.48845900000003</v>
      </c>
      <c r="G70">
        <v>2197.74442</v>
      </c>
      <c r="H70">
        <v>345.15014780000001</v>
      </c>
      <c r="I70">
        <v>0.34515014799999999</v>
      </c>
      <c r="J70">
        <v>3.4515000000000001E-4</v>
      </c>
      <c r="K70">
        <v>0.76092491900000003</v>
      </c>
      <c r="L70">
        <v>2.1399999999999999E-2</v>
      </c>
      <c r="M70">
        <v>2.96</v>
      </c>
      <c r="N70">
        <v>26.392744749999999</v>
      </c>
      <c r="O70">
        <v>25.557613093704639</v>
      </c>
      <c r="P70">
        <v>34.060551864544379</v>
      </c>
      <c r="Q70" s="4">
        <f t="shared" si="3"/>
        <v>31.527882858176085</v>
      </c>
      <c r="R70" s="4">
        <f t="shared" si="4"/>
        <v>584.18500571633092</v>
      </c>
      <c r="S70" s="4">
        <f t="shared" si="5"/>
        <v>1403.953390330043</v>
      </c>
      <c r="T70" s="4">
        <f t="shared" si="6"/>
        <v>3720.4764843746138</v>
      </c>
      <c r="U70">
        <v>358.7</v>
      </c>
      <c r="V70">
        <v>9.1999999999999998E-2</v>
      </c>
      <c r="W70">
        <v>0</v>
      </c>
    </row>
    <row r="71" spans="1:23" x14ac:dyDescent="0.25">
      <c r="A71" t="s">
        <v>27</v>
      </c>
      <c r="B71" t="s">
        <v>28</v>
      </c>
      <c r="C71">
        <v>1</v>
      </c>
      <c r="D71">
        <v>1</v>
      </c>
      <c r="E71">
        <v>1</v>
      </c>
      <c r="F71">
        <v>269.40639270000003</v>
      </c>
      <c r="G71">
        <v>713.92694070000005</v>
      </c>
      <c r="H71">
        <v>112.1</v>
      </c>
      <c r="I71">
        <v>0.11210000000000001</v>
      </c>
      <c r="J71">
        <v>1.121E-4</v>
      </c>
      <c r="K71">
        <v>0.24713790199999999</v>
      </c>
      <c r="L71">
        <v>1.0999999999999999E-2</v>
      </c>
      <c r="M71">
        <v>2.9</v>
      </c>
      <c r="N71">
        <v>24.106956749999998</v>
      </c>
      <c r="O71">
        <v>9.2034509503643405E-2</v>
      </c>
      <c r="P71">
        <v>6.7512089601665028</v>
      </c>
      <c r="Q71" s="4">
        <f t="shared" si="3"/>
        <v>17.148070758822918</v>
      </c>
      <c r="R71" s="4">
        <f t="shared" si="4"/>
        <v>41.746200934239646</v>
      </c>
      <c r="S71" s="4">
        <f t="shared" si="5"/>
        <v>100.32732740744927</v>
      </c>
      <c r="T71" s="4">
        <f t="shared" si="6"/>
        <v>265.86741762974054</v>
      </c>
      <c r="U71">
        <v>94.6</v>
      </c>
      <c r="V71">
        <v>0.2</v>
      </c>
      <c r="W71">
        <v>0</v>
      </c>
    </row>
    <row r="72" spans="1:23" x14ac:dyDescent="0.25">
      <c r="A72" t="s">
        <v>29</v>
      </c>
      <c r="B72" t="s">
        <v>30</v>
      </c>
      <c r="C72">
        <v>1</v>
      </c>
      <c r="D72">
        <v>7</v>
      </c>
      <c r="E72">
        <v>7</v>
      </c>
      <c r="F72">
        <v>1355.00938</v>
      </c>
      <c r="G72">
        <v>3590.52486</v>
      </c>
      <c r="H72">
        <v>563.81940299999997</v>
      </c>
      <c r="I72">
        <v>0.563819403</v>
      </c>
      <c r="J72">
        <v>5.6381900000000002E-4</v>
      </c>
      <c r="K72">
        <v>1.243007532</v>
      </c>
      <c r="L72">
        <v>3.2499999999999999E-3</v>
      </c>
      <c r="M72">
        <v>3</v>
      </c>
      <c r="N72">
        <v>55.772342469999998</v>
      </c>
      <c r="O72">
        <v>27.496406542055972</v>
      </c>
      <c r="P72">
        <v>61.63857107120932</v>
      </c>
      <c r="Q72" s="4">
        <f t="shared" si="3"/>
        <v>29.595562990816589</v>
      </c>
      <c r="R72" s="4">
        <f t="shared" si="4"/>
        <v>84.24869426422903</v>
      </c>
      <c r="S72" s="4">
        <f t="shared" si="5"/>
        <v>202.47222846486187</v>
      </c>
      <c r="T72" s="4">
        <f t="shared" si="6"/>
        <v>536.55140543188395</v>
      </c>
      <c r="U72">
        <v>311</v>
      </c>
      <c r="V72">
        <v>0.1</v>
      </c>
      <c r="W72">
        <v>0</v>
      </c>
    </row>
    <row r="73" spans="1:23" x14ac:dyDescent="0.25">
      <c r="A73" t="s">
        <v>31</v>
      </c>
      <c r="B73" t="s">
        <v>32</v>
      </c>
      <c r="C73">
        <v>1</v>
      </c>
      <c r="D73">
        <v>1</v>
      </c>
      <c r="E73">
        <v>1</v>
      </c>
      <c r="F73">
        <v>49.194905069999997</v>
      </c>
      <c r="G73">
        <v>130.36649840000001</v>
      </c>
      <c r="H73">
        <v>20.469999999626999</v>
      </c>
      <c r="I73">
        <v>2.0469999999626998E-2</v>
      </c>
      <c r="J73">
        <v>2.0469999999626999E-5</v>
      </c>
      <c r="K73">
        <v>4.5128571399177669E-2</v>
      </c>
      <c r="L73">
        <v>1.1599999999999999E-2</v>
      </c>
      <c r="M73">
        <v>3</v>
      </c>
      <c r="N73">
        <v>12.084256948656494</v>
      </c>
      <c r="O73">
        <v>0.13993882197345583</v>
      </c>
      <c r="P73">
        <v>6.9376935203618979</v>
      </c>
      <c r="Q73" s="4">
        <f t="shared" si="3"/>
        <v>17.621741541719221</v>
      </c>
      <c r="R73" s="4">
        <f t="shared" si="4"/>
        <v>63.475257401935856</v>
      </c>
      <c r="S73" s="4">
        <f t="shared" si="5"/>
        <v>152.54808315774056</v>
      </c>
      <c r="T73" s="4">
        <f t="shared" si="6"/>
        <v>404.25242036801251</v>
      </c>
      <c r="U73">
        <v>29.172666666666665</v>
      </c>
      <c r="V73">
        <v>0.92646666666666677</v>
      </c>
      <c r="W73">
        <v>0</v>
      </c>
    </row>
    <row r="74" spans="1:23" x14ac:dyDescent="0.25">
      <c r="A74" t="s">
        <v>33</v>
      </c>
      <c r="B74" t="s">
        <v>34</v>
      </c>
      <c r="C74">
        <v>1</v>
      </c>
      <c r="D74">
        <v>2</v>
      </c>
      <c r="E74">
        <v>2</v>
      </c>
      <c r="F74">
        <v>127.5414564</v>
      </c>
      <c r="G74">
        <v>337.98485950000003</v>
      </c>
      <c r="H74">
        <v>53.070000010000001</v>
      </c>
      <c r="I74">
        <v>5.3069999999999999E-2</v>
      </c>
      <c r="J74">
        <v>5.3100000000000003E-5</v>
      </c>
      <c r="K74">
        <v>0.11699918300000001</v>
      </c>
      <c r="L74">
        <v>1.4999999999999999E-2</v>
      </c>
      <c r="M74">
        <v>3</v>
      </c>
      <c r="N74">
        <v>15.23769499</v>
      </c>
      <c r="O74">
        <v>0.23401738730824392</v>
      </c>
      <c r="P74">
        <v>7.5585877301431781</v>
      </c>
      <c r="Q74" s="4">
        <f t="shared" si="3"/>
        <v>9.4292744964554149</v>
      </c>
      <c r="R74" s="4">
        <f t="shared" si="4"/>
        <v>12.575524138496348</v>
      </c>
      <c r="S74" s="4">
        <f t="shared" si="5"/>
        <v>30.222360342456977</v>
      </c>
      <c r="T74" s="4">
        <f t="shared" si="6"/>
        <v>80.089254907510991</v>
      </c>
      <c r="U74">
        <v>58.9</v>
      </c>
      <c r="V74">
        <v>0.22</v>
      </c>
      <c r="W74">
        <v>0.20699999999999999</v>
      </c>
    </row>
    <row r="75" spans="1:23" x14ac:dyDescent="0.25">
      <c r="A75" t="s">
        <v>35</v>
      </c>
      <c r="B75" t="s">
        <v>36</v>
      </c>
      <c r="C75">
        <v>1</v>
      </c>
      <c r="D75">
        <v>1</v>
      </c>
      <c r="E75">
        <v>1</v>
      </c>
      <c r="F75">
        <v>49.194905069999997</v>
      </c>
      <c r="G75">
        <v>130.36649840000001</v>
      </c>
      <c r="H75">
        <v>20.47</v>
      </c>
      <c r="I75">
        <v>2.0469999999999999E-2</v>
      </c>
      <c r="J75">
        <v>2.05E-5</v>
      </c>
      <c r="K75">
        <v>4.5128570999999999E-2</v>
      </c>
      <c r="L75">
        <v>2.1000000000000001E-2</v>
      </c>
      <c r="M75">
        <v>3</v>
      </c>
      <c r="N75">
        <v>9.9151551869999999</v>
      </c>
      <c r="O75">
        <v>9.3601330346887154E-2</v>
      </c>
      <c r="P75">
        <v>4.9782413133617949</v>
      </c>
      <c r="Q75" s="4">
        <f t="shared" si="3"/>
        <v>12.64473293593896</v>
      </c>
      <c r="R75" s="4">
        <f t="shared" si="4"/>
        <v>42.45689975909098</v>
      </c>
      <c r="S75" s="4">
        <f t="shared" si="5"/>
        <v>102.03532746717372</v>
      </c>
      <c r="T75" s="4">
        <f t="shared" si="6"/>
        <v>270.39361778801032</v>
      </c>
      <c r="U75">
        <v>21.02</v>
      </c>
      <c r="V75">
        <v>0.86</v>
      </c>
      <c r="W75">
        <v>-6.9989999999999997E-2</v>
      </c>
    </row>
    <row r="76" spans="1:23" x14ac:dyDescent="0.25">
      <c r="A76" t="s">
        <v>37</v>
      </c>
      <c r="B76" t="s">
        <v>38</v>
      </c>
      <c r="C76">
        <v>1</v>
      </c>
      <c r="D76">
        <v>9</v>
      </c>
      <c r="E76">
        <v>9</v>
      </c>
      <c r="F76">
        <v>1513105530</v>
      </c>
      <c r="G76">
        <v>4009729654</v>
      </c>
      <c r="H76">
        <v>629603211</v>
      </c>
      <c r="I76">
        <v>629603.21100000001</v>
      </c>
      <c r="J76">
        <v>629.60321099999999</v>
      </c>
      <c r="K76">
        <v>1388035.831</v>
      </c>
      <c r="L76">
        <v>6.0000000000000001E-3</v>
      </c>
      <c r="M76">
        <v>3</v>
      </c>
      <c r="N76">
        <v>1465.5893920000001</v>
      </c>
      <c r="O76">
        <v>118018.26184449303</v>
      </c>
      <c r="P76">
        <v>816.55922638604397</v>
      </c>
      <c r="Q76" s="4">
        <f t="shared" si="3"/>
        <v>825.24685554511109</v>
      </c>
      <c r="R76" s="4">
        <f t="shared" si="4"/>
        <v>3372118.9440115527</v>
      </c>
      <c r="S76" s="4">
        <f t="shared" si="5"/>
        <v>8104107.0512173828</v>
      </c>
      <c r="T76" s="4">
        <f t="shared" si="6"/>
        <v>21475883.685726065</v>
      </c>
      <c r="U76">
        <v>2097.3599999999997</v>
      </c>
      <c r="V76">
        <v>0.5</v>
      </c>
      <c r="W76">
        <v>0</v>
      </c>
    </row>
    <row r="77" spans="1:23" x14ac:dyDescent="0.25">
      <c r="A77" t="s">
        <v>39</v>
      </c>
      <c r="B77" t="s">
        <v>40</v>
      </c>
      <c r="C77">
        <v>1</v>
      </c>
      <c r="D77">
        <v>2</v>
      </c>
      <c r="E77">
        <v>2</v>
      </c>
      <c r="F77">
        <v>309.3006489</v>
      </c>
      <c r="G77">
        <v>819.64671959999998</v>
      </c>
      <c r="H77">
        <v>128.69999999999999</v>
      </c>
      <c r="I77">
        <v>0.12870000000000001</v>
      </c>
      <c r="J77">
        <v>1.2870000000000001E-4</v>
      </c>
      <c r="K77">
        <v>0.28373459400000001</v>
      </c>
      <c r="L77">
        <v>1.2E-2</v>
      </c>
      <c r="M77">
        <v>3</v>
      </c>
      <c r="N77">
        <v>22.05290299</v>
      </c>
      <c r="O77">
        <v>0.584573627345923</v>
      </c>
      <c r="P77">
        <v>11.0477632758948</v>
      </c>
      <c r="Q77" s="4">
        <f t="shared" si="3"/>
        <v>13.774385541798216</v>
      </c>
      <c r="R77" s="4">
        <f t="shared" si="4"/>
        <v>31.361581121926971</v>
      </c>
      <c r="S77" s="4">
        <f t="shared" si="5"/>
        <v>75.370298298310431</v>
      </c>
      <c r="T77" s="4">
        <f t="shared" si="6"/>
        <v>199.73129049052264</v>
      </c>
      <c r="U77">
        <v>150.93</v>
      </c>
      <c r="V77">
        <v>0.11</v>
      </c>
      <c r="W77">
        <v>0.13</v>
      </c>
    </row>
    <row r="78" spans="1:23" x14ac:dyDescent="0.25">
      <c r="A78" t="s">
        <v>41</v>
      </c>
      <c r="B78" t="s">
        <v>42</v>
      </c>
      <c r="C78">
        <v>1</v>
      </c>
      <c r="D78">
        <v>4</v>
      </c>
      <c r="E78">
        <v>4</v>
      </c>
      <c r="F78">
        <v>343.77932070000003</v>
      </c>
      <c r="G78">
        <v>911.0151998</v>
      </c>
      <c r="H78">
        <v>143.0465753</v>
      </c>
      <c r="I78">
        <v>0.14304657500000001</v>
      </c>
      <c r="J78">
        <v>1.4304699999999999E-4</v>
      </c>
      <c r="K78">
        <v>0.31536334100000002</v>
      </c>
      <c r="L78">
        <v>1.34E-2</v>
      </c>
      <c r="M78">
        <v>3.1</v>
      </c>
      <c r="N78">
        <v>19.928520320000001</v>
      </c>
      <c r="O78">
        <v>2.0449819515939427</v>
      </c>
      <c r="P78">
        <v>14.339617063112403</v>
      </c>
      <c r="Q78" s="4">
        <f t="shared" si="3"/>
        <v>10.904809841306786</v>
      </c>
      <c r="R78" s="4">
        <f t="shared" si="4"/>
        <v>22.065862023014375</v>
      </c>
      <c r="S78" s="4">
        <f t="shared" si="5"/>
        <v>53.030189913516885</v>
      </c>
      <c r="T78" s="4">
        <f t="shared" si="6"/>
        <v>140.53000327081975</v>
      </c>
      <c r="U78">
        <v>91.5</v>
      </c>
      <c r="V78">
        <v>0.12690000000000001</v>
      </c>
      <c r="W78">
        <v>0</v>
      </c>
    </row>
    <row r="79" spans="1:23" x14ac:dyDescent="0.25">
      <c r="A79" t="s">
        <v>43</v>
      </c>
      <c r="B79" t="s">
        <v>44</v>
      </c>
      <c r="C79">
        <v>1</v>
      </c>
      <c r="D79">
        <v>2</v>
      </c>
      <c r="E79">
        <v>2</v>
      </c>
      <c r="F79">
        <v>127.5414564</v>
      </c>
      <c r="G79">
        <v>337.98485950000003</v>
      </c>
      <c r="H79">
        <v>53.070000010000001</v>
      </c>
      <c r="I79">
        <v>5.3069999999999999E-2</v>
      </c>
      <c r="J79">
        <v>5.3100000000000003E-5</v>
      </c>
      <c r="K79">
        <v>0.11699918300000001</v>
      </c>
      <c r="L79">
        <v>1.44E-2</v>
      </c>
      <c r="M79">
        <v>3</v>
      </c>
      <c r="N79">
        <v>15.44645648</v>
      </c>
      <c r="O79">
        <v>0.71114115274024581</v>
      </c>
      <c r="P79">
        <v>11.098206692228981</v>
      </c>
      <c r="Q79" s="4">
        <f t="shared" si="3"/>
        <v>17.200173550613055</v>
      </c>
      <c r="R79" s="4">
        <f t="shared" si="4"/>
        <v>73.275869249197726</v>
      </c>
      <c r="S79" s="4">
        <f t="shared" si="5"/>
        <v>176.10158435279436</v>
      </c>
      <c r="T79" s="4">
        <f t="shared" si="6"/>
        <v>466.66919853490504</v>
      </c>
      <c r="U79">
        <v>47.633333333333333</v>
      </c>
      <c r="V79">
        <v>0.44799999999999995</v>
      </c>
      <c r="W79">
        <v>0</v>
      </c>
    </row>
    <row r="80" spans="1:23" x14ac:dyDescent="0.25">
      <c r="A80" t="s">
        <v>45</v>
      </c>
      <c r="B80" t="s">
        <v>46</v>
      </c>
      <c r="C80">
        <v>1</v>
      </c>
      <c r="D80">
        <v>5</v>
      </c>
      <c r="E80">
        <v>5</v>
      </c>
      <c r="F80">
        <v>819.66597860000002</v>
      </c>
      <c r="G80">
        <v>2172.1148429999998</v>
      </c>
      <c r="H80">
        <v>341.0630137</v>
      </c>
      <c r="I80">
        <v>0.341063014</v>
      </c>
      <c r="J80">
        <v>3.4106300000000001E-4</v>
      </c>
      <c r="K80">
        <v>0.75191434099999999</v>
      </c>
      <c r="L80">
        <v>3.96E-3</v>
      </c>
      <c r="M80">
        <v>3.2</v>
      </c>
      <c r="N80">
        <v>34.852270400000002</v>
      </c>
      <c r="O80">
        <v>236.49415018863132</v>
      </c>
      <c r="P80">
        <v>82.777750262180959</v>
      </c>
      <c r="Q80" s="4">
        <f t="shared" si="3"/>
        <v>64.21308972111224</v>
      </c>
      <c r="R80" s="4">
        <f t="shared" si="4"/>
        <v>2410.4082275498263</v>
      </c>
      <c r="S80" s="4">
        <f t="shared" si="5"/>
        <v>5792.8580330445238</v>
      </c>
      <c r="T80" s="4">
        <f t="shared" si="6"/>
        <v>15351.073787567988</v>
      </c>
      <c r="U80">
        <v>300.78571428571428</v>
      </c>
      <c r="V80">
        <v>0.24014285714285719</v>
      </c>
      <c r="W80">
        <v>0</v>
      </c>
    </row>
    <row r="81" spans="1:23" x14ac:dyDescent="0.25">
      <c r="A81" t="s">
        <v>47</v>
      </c>
      <c r="B81" t="s">
        <v>48</v>
      </c>
      <c r="C81">
        <v>1</v>
      </c>
      <c r="D81">
        <v>1</v>
      </c>
      <c r="E81">
        <v>1</v>
      </c>
      <c r="F81">
        <v>48.065368900000003</v>
      </c>
      <c r="G81">
        <v>127.37322760000001</v>
      </c>
      <c r="H81">
        <v>19.999999999290001</v>
      </c>
      <c r="I81">
        <v>1.9999999999290002E-2</v>
      </c>
      <c r="J81">
        <v>1.9999999999290002E-5</v>
      </c>
      <c r="K81">
        <v>4.4092399998434721E-2</v>
      </c>
      <c r="L81">
        <v>1.23E-2</v>
      </c>
      <c r="M81">
        <v>3.2</v>
      </c>
      <c r="N81">
        <v>10.080371233277278</v>
      </c>
      <c r="O81">
        <v>0.25186145377015484</v>
      </c>
      <c r="P81">
        <v>6.8413557525043736</v>
      </c>
      <c r="Q81" s="4">
        <f t="shared" si="3"/>
        <v>17.37704361136111</v>
      </c>
      <c r="R81" s="4">
        <f t="shared" si="4"/>
        <v>114.24256959029441</v>
      </c>
      <c r="S81" s="4">
        <f t="shared" si="5"/>
        <v>274.55556258181787</v>
      </c>
      <c r="T81" s="4">
        <f t="shared" si="6"/>
        <v>727.57224084181735</v>
      </c>
      <c r="U81">
        <v>39.200000000000003</v>
      </c>
      <c r="V81">
        <v>0.58571428571428563</v>
      </c>
      <c r="W81">
        <v>0</v>
      </c>
    </row>
    <row r="82" spans="1:23" x14ac:dyDescent="0.25">
      <c r="A82" t="s">
        <v>49</v>
      </c>
      <c r="B82" t="s">
        <v>50</v>
      </c>
      <c r="C82">
        <v>1</v>
      </c>
      <c r="D82">
        <v>1</v>
      </c>
      <c r="E82">
        <v>1</v>
      </c>
      <c r="F82">
        <v>127.5414564</v>
      </c>
      <c r="G82">
        <v>337.98485950000003</v>
      </c>
      <c r="H82">
        <v>53.070000008040005</v>
      </c>
      <c r="I82">
        <v>5.3070000008040005E-2</v>
      </c>
      <c r="J82">
        <v>5.3070000008040008E-5</v>
      </c>
      <c r="K82">
        <v>0.11699918341772515</v>
      </c>
      <c r="L82">
        <v>1.2E-2</v>
      </c>
      <c r="M82">
        <v>3.1</v>
      </c>
      <c r="N82">
        <v>14.997604075732943</v>
      </c>
      <c r="O82">
        <v>4.4008721087089593E-2</v>
      </c>
      <c r="P82">
        <v>4.307310756443238</v>
      </c>
      <c r="Q82" s="4">
        <f t="shared" si="3"/>
        <v>10.940569321365825</v>
      </c>
      <c r="R82" s="4">
        <f t="shared" si="4"/>
        <v>19.962043838434557</v>
      </c>
      <c r="S82" s="4">
        <f t="shared" si="5"/>
        <v>47.974150056319537</v>
      </c>
      <c r="T82" s="4">
        <f t="shared" si="6"/>
        <v>127.13149764924677</v>
      </c>
      <c r="U82">
        <v>54.3</v>
      </c>
      <c r="V82">
        <v>0.22500000000000001</v>
      </c>
      <c r="W82">
        <v>0</v>
      </c>
    </row>
    <row r="83" spans="1:23" x14ac:dyDescent="0.25">
      <c r="A83" t="s">
        <v>51</v>
      </c>
      <c r="B83" t="s">
        <v>52</v>
      </c>
      <c r="C83">
        <v>1</v>
      </c>
      <c r="D83">
        <v>1</v>
      </c>
      <c r="E83">
        <v>1</v>
      </c>
      <c r="F83">
        <v>476.02739730000002</v>
      </c>
      <c r="G83">
        <v>1261.4726029999999</v>
      </c>
      <c r="H83">
        <v>198.07500001653005</v>
      </c>
      <c r="I83">
        <v>0.19807500001653006</v>
      </c>
      <c r="J83">
        <v>1.9807500001653005E-4</v>
      </c>
      <c r="K83">
        <v>0.43668010653644246</v>
      </c>
      <c r="L83">
        <v>1.24E-2</v>
      </c>
      <c r="M83">
        <v>3.2</v>
      </c>
      <c r="N83">
        <v>20.585669387454402</v>
      </c>
      <c r="O83">
        <v>4.2411938413157834E-3</v>
      </c>
      <c r="P83">
        <v>1.9044529608533411</v>
      </c>
      <c r="Q83" s="4">
        <f t="shared" si="3"/>
        <v>4.8373105205674864</v>
      </c>
      <c r="R83" s="4">
        <f t="shared" si="4"/>
        <v>1.923775453962943</v>
      </c>
      <c r="S83" s="4">
        <f t="shared" si="5"/>
        <v>4.6233488439388202</v>
      </c>
      <c r="T83" s="4">
        <f t="shared" si="6"/>
        <v>12.251874436437873</v>
      </c>
      <c r="U83">
        <v>20.9</v>
      </c>
      <c r="V83">
        <v>0.19500000000000001</v>
      </c>
      <c r="W83">
        <v>-0.35</v>
      </c>
    </row>
    <row r="84" spans="1:23" x14ac:dyDescent="0.25">
      <c r="A84" t="s">
        <v>53</v>
      </c>
      <c r="B84" t="s">
        <v>54</v>
      </c>
      <c r="C84">
        <v>1</v>
      </c>
      <c r="D84">
        <v>2</v>
      </c>
      <c r="E84">
        <v>2</v>
      </c>
      <c r="F84">
        <v>476.02739730000002</v>
      </c>
      <c r="G84">
        <v>1261.4726029999999</v>
      </c>
      <c r="H84">
        <v>198.07499999999999</v>
      </c>
      <c r="I84">
        <v>0.198075</v>
      </c>
      <c r="J84">
        <v>1.98075E-4</v>
      </c>
      <c r="K84">
        <v>0.43668010699999998</v>
      </c>
      <c r="L84">
        <v>1.2E-2</v>
      </c>
      <c r="M84">
        <v>2.95</v>
      </c>
      <c r="N84">
        <v>26.897463590000001</v>
      </c>
      <c r="O84">
        <v>3.8588377440321391E-2</v>
      </c>
      <c r="P84">
        <v>4.6525262861153562</v>
      </c>
      <c r="Q84" s="4">
        <f t="shared" si="3"/>
        <v>6.409742519548268</v>
      </c>
      <c r="R84" s="4">
        <f t="shared" si="4"/>
        <v>2.8797909952860077</v>
      </c>
      <c r="S84" s="4">
        <f t="shared" si="5"/>
        <v>6.9209108274116984</v>
      </c>
      <c r="T84" s="4">
        <f t="shared" si="6"/>
        <v>18.340413692641</v>
      </c>
      <c r="U84">
        <v>41</v>
      </c>
      <c r="V84">
        <v>0.17</v>
      </c>
      <c r="W84">
        <v>0</v>
      </c>
    </row>
    <row r="85" spans="1:23" x14ac:dyDescent="0.25">
      <c r="A85" t="s">
        <v>55</v>
      </c>
      <c r="B85" t="s">
        <v>56</v>
      </c>
      <c r="C85">
        <v>1</v>
      </c>
      <c r="D85">
        <v>1</v>
      </c>
      <c r="E85">
        <v>1</v>
      </c>
      <c r="F85">
        <v>32.684450849999998</v>
      </c>
      <c r="G85">
        <v>86.613794760000005</v>
      </c>
      <c r="H85">
        <v>13.6</v>
      </c>
      <c r="I85">
        <v>1.3599999999999999E-2</v>
      </c>
      <c r="J85">
        <v>1.36E-5</v>
      </c>
      <c r="K85">
        <v>2.9982832000000001E-2</v>
      </c>
      <c r="L85">
        <v>1.2999999999999999E-2</v>
      </c>
      <c r="M85">
        <v>3</v>
      </c>
      <c r="N85">
        <v>10.15153817</v>
      </c>
      <c r="O85">
        <v>5.8918280589254329E-2</v>
      </c>
      <c r="P85">
        <v>5.00599724669864</v>
      </c>
      <c r="Q85" s="4">
        <f t="shared" si="3"/>
        <v>12.715233006614545</v>
      </c>
      <c r="R85" s="4">
        <f t="shared" si="4"/>
        <v>26.724914311425248</v>
      </c>
      <c r="S85" s="4">
        <f t="shared" si="5"/>
        <v>64.227143262257258</v>
      </c>
      <c r="T85" s="4">
        <f t="shared" si="6"/>
        <v>170.20192964498173</v>
      </c>
      <c r="U85">
        <v>152</v>
      </c>
      <c r="V85">
        <v>9.6000000000000002E-2</v>
      </c>
      <c r="W85">
        <v>0.09</v>
      </c>
    </row>
    <row r="86" spans="1:23" x14ac:dyDescent="0.25">
      <c r="A86" t="s">
        <v>57</v>
      </c>
      <c r="B86" t="s">
        <v>58</v>
      </c>
      <c r="C86">
        <v>1</v>
      </c>
      <c r="D86">
        <v>2</v>
      </c>
      <c r="E86">
        <v>2</v>
      </c>
      <c r="F86">
        <v>290.55515500000001</v>
      </c>
      <c r="G86">
        <v>769.97116089999997</v>
      </c>
      <c r="H86">
        <v>120.9</v>
      </c>
      <c r="I86">
        <v>0.12089999999999999</v>
      </c>
      <c r="J86">
        <v>1.209E-4</v>
      </c>
      <c r="K86">
        <v>0.26653855799999998</v>
      </c>
      <c r="L86">
        <v>4.0000000000000001E-3</v>
      </c>
      <c r="M86">
        <v>3.1</v>
      </c>
      <c r="N86">
        <v>21.719413710000001</v>
      </c>
      <c r="O86">
        <v>0.82530599124171045</v>
      </c>
      <c r="P86">
        <v>15.804692329076595</v>
      </c>
      <c r="Q86" s="4">
        <f t="shared" si="3"/>
        <v>24.033668644001896</v>
      </c>
      <c r="R86" s="4">
        <f t="shared" si="4"/>
        <v>76.313646473159338</v>
      </c>
      <c r="S86" s="4">
        <f t="shared" si="5"/>
        <v>183.40217849834016</v>
      </c>
      <c r="T86" s="4">
        <f t="shared" si="6"/>
        <v>486.01577302060144</v>
      </c>
      <c r="U86">
        <v>72.900000000000006</v>
      </c>
      <c r="V86">
        <v>0.4</v>
      </c>
      <c r="W86">
        <v>0</v>
      </c>
    </row>
    <row r="87" spans="1:23" x14ac:dyDescent="0.25">
      <c r="A87" t="s">
        <v>59</v>
      </c>
      <c r="B87" t="s">
        <v>60</v>
      </c>
      <c r="C87">
        <v>1</v>
      </c>
      <c r="D87">
        <v>2</v>
      </c>
      <c r="E87">
        <v>2</v>
      </c>
      <c r="F87">
        <v>476.02739730000002</v>
      </c>
      <c r="G87">
        <v>1261.4726029999999</v>
      </c>
      <c r="H87">
        <v>198.07499999999999</v>
      </c>
      <c r="I87">
        <v>0.198075</v>
      </c>
      <c r="J87">
        <v>1.98075E-4</v>
      </c>
      <c r="K87">
        <v>0.43668010699999998</v>
      </c>
      <c r="L87">
        <v>1.6799999999999999E-2</v>
      </c>
      <c r="M87">
        <v>3.1</v>
      </c>
      <c r="N87">
        <v>20.577550299999999</v>
      </c>
      <c r="O87">
        <v>1.4079247080738808</v>
      </c>
      <c r="P87">
        <v>11.818575229523548</v>
      </c>
      <c r="Q87" s="4">
        <f t="shared" si="3"/>
        <v>13.1116639999486</v>
      </c>
      <c r="R87" s="4">
        <f t="shared" si="4"/>
        <v>48.983351554494149</v>
      </c>
      <c r="S87" s="4">
        <f t="shared" si="5"/>
        <v>117.72014312543655</v>
      </c>
      <c r="T87" s="4">
        <f t="shared" si="6"/>
        <v>311.95837928240684</v>
      </c>
      <c r="U87">
        <v>263.2</v>
      </c>
      <c r="V87">
        <v>7.0000000000000007E-2</v>
      </c>
      <c r="W87">
        <v>0.27</v>
      </c>
    </row>
    <row r="88" spans="1:23" x14ac:dyDescent="0.25">
      <c r="A88" t="s">
        <v>61</v>
      </c>
      <c r="B88" t="s">
        <v>62</v>
      </c>
      <c r="C88">
        <v>1</v>
      </c>
      <c r="D88">
        <v>1</v>
      </c>
      <c r="E88">
        <v>1</v>
      </c>
      <c r="F88">
        <v>16.822879109999999</v>
      </c>
      <c r="G88">
        <v>44.580629649999999</v>
      </c>
      <c r="H88">
        <v>6.9999999979999998</v>
      </c>
      <c r="I88">
        <v>7.0000000000000001E-3</v>
      </c>
      <c r="J88">
        <v>6.9999999999999999E-6</v>
      </c>
      <c r="K88">
        <v>1.5432339999999999E-2</v>
      </c>
      <c r="L88">
        <v>1.2500000000000001E-2</v>
      </c>
      <c r="M88">
        <v>3</v>
      </c>
      <c r="N88">
        <v>8.2425705990000004</v>
      </c>
      <c r="O88">
        <v>2.5441272143766646E-3</v>
      </c>
      <c r="P88">
        <v>1.7793633426790521</v>
      </c>
      <c r="Q88" s="4">
        <f t="shared" si="3"/>
        <v>4.5195828904047923</v>
      </c>
      <c r="R88" s="4">
        <f t="shared" si="4"/>
        <v>1.1539980651435007</v>
      </c>
      <c r="S88" s="4">
        <f t="shared" si="5"/>
        <v>2.773367135648884</v>
      </c>
      <c r="T88" s="4">
        <f t="shared" si="6"/>
        <v>7.349422909469542</v>
      </c>
      <c r="U88">
        <v>33.700000000000003</v>
      </c>
      <c r="V88">
        <v>0.32</v>
      </c>
      <c r="W88">
        <v>0.55000000000000004</v>
      </c>
    </row>
    <row r="89" spans="1:23" x14ac:dyDescent="0.25">
      <c r="A89" t="s">
        <v>63</v>
      </c>
      <c r="B89" t="s">
        <v>64</v>
      </c>
      <c r="C89">
        <v>1</v>
      </c>
      <c r="D89">
        <v>2</v>
      </c>
      <c r="E89">
        <v>2</v>
      </c>
      <c r="F89">
        <v>127.5414564</v>
      </c>
      <c r="G89">
        <v>337.98485950000003</v>
      </c>
      <c r="H89">
        <v>53.070000010000001</v>
      </c>
      <c r="I89">
        <v>5.3069999999999999E-2</v>
      </c>
      <c r="J89">
        <v>5.3100000000000003E-5</v>
      </c>
      <c r="K89">
        <v>0.11699918300000001</v>
      </c>
      <c r="L89">
        <v>1.2E-2</v>
      </c>
      <c r="M89">
        <v>3.1</v>
      </c>
      <c r="N89">
        <v>14.99760408</v>
      </c>
      <c r="O89">
        <v>0.60670467650071125</v>
      </c>
      <c r="P89">
        <v>10.0407705456392</v>
      </c>
      <c r="Q89" s="4">
        <f t="shared" si="3"/>
        <v>15.305790192126775</v>
      </c>
      <c r="R89" s="4">
        <f t="shared" si="4"/>
        <v>56.524156366413003</v>
      </c>
      <c r="S89" s="4">
        <f t="shared" si="5"/>
        <v>135.84272138046862</v>
      </c>
      <c r="T89" s="4">
        <f t="shared" si="6"/>
        <v>359.98321165824183</v>
      </c>
      <c r="U89">
        <v>42.5</v>
      </c>
      <c r="V89">
        <v>0.47</v>
      </c>
      <c r="W89">
        <v>0.05</v>
      </c>
    </row>
    <row r="90" spans="1:23" x14ac:dyDescent="0.25">
      <c r="A90" t="s">
        <v>65</v>
      </c>
      <c r="B90" t="s">
        <v>66</v>
      </c>
      <c r="C90">
        <v>1</v>
      </c>
      <c r="D90">
        <v>3</v>
      </c>
      <c r="E90">
        <v>3</v>
      </c>
      <c r="F90">
        <v>350</v>
      </c>
      <c r="G90">
        <v>927.5</v>
      </c>
      <c r="H90">
        <v>145.63499999999999</v>
      </c>
      <c r="I90">
        <v>0.14563499999999999</v>
      </c>
      <c r="J90">
        <v>1.45635E-4</v>
      </c>
      <c r="K90">
        <v>0.321069834</v>
      </c>
      <c r="L90">
        <v>1.2699999999999999E-2</v>
      </c>
      <c r="M90">
        <v>3.1</v>
      </c>
      <c r="N90">
        <v>20.394068969999999</v>
      </c>
      <c r="O90">
        <v>0.71421687962519242</v>
      </c>
      <c r="P90">
        <v>10.391543026968289</v>
      </c>
      <c r="Q90" s="4">
        <f t="shared" si="3"/>
        <v>10.604250944938064</v>
      </c>
      <c r="R90" s="4">
        <f t="shared" si="4"/>
        <v>19.177487587553092</v>
      </c>
      <c r="S90" s="4">
        <f t="shared" si="5"/>
        <v>46.088650775181669</v>
      </c>
      <c r="T90" s="4">
        <f t="shared" si="6"/>
        <v>122.13492455423142</v>
      </c>
      <c r="U90">
        <v>58.5</v>
      </c>
      <c r="V90">
        <v>0.2</v>
      </c>
      <c r="W90">
        <v>0</v>
      </c>
    </row>
    <row r="91" spans="1:23" x14ac:dyDescent="0.25">
      <c r="A91" t="s">
        <v>67</v>
      </c>
      <c r="B91" t="s">
        <v>68</v>
      </c>
      <c r="C91">
        <v>1</v>
      </c>
      <c r="D91">
        <v>1</v>
      </c>
      <c r="E91">
        <v>1</v>
      </c>
      <c r="F91">
        <v>24.46</v>
      </c>
      <c r="G91">
        <v>64.84</v>
      </c>
      <c r="H91">
        <v>10.177806</v>
      </c>
      <c r="I91">
        <v>1.0177805999999999E-2</v>
      </c>
      <c r="J91">
        <v>1.0200000000000001E-5</v>
      </c>
      <c r="K91">
        <v>2.2438195000000001E-2</v>
      </c>
      <c r="L91">
        <v>1.29E-2</v>
      </c>
      <c r="M91">
        <v>3.05</v>
      </c>
      <c r="N91">
        <v>8.9095793360000002</v>
      </c>
      <c r="O91">
        <v>1.3890644189659731E-2</v>
      </c>
      <c r="P91">
        <v>2.9973655002853401</v>
      </c>
      <c r="Q91" s="4">
        <f t="shared" si="3"/>
        <v>7.6133083707247637</v>
      </c>
      <c r="R91" s="4">
        <f t="shared" si="4"/>
        <v>6.3006977119230214</v>
      </c>
      <c r="S91" s="4">
        <f t="shared" si="5"/>
        <v>15.142267993085847</v>
      </c>
      <c r="T91" s="4">
        <f t="shared" si="6"/>
        <v>40.127010181677491</v>
      </c>
      <c r="U91">
        <v>42</v>
      </c>
      <c r="V91">
        <v>0.2</v>
      </c>
      <c r="W91">
        <v>0</v>
      </c>
    </row>
    <row r="92" spans="1:23" x14ac:dyDescent="0.25">
      <c r="A92" t="s">
        <v>69</v>
      </c>
      <c r="B92" t="s">
        <v>70</v>
      </c>
      <c r="C92">
        <v>1</v>
      </c>
      <c r="D92">
        <v>1</v>
      </c>
      <c r="E92">
        <v>1</v>
      </c>
      <c r="F92">
        <v>48.065368900000003</v>
      </c>
      <c r="G92">
        <v>127.37322760000001</v>
      </c>
      <c r="H92">
        <v>20</v>
      </c>
      <c r="I92">
        <v>0.02</v>
      </c>
      <c r="J92">
        <v>2.0000000000000002E-5</v>
      </c>
      <c r="K92">
        <v>4.4092399999999997E-2</v>
      </c>
      <c r="L92">
        <v>0.01</v>
      </c>
      <c r="M92">
        <v>2.9</v>
      </c>
      <c r="N92">
        <v>13.749477840000001</v>
      </c>
      <c r="O92">
        <v>9.5162548772999445E-3</v>
      </c>
      <c r="P92">
        <v>3.1903079158645773</v>
      </c>
      <c r="Q92" s="4">
        <f t="shared" si="3"/>
        <v>8.1033821062960261</v>
      </c>
      <c r="R92" s="4">
        <f t="shared" si="4"/>
        <v>4.3165057367255786</v>
      </c>
      <c r="S92" s="4">
        <f t="shared" si="5"/>
        <v>10.373722030102327</v>
      </c>
      <c r="T92" s="4">
        <f t="shared" si="6"/>
        <v>27.490363379771164</v>
      </c>
      <c r="U92">
        <v>37.700000000000003</v>
      </c>
      <c r="V92">
        <v>0.24199999999999999</v>
      </c>
      <c r="W92">
        <v>0</v>
      </c>
    </row>
    <row r="93" spans="1:23" x14ac:dyDescent="0.25">
      <c r="A93" t="s">
        <v>71</v>
      </c>
      <c r="B93" t="s">
        <v>72</v>
      </c>
      <c r="C93">
        <v>1</v>
      </c>
      <c r="D93">
        <v>1</v>
      </c>
      <c r="E93">
        <v>1</v>
      </c>
      <c r="F93">
        <v>2.6676279740000002</v>
      </c>
      <c r="G93">
        <v>7.0692141299999998</v>
      </c>
      <c r="H93">
        <v>1.1099999999814001</v>
      </c>
      <c r="I93">
        <v>1.1099999999814002E-3</v>
      </c>
      <c r="J93">
        <v>1.1099999999814002E-6</v>
      </c>
      <c r="K93">
        <v>2.447128199958994E-3</v>
      </c>
      <c r="L93">
        <v>1.0999999999999999E-2</v>
      </c>
      <c r="M93">
        <v>3.01</v>
      </c>
      <c r="N93">
        <v>4.6318829138707471</v>
      </c>
      <c r="O93">
        <v>3.663653069333461E-4</v>
      </c>
      <c r="P93">
        <v>0.97033805761290604</v>
      </c>
      <c r="Q93" s="4">
        <f t="shared" si="3"/>
        <v>2.4646586663367813</v>
      </c>
      <c r="R93" s="4">
        <f t="shared" si="4"/>
        <v>0.16618070548817759</v>
      </c>
      <c r="S93" s="4">
        <f t="shared" si="5"/>
        <v>0.39937684568175341</v>
      </c>
      <c r="T93" s="4">
        <f t="shared" si="6"/>
        <v>1.0583486410566465</v>
      </c>
      <c r="U93">
        <v>9</v>
      </c>
      <c r="V93">
        <v>0.32</v>
      </c>
      <c r="W93">
        <v>0</v>
      </c>
    </row>
    <row r="94" spans="1:23" x14ac:dyDescent="0.25">
      <c r="A94" t="s">
        <v>73</v>
      </c>
      <c r="B94" t="s">
        <v>74</v>
      </c>
      <c r="C94">
        <v>1</v>
      </c>
      <c r="D94">
        <v>2</v>
      </c>
      <c r="E94">
        <v>2</v>
      </c>
      <c r="F94">
        <v>127.5414564</v>
      </c>
      <c r="G94">
        <v>337.98485950000003</v>
      </c>
      <c r="H94">
        <v>53.070000010000001</v>
      </c>
      <c r="I94">
        <v>5.3069999999999999E-2</v>
      </c>
      <c r="J94">
        <v>5.3100000000000003E-5</v>
      </c>
      <c r="K94">
        <v>0.11699918300000001</v>
      </c>
      <c r="L94">
        <v>1.4E-2</v>
      </c>
      <c r="M94">
        <v>2.8</v>
      </c>
      <c r="N94">
        <v>18.972067509999999</v>
      </c>
      <c r="O94">
        <v>0.29935257803298476</v>
      </c>
      <c r="P94">
        <v>10.447088938216606</v>
      </c>
      <c r="Q94" s="4">
        <f t="shared" si="3"/>
        <v>16.392314152335945</v>
      </c>
      <c r="R94" s="4">
        <f t="shared" si="4"/>
        <v>35.246888740520156</v>
      </c>
      <c r="S94" s="4">
        <f t="shared" si="5"/>
        <v>84.707735497524993</v>
      </c>
      <c r="T94" s="4">
        <f t="shared" si="6"/>
        <v>224.47549906844122</v>
      </c>
      <c r="U94">
        <v>43</v>
      </c>
      <c r="V94">
        <v>0.48</v>
      </c>
      <c r="W94">
        <v>0</v>
      </c>
    </row>
    <row r="95" spans="1:23" x14ac:dyDescent="0.25">
      <c r="A95" t="s">
        <v>75</v>
      </c>
      <c r="B95" t="s">
        <v>76</v>
      </c>
      <c r="C95">
        <v>1</v>
      </c>
      <c r="D95">
        <v>2</v>
      </c>
      <c r="E95">
        <v>2</v>
      </c>
      <c r="F95">
        <v>127.5414564</v>
      </c>
      <c r="G95">
        <v>337.98485950000003</v>
      </c>
      <c r="H95">
        <v>53.070000010000001</v>
      </c>
      <c r="I95">
        <v>5.3069999999999999E-2</v>
      </c>
      <c r="J95">
        <v>5.3100000000000003E-5</v>
      </c>
      <c r="K95">
        <v>0.11699918300000001</v>
      </c>
      <c r="L95">
        <v>2.5000000000000001E-3</v>
      </c>
      <c r="M95">
        <v>3.1</v>
      </c>
      <c r="N95">
        <v>24.875803770000001</v>
      </c>
      <c r="O95">
        <v>9.8126080995731169E-2</v>
      </c>
      <c r="P95">
        <v>9.2533452863121504</v>
      </c>
      <c r="Q95" s="4">
        <f t="shared" si="3"/>
        <v>12.379867895182729</v>
      </c>
      <c r="R95" s="4">
        <f t="shared" si="4"/>
        <v>6.100418660250404</v>
      </c>
      <c r="S95" s="4">
        <f t="shared" si="5"/>
        <v>14.660943667989436</v>
      </c>
      <c r="T95" s="4">
        <f t="shared" si="6"/>
        <v>38.851500720172005</v>
      </c>
      <c r="U95">
        <v>122</v>
      </c>
      <c r="V95">
        <v>0.107</v>
      </c>
      <c r="W95">
        <v>0</v>
      </c>
    </row>
    <row r="96" spans="1:23" x14ac:dyDescent="0.25">
      <c r="A96" t="s">
        <v>77</v>
      </c>
      <c r="B96" t="s">
        <v>78</v>
      </c>
      <c r="C96">
        <v>1</v>
      </c>
      <c r="D96">
        <v>3</v>
      </c>
      <c r="E96">
        <v>3</v>
      </c>
      <c r="F96">
        <v>9202.4770129999997</v>
      </c>
      <c r="G96">
        <v>24386.56408</v>
      </c>
      <c r="H96">
        <v>3829.1506850000001</v>
      </c>
      <c r="I96">
        <v>3.8291506850000001</v>
      </c>
      <c r="J96">
        <v>3.8291509999999998E-3</v>
      </c>
      <c r="K96">
        <v>8.4418221829999993</v>
      </c>
      <c r="L96">
        <v>3.5000000000000003E-2</v>
      </c>
      <c r="M96">
        <v>2.9</v>
      </c>
      <c r="N96">
        <v>54.650995010000003</v>
      </c>
      <c r="O96">
        <v>196.90530677965444</v>
      </c>
      <c r="P96">
        <v>63.742170359821344</v>
      </c>
      <c r="Q96" s="4">
        <f t="shared" si="3"/>
        <v>82.001764801269218</v>
      </c>
      <c r="R96" s="4">
        <f t="shared" si="4"/>
        <v>12420.964538856002</v>
      </c>
      <c r="S96" s="4">
        <f t="shared" si="5"/>
        <v>29850.912133756312</v>
      </c>
      <c r="T96" s="4">
        <f t="shared" si="6"/>
        <v>79104.917154454219</v>
      </c>
      <c r="U96">
        <v>208.40700000000004</v>
      </c>
      <c r="V96">
        <v>0.5</v>
      </c>
      <c r="W96">
        <v>0</v>
      </c>
    </row>
    <row r="97" spans="1:23" x14ac:dyDescent="0.25">
      <c r="A97" t="s">
        <v>79</v>
      </c>
      <c r="B97" t="s">
        <v>80</v>
      </c>
      <c r="C97">
        <v>1</v>
      </c>
      <c r="D97">
        <v>2</v>
      </c>
      <c r="E97">
        <v>2</v>
      </c>
      <c r="F97">
        <v>476.02739730000002</v>
      </c>
      <c r="G97">
        <v>1261.4726029999999</v>
      </c>
      <c r="H97">
        <v>198.07499999999999</v>
      </c>
      <c r="I97">
        <v>0.198075</v>
      </c>
      <c r="J97">
        <v>1.98075E-4</v>
      </c>
      <c r="K97">
        <v>0.43668010699999998</v>
      </c>
      <c r="L97">
        <v>3.3999999999999998E-3</v>
      </c>
      <c r="M97">
        <v>3.2850000000000001</v>
      </c>
      <c r="N97">
        <v>20.58566939</v>
      </c>
      <c r="O97">
        <v>8.6876313928669013E-2</v>
      </c>
      <c r="P97">
        <v>6.7972274277636542</v>
      </c>
      <c r="Q97" s="4">
        <f t="shared" si="3"/>
        <v>9.3644774858766162</v>
      </c>
      <c r="R97" s="4">
        <f t="shared" si="4"/>
        <v>5.2820484235802985</v>
      </c>
      <c r="S97" s="4">
        <f t="shared" si="5"/>
        <v>12.694180301803168</v>
      </c>
      <c r="T97" s="4">
        <f t="shared" si="6"/>
        <v>33.639577799778394</v>
      </c>
      <c r="U97">
        <v>59.9</v>
      </c>
      <c r="V97">
        <v>0.17</v>
      </c>
      <c r="W97">
        <v>0</v>
      </c>
    </row>
    <row r="98" spans="1:23" x14ac:dyDescent="0.25">
      <c r="A98" t="s">
        <v>81</v>
      </c>
      <c r="B98" t="s">
        <v>82</v>
      </c>
      <c r="C98">
        <v>1</v>
      </c>
      <c r="D98">
        <v>2</v>
      </c>
      <c r="E98">
        <v>2</v>
      </c>
      <c r="F98">
        <v>127.5414564</v>
      </c>
      <c r="G98">
        <v>337.98485950000003</v>
      </c>
      <c r="H98">
        <v>53.070000010000001</v>
      </c>
      <c r="I98">
        <v>5.3069999999999999E-2</v>
      </c>
      <c r="J98">
        <v>5.3100000000000003E-5</v>
      </c>
      <c r="K98">
        <v>0.11699918300000001</v>
      </c>
      <c r="L98">
        <v>1.4999999999999999E-2</v>
      </c>
      <c r="M98">
        <v>3</v>
      </c>
      <c r="N98">
        <v>15.23769499</v>
      </c>
      <c r="O98">
        <v>0.9431020395102423</v>
      </c>
      <c r="P98">
        <v>12.028482593371407</v>
      </c>
      <c r="Q98" s="4">
        <f t="shared" si="3"/>
        <v>16.571529440783326</v>
      </c>
      <c r="R98" s="4">
        <f t="shared" si="4"/>
        <v>68.262004523277866</v>
      </c>
      <c r="S98" s="4">
        <f t="shared" si="5"/>
        <v>164.05192146906481</v>
      </c>
      <c r="T98" s="4">
        <f t="shared" si="6"/>
        <v>434.73759189302172</v>
      </c>
      <c r="U98">
        <v>106</v>
      </c>
      <c r="V98">
        <v>0.17</v>
      </c>
      <c r="W98">
        <v>0</v>
      </c>
    </row>
    <row r="99" spans="1:23" x14ac:dyDescent="0.25">
      <c r="A99" t="s">
        <v>83</v>
      </c>
      <c r="B99" t="s">
        <v>84</v>
      </c>
      <c r="C99">
        <v>1</v>
      </c>
      <c r="D99">
        <v>7</v>
      </c>
      <c r="E99">
        <v>7</v>
      </c>
      <c r="F99">
        <v>1355.00938</v>
      </c>
      <c r="G99">
        <v>3590.52486</v>
      </c>
      <c r="H99">
        <v>563.81940299999997</v>
      </c>
      <c r="I99">
        <v>0.563819403</v>
      </c>
      <c r="J99">
        <v>5.6381900000000002E-4</v>
      </c>
      <c r="K99">
        <v>1.243007532</v>
      </c>
      <c r="L99">
        <v>5.4000000000000003E-3</v>
      </c>
      <c r="M99">
        <v>3</v>
      </c>
      <c r="N99">
        <v>47.088561040000002</v>
      </c>
      <c r="O99">
        <v>44.926030931406785</v>
      </c>
      <c r="P99">
        <v>61.294729535488813</v>
      </c>
      <c r="Q99" s="4">
        <f t="shared" si="3"/>
        <v>30.666937476707659</v>
      </c>
      <c r="R99" s="4">
        <f t="shared" si="4"/>
        <v>155.741725881571</v>
      </c>
      <c r="S99" s="4">
        <f t="shared" si="5"/>
        <v>374.28917539430665</v>
      </c>
      <c r="T99" s="4">
        <f t="shared" si="6"/>
        <v>991.86631479491257</v>
      </c>
      <c r="U99">
        <v>280</v>
      </c>
      <c r="V99">
        <v>0.11600000000000001</v>
      </c>
      <c r="W99">
        <v>0</v>
      </c>
    </row>
    <row r="100" spans="1:23" x14ac:dyDescent="0.25">
      <c r="A100" t="s">
        <v>85</v>
      </c>
      <c r="B100" t="s">
        <v>86</v>
      </c>
      <c r="C100">
        <v>1</v>
      </c>
      <c r="D100">
        <v>7</v>
      </c>
      <c r="E100">
        <v>7</v>
      </c>
      <c r="F100">
        <v>1355.00938</v>
      </c>
      <c r="G100">
        <v>3590.52486</v>
      </c>
      <c r="H100">
        <v>563.81940299999997</v>
      </c>
      <c r="I100">
        <v>0.563819403</v>
      </c>
      <c r="J100">
        <v>5.6381900000000002E-4</v>
      </c>
      <c r="K100">
        <v>1.243007532</v>
      </c>
      <c r="L100">
        <v>5.2399999999999999E-3</v>
      </c>
      <c r="M100">
        <v>3.141</v>
      </c>
      <c r="N100">
        <v>39.992326849999998</v>
      </c>
      <c r="O100">
        <v>167.00697029103529</v>
      </c>
      <c r="P100">
        <v>74.940613492284385</v>
      </c>
      <c r="Q100" s="4">
        <f t="shared" si="3"/>
        <v>39.472624345596607</v>
      </c>
      <c r="R100" s="4">
        <f t="shared" si="4"/>
        <v>541.12428843966347</v>
      </c>
      <c r="S100" s="4">
        <f t="shared" si="5"/>
        <v>1300.4669272762881</v>
      </c>
      <c r="T100" s="4">
        <f t="shared" si="6"/>
        <v>3446.2373572821634</v>
      </c>
      <c r="U100">
        <v>309.24444444444441</v>
      </c>
      <c r="V100">
        <v>0.13655555555555554</v>
      </c>
      <c r="W100">
        <v>0</v>
      </c>
    </row>
    <row r="101" spans="1:23" x14ac:dyDescent="0.25">
      <c r="A101" t="s">
        <v>87</v>
      </c>
      <c r="B101" t="s">
        <v>88</v>
      </c>
      <c r="C101">
        <v>1</v>
      </c>
      <c r="D101">
        <v>2</v>
      </c>
      <c r="E101">
        <v>2</v>
      </c>
      <c r="F101">
        <v>127.5414564</v>
      </c>
      <c r="G101">
        <v>337.98485950000003</v>
      </c>
      <c r="H101">
        <v>53.070000010000001</v>
      </c>
      <c r="I101">
        <v>5.3069999999999999E-2</v>
      </c>
      <c r="J101">
        <v>5.3100000000000003E-5</v>
      </c>
      <c r="K101">
        <v>0.11699918300000001</v>
      </c>
      <c r="L101">
        <v>6.0000000000000001E-3</v>
      </c>
      <c r="M101">
        <v>3.1</v>
      </c>
      <c r="N101">
        <v>18.755486529999999</v>
      </c>
      <c r="O101">
        <v>6.2912282343791127E-3</v>
      </c>
      <c r="P101">
        <v>2.8760435633690284</v>
      </c>
      <c r="Q101" s="4">
        <f t="shared" si="3"/>
        <v>3.835052053150831</v>
      </c>
      <c r="R101" s="4">
        <f t="shared" si="4"/>
        <v>0.38711693063814107</v>
      </c>
      <c r="S101" s="4">
        <f t="shared" si="5"/>
        <v>0.93034590396092542</v>
      </c>
      <c r="T101" s="4">
        <f t="shared" si="6"/>
        <v>2.4654166454964521</v>
      </c>
      <c r="U101">
        <v>40.299999999999997</v>
      </c>
      <c r="V101">
        <v>0.1</v>
      </c>
      <c r="W101">
        <v>0</v>
      </c>
    </row>
    <row r="102" spans="1:23" x14ac:dyDescent="0.25">
      <c r="A102" t="s">
        <v>89</v>
      </c>
      <c r="B102" t="s">
        <v>90</v>
      </c>
      <c r="C102">
        <v>1</v>
      </c>
      <c r="D102">
        <v>8</v>
      </c>
      <c r="E102">
        <v>8</v>
      </c>
      <c r="F102">
        <v>1466</v>
      </c>
      <c r="G102">
        <v>5263</v>
      </c>
      <c r="H102">
        <v>610.00260000000003</v>
      </c>
      <c r="I102">
        <v>0.61000259999999995</v>
      </c>
      <c r="J102">
        <v>6.1000300000000002E-4</v>
      </c>
      <c r="K102">
        <v>1.3448239319999999</v>
      </c>
      <c r="L102">
        <v>0.05</v>
      </c>
      <c r="M102">
        <v>3.2</v>
      </c>
      <c r="N102">
        <v>53.322391670000002</v>
      </c>
      <c r="O102">
        <v>192.77360905797298</v>
      </c>
      <c r="P102">
        <v>35.157965087150338</v>
      </c>
      <c r="Q102" s="4">
        <f t="shared" si="3"/>
        <v>19.778570990273689</v>
      </c>
      <c r="R102" s="4">
        <f t="shared" si="4"/>
        <v>702.73845218637462</v>
      </c>
      <c r="S102" s="4">
        <f t="shared" si="5"/>
        <v>1688.8691472876103</v>
      </c>
      <c r="T102" s="4">
        <f t="shared" si="6"/>
        <v>4475.5032403121668</v>
      </c>
      <c r="U102">
        <v>114.3</v>
      </c>
      <c r="V102">
        <v>0.19</v>
      </c>
      <c r="W102">
        <v>0</v>
      </c>
    </row>
    <row r="103" spans="1:23" x14ac:dyDescent="0.25">
      <c r="A103" t="s">
        <v>91</v>
      </c>
      <c r="B103" t="s">
        <v>92</v>
      </c>
      <c r="C103">
        <v>1</v>
      </c>
      <c r="D103">
        <v>2</v>
      </c>
      <c r="E103">
        <v>2</v>
      </c>
      <c r="F103">
        <v>127.5414564</v>
      </c>
      <c r="G103">
        <v>337.98485950000003</v>
      </c>
      <c r="H103">
        <v>53.070000010000001</v>
      </c>
      <c r="I103">
        <v>5.3069999999999999E-2</v>
      </c>
      <c r="J103">
        <v>5.3100000000000003E-5</v>
      </c>
      <c r="K103">
        <v>0.11699918300000001</v>
      </c>
      <c r="L103">
        <v>1.2999999999999999E-2</v>
      </c>
      <c r="M103">
        <v>3</v>
      </c>
      <c r="N103">
        <v>15.982151569999999</v>
      </c>
      <c r="O103">
        <v>0.19756004126940679</v>
      </c>
      <c r="P103">
        <v>7.4927335296914102</v>
      </c>
      <c r="Q103" s="4">
        <f t="shared" si="3"/>
        <v>10.417060136609591</v>
      </c>
      <c r="R103" s="4">
        <f t="shared" si="4"/>
        <v>14.695313864375956</v>
      </c>
      <c r="S103" s="4">
        <f t="shared" si="5"/>
        <v>35.316784100879495</v>
      </c>
      <c r="T103" s="4">
        <f t="shared" si="6"/>
        <v>93.589477867330658</v>
      </c>
      <c r="U103">
        <v>60.2</v>
      </c>
      <c r="V103">
        <v>0.19</v>
      </c>
      <c r="W103">
        <v>0</v>
      </c>
    </row>
    <row r="104" spans="1:23" x14ac:dyDescent="0.25">
      <c r="A104" t="s">
        <v>93</v>
      </c>
      <c r="B104" t="s">
        <v>94</v>
      </c>
      <c r="C104">
        <v>1</v>
      </c>
      <c r="D104">
        <v>9</v>
      </c>
      <c r="E104">
        <v>9</v>
      </c>
      <c r="F104">
        <v>1513105530</v>
      </c>
      <c r="G104">
        <v>4009729654</v>
      </c>
      <c r="H104">
        <v>629603211</v>
      </c>
      <c r="I104">
        <v>629603.21100000001</v>
      </c>
      <c r="J104">
        <v>629.60321099999999</v>
      </c>
      <c r="K104">
        <v>1388035.831</v>
      </c>
      <c r="L104">
        <v>1.7000000000000001E-2</v>
      </c>
      <c r="M104">
        <v>3</v>
      </c>
      <c r="N104">
        <v>1465.5893920000001</v>
      </c>
      <c r="O104">
        <v>106837.91257608611</v>
      </c>
      <c r="P104">
        <v>558.23088387339669</v>
      </c>
      <c r="Q104" s="4">
        <f t="shared" si="3"/>
        <v>350.59191086314615</v>
      </c>
      <c r="R104" s="4">
        <f t="shared" si="4"/>
        <v>732579.22054167034</v>
      </c>
      <c r="S104" s="4">
        <f t="shared" si="5"/>
        <v>1760584.5242529928</v>
      </c>
      <c r="T104" s="4">
        <f t="shared" si="6"/>
        <v>4665548.989270431</v>
      </c>
      <c r="U104">
        <v>1584.96</v>
      </c>
      <c r="V104">
        <v>0.25</v>
      </c>
      <c r="W104">
        <v>0</v>
      </c>
    </row>
    <row r="105" spans="1:23" x14ac:dyDescent="0.25">
      <c r="A105" t="s">
        <v>95</v>
      </c>
      <c r="B105" t="s">
        <v>96</v>
      </c>
      <c r="C105">
        <v>1</v>
      </c>
      <c r="D105">
        <v>2</v>
      </c>
      <c r="E105">
        <v>2</v>
      </c>
      <c r="F105">
        <v>127.5414564</v>
      </c>
      <c r="G105">
        <v>337.98485950000003</v>
      </c>
      <c r="H105">
        <v>53.070000010000001</v>
      </c>
      <c r="I105">
        <v>5.3069999999999999E-2</v>
      </c>
      <c r="J105">
        <v>5.3100000000000003E-5</v>
      </c>
      <c r="K105">
        <v>0.11699918300000001</v>
      </c>
      <c r="L105">
        <v>0.01</v>
      </c>
      <c r="M105">
        <v>3</v>
      </c>
      <c r="N105">
        <v>15.782353730000001</v>
      </c>
      <c r="O105">
        <v>1.987138284806963</v>
      </c>
      <c r="P105">
        <v>17.652155015414586</v>
      </c>
      <c r="Q105" s="4">
        <f t="shared" si="3"/>
        <v>24.652617581394473</v>
      </c>
      <c r="R105" s="4">
        <f t="shared" si="4"/>
        <v>149.82666635756135</v>
      </c>
      <c r="S105" s="4">
        <f t="shared" si="5"/>
        <v>360.07369948945296</v>
      </c>
      <c r="T105" s="4">
        <f t="shared" si="6"/>
        <v>954.19530364705031</v>
      </c>
      <c r="U105">
        <v>136</v>
      </c>
      <c r="V105">
        <v>0.2</v>
      </c>
      <c r="W105">
        <v>0</v>
      </c>
    </row>
    <row r="106" spans="1:23" x14ac:dyDescent="0.25">
      <c r="A106" t="s">
        <v>97</v>
      </c>
      <c r="B106" t="s">
        <v>98</v>
      </c>
      <c r="C106">
        <v>1</v>
      </c>
      <c r="D106">
        <v>2</v>
      </c>
      <c r="E106">
        <v>2</v>
      </c>
      <c r="F106">
        <v>11007.69375</v>
      </c>
      <c r="G106">
        <v>29170.388439999999</v>
      </c>
      <c r="H106">
        <v>4580.3013689999998</v>
      </c>
      <c r="I106">
        <v>4.5803013689999998</v>
      </c>
      <c r="J106">
        <v>4.5803010000000002E-3</v>
      </c>
      <c r="K106">
        <v>10.097823999999999</v>
      </c>
      <c r="L106">
        <v>6.5000000000000002E-2</v>
      </c>
      <c r="M106">
        <v>3</v>
      </c>
      <c r="N106">
        <v>61.181673609999997</v>
      </c>
      <c r="O106">
        <v>0.88313661779726171</v>
      </c>
      <c r="P106">
        <v>7.2181607167311244</v>
      </c>
      <c r="Q106" s="4">
        <f t="shared" si="3"/>
        <v>12.452149355312054</v>
      </c>
      <c r="R106" s="4">
        <f t="shared" si="4"/>
        <v>125.50074965330823</v>
      </c>
      <c r="S106" s="4">
        <f t="shared" si="5"/>
        <v>301.61199147634761</v>
      </c>
      <c r="T106" s="4">
        <f t="shared" si="6"/>
        <v>799.27177741232117</v>
      </c>
      <c r="U106">
        <v>23.6</v>
      </c>
      <c r="V106">
        <v>0.75</v>
      </c>
      <c r="W106">
        <v>0</v>
      </c>
    </row>
    <row r="107" spans="1:23" x14ac:dyDescent="0.25">
      <c r="A107" t="s">
        <v>99</v>
      </c>
      <c r="B107" t="s">
        <v>100</v>
      </c>
      <c r="C107">
        <v>1</v>
      </c>
      <c r="D107">
        <v>2</v>
      </c>
      <c r="E107">
        <v>2</v>
      </c>
      <c r="F107">
        <v>127.5414564</v>
      </c>
      <c r="G107">
        <v>337.98485950000003</v>
      </c>
      <c r="H107">
        <v>53.070000010000001</v>
      </c>
      <c r="I107">
        <v>5.3069999999999999E-2</v>
      </c>
      <c r="J107">
        <v>5.3100000000000003E-5</v>
      </c>
      <c r="K107">
        <v>0.11699918300000001</v>
      </c>
      <c r="L107">
        <v>1.4999999999999999E-2</v>
      </c>
      <c r="M107">
        <v>3.1</v>
      </c>
      <c r="N107">
        <v>13.955988079999999</v>
      </c>
      <c r="O107">
        <v>7.7526309958411796E-2</v>
      </c>
      <c r="P107">
        <v>4.8113930373485632</v>
      </c>
      <c r="Q107" s="4">
        <f t="shared" si="3"/>
        <v>6.6286117763133303</v>
      </c>
      <c r="R107" s="4">
        <f t="shared" si="4"/>
        <v>5.2783874988881356</v>
      </c>
      <c r="S107" s="4">
        <f t="shared" si="5"/>
        <v>12.68538211701066</v>
      </c>
      <c r="T107" s="4">
        <f t="shared" si="6"/>
        <v>33.616262610078245</v>
      </c>
      <c r="U107">
        <v>42.4</v>
      </c>
      <c r="V107">
        <v>0.17</v>
      </c>
      <c r="W107">
        <v>0</v>
      </c>
    </row>
    <row r="108" spans="1:23" x14ac:dyDescent="0.25">
      <c r="A108" t="s">
        <v>101</v>
      </c>
      <c r="B108" t="s">
        <v>102</v>
      </c>
      <c r="C108">
        <v>1</v>
      </c>
      <c r="D108">
        <v>2</v>
      </c>
      <c r="E108">
        <v>2</v>
      </c>
      <c r="F108">
        <v>127.5414564</v>
      </c>
      <c r="G108">
        <v>337.98485950000003</v>
      </c>
      <c r="H108">
        <v>53.070000010000001</v>
      </c>
      <c r="I108">
        <v>5.3069999999999999E-2</v>
      </c>
      <c r="J108">
        <v>5.3100000000000003E-5</v>
      </c>
      <c r="K108">
        <v>0.11699918300000001</v>
      </c>
      <c r="L108">
        <v>1.2E-2</v>
      </c>
      <c r="M108">
        <v>3.1</v>
      </c>
      <c r="N108">
        <v>14.99760408</v>
      </c>
      <c r="O108">
        <v>1.048811704075304</v>
      </c>
      <c r="P108">
        <v>11.979838750679438</v>
      </c>
      <c r="Q108" s="4">
        <f t="shared" si="3"/>
        <v>16.075622640413457</v>
      </c>
      <c r="R108" s="4">
        <f t="shared" si="4"/>
        <v>65.811446330841662</v>
      </c>
      <c r="S108" s="4">
        <f t="shared" si="5"/>
        <v>158.16257229233759</v>
      </c>
      <c r="T108" s="4">
        <f t="shared" si="6"/>
        <v>419.13081657469456</v>
      </c>
      <c r="U108">
        <v>150.03333333333333</v>
      </c>
      <c r="V108">
        <v>0.11333333333333334</v>
      </c>
      <c r="W108">
        <v>0</v>
      </c>
    </row>
    <row r="109" spans="1:23" x14ac:dyDescent="0.25">
      <c r="A109" t="s">
        <v>103</v>
      </c>
      <c r="B109" t="s">
        <v>104</v>
      </c>
      <c r="C109">
        <v>1</v>
      </c>
      <c r="D109">
        <v>1</v>
      </c>
      <c r="E109">
        <v>1</v>
      </c>
      <c r="F109">
        <v>10.71857726</v>
      </c>
      <c r="G109">
        <v>28.404229749999999</v>
      </c>
      <c r="H109">
        <v>4.4599999979999998</v>
      </c>
      <c r="I109">
        <v>4.4600000000000004E-3</v>
      </c>
      <c r="J109">
        <v>4.4599999999999996E-6</v>
      </c>
      <c r="K109">
        <v>9.8326049999999995E-3</v>
      </c>
      <c r="L109">
        <v>1.2999999999999999E-2</v>
      </c>
      <c r="M109">
        <v>2.8</v>
      </c>
      <c r="N109">
        <v>8.0444612959999997</v>
      </c>
      <c r="O109">
        <v>2.2277004139224565E-2</v>
      </c>
      <c r="P109">
        <v>4.2414677849223663</v>
      </c>
      <c r="Q109" s="4">
        <f t="shared" si="3"/>
        <v>10.773328173702811</v>
      </c>
      <c r="R109" s="4">
        <f t="shared" si="4"/>
        <v>10.104691121020659</v>
      </c>
      <c r="S109" s="4">
        <f t="shared" si="5"/>
        <v>24.28428531848272</v>
      </c>
      <c r="T109" s="4">
        <f t="shared" si="6"/>
        <v>64.353356093979201</v>
      </c>
      <c r="U109">
        <v>65.400000000000006</v>
      </c>
      <c r="V109">
        <v>0.18</v>
      </c>
      <c r="W109">
        <v>0</v>
      </c>
    </row>
    <row r="110" spans="1:23" x14ac:dyDescent="0.25">
      <c r="A110" t="s">
        <v>105</v>
      </c>
      <c r="B110" t="s">
        <v>700</v>
      </c>
      <c r="C110">
        <v>1</v>
      </c>
      <c r="D110">
        <v>3</v>
      </c>
      <c r="E110">
        <v>3</v>
      </c>
      <c r="F110">
        <v>350</v>
      </c>
      <c r="G110">
        <v>927.5</v>
      </c>
      <c r="H110">
        <v>145.63499999999999</v>
      </c>
      <c r="I110">
        <v>0.14563499999999999</v>
      </c>
      <c r="J110">
        <v>1.45635E-4</v>
      </c>
      <c r="K110">
        <v>0.32097954000000001</v>
      </c>
      <c r="L110">
        <v>1.2699999999999999E-2</v>
      </c>
      <c r="M110">
        <v>3.1</v>
      </c>
      <c r="N110">
        <v>20.39406896596369</v>
      </c>
      <c r="O110">
        <v>2.4579573927866227</v>
      </c>
      <c r="P110">
        <v>15.481867402374458</v>
      </c>
      <c r="Q110" s="4">
        <f t="shared" si="3"/>
        <v>15.081703345606748</v>
      </c>
      <c r="R110" s="4">
        <f t="shared" si="4"/>
        <v>57.14785609899981</v>
      </c>
      <c r="S110" s="4">
        <f t="shared" si="5"/>
        <v>137.34163926700268</v>
      </c>
      <c r="T110" s="4">
        <f t="shared" si="6"/>
        <v>363.95534405755706</v>
      </c>
      <c r="U110">
        <v>109.97499999999999</v>
      </c>
      <c r="V110">
        <v>0.14750000000000002</v>
      </c>
      <c r="W110">
        <v>0</v>
      </c>
    </row>
    <row r="111" spans="1:23" x14ac:dyDescent="0.25">
      <c r="A111" t="s">
        <v>107</v>
      </c>
      <c r="B111" t="s">
        <v>108</v>
      </c>
      <c r="C111">
        <v>1</v>
      </c>
      <c r="D111">
        <v>5</v>
      </c>
      <c r="E111">
        <v>5</v>
      </c>
      <c r="F111">
        <v>819.66597860000002</v>
      </c>
      <c r="G111">
        <v>2172.1148429999998</v>
      </c>
      <c r="H111">
        <v>341.0630137</v>
      </c>
      <c r="I111">
        <v>0.341063014</v>
      </c>
      <c r="J111">
        <v>3.4106300000000001E-4</v>
      </c>
      <c r="K111">
        <v>0.75191434099999999</v>
      </c>
      <c r="L111">
        <v>3.5999999999999999E-3</v>
      </c>
      <c r="M111">
        <v>3</v>
      </c>
      <c r="N111">
        <v>45.587317900000002</v>
      </c>
      <c r="O111">
        <v>7.0948968066073412</v>
      </c>
      <c r="P111">
        <v>37.925929189604211</v>
      </c>
      <c r="Q111" s="4">
        <f t="shared" si="3"/>
        <v>32.138540635466981</v>
      </c>
      <c r="R111" s="4">
        <f t="shared" si="4"/>
        <v>119.50359144469982</v>
      </c>
      <c r="S111" s="4">
        <f t="shared" si="5"/>
        <v>287.1992103934146</v>
      </c>
      <c r="T111" s="4">
        <f t="shared" si="6"/>
        <v>761.0779075425487</v>
      </c>
      <c r="U111">
        <v>124</v>
      </c>
      <c r="V111">
        <v>0.3</v>
      </c>
      <c r="W111">
        <v>0</v>
      </c>
    </row>
    <row r="112" spans="1:23" x14ac:dyDescent="0.25">
      <c r="A112" t="s">
        <v>109</v>
      </c>
      <c r="B112" t="s">
        <v>110</v>
      </c>
      <c r="C112">
        <v>1</v>
      </c>
      <c r="D112">
        <v>5</v>
      </c>
      <c r="E112">
        <v>5</v>
      </c>
      <c r="F112">
        <v>819.66597860000002</v>
      </c>
      <c r="G112">
        <v>2172.1148429999998</v>
      </c>
      <c r="H112">
        <v>341.0630137</v>
      </c>
      <c r="I112">
        <v>0.341063014</v>
      </c>
      <c r="J112">
        <v>3.4106300000000001E-4</v>
      </c>
      <c r="K112">
        <v>0.75191434099999999</v>
      </c>
      <c r="L112">
        <v>4.3E-3</v>
      </c>
      <c r="M112">
        <v>3.1</v>
      </c>
      <c r="N112">
        <v>38.057538889999996</v>
      </c>
      <c r="O112">
        <v>4.1851394650831351</v>
      </c>
      <c r="P112">
        <v>26.067792951466473</v>
      </c>
      <c r="Q112" s="4">
        <f t="shared" si="3"/>
        <v>14.793383479138265</v>
      </c>
      <c r="R112" s="4">
        <f t="shared" si="4"/>
        <v>18.225428719811859</v>
      </c>
      <c r="S112" s="4">
        <f t="shared" si="5"/>
        <v>43.800597740475503</v>
      </c>
      <c r="T112" s="4">
        <f t="shared" si="6"/>
        <v>116.07158401226008</v>
      </c>
      <c r="U112">
        <v>267</v>
      </c>
      <c r="V112">
        <v>5.7000000000000002E-2</v>
      </c>
      <c r="W112">
        <v>0</v>
      </c>
    </row>
    <row r="113" spans="1:23" x14ac:dyDescent="0.25">
      <c r="A113" t="s">
        <v>111</v>
      </c>
      <c r="B113" t="s">
        <v>112</v>
      </c>
      <c r="C113">
        <v>1</v>
      </c>
      <c r="D113">
        <v>2</v>
      </c>
      <c r="E113">
        <v>2</v>
      </c>
      <c r="F113">
        <v>127.5414564</v>
      </c>
      <c r="G113">
        <v>337.98485950000003</v>
      </c>
      <c r="H113">
        <v>53.070000010000001</v>
      </c>
      <c r="I113">
        <v>5.3069999999999999E-2</v>
      </c>
      <c r="J113">
        <v>5.3100000000000003E-5</v>
      </c>
      <c r="K113">
        <v>0.11699918300000001</v>
      </c>
      <c r="L113">
        <v>1.2200000000000001E-2</v>
      </c>
      <c r="M113">
        <v>2.9</v>
      </c>
      <c r="N113">
        <v>17.974278559999998</v>
      </c>
      <c r="O113">
        <v>0.56547375041106485</v>
      </c>
      <c r="P113">
        <v>12.183133390028711</v>
      </c>
      <c r="Q113" s="4">
        <f t="shared" si="3"/>
        <v>16.70775184681812</v>
      </c>
      <c r="R113" s="4">
        <f t="shared" si="4"/>
        <v>42.936048988650718</v>
      </c>
      <c r="S113" s="4">
        <f t="shared" si="5"/>
        <v>103.18685169106155</v>
      </c>
      <c r="T113" s="4">
        <f t="shared" si="6"/>
        <v>273.44515698131312</v>
      </c>
      <c r="U113">
        <v>113</v>
      </c>
      <c r="V113">
        <v>0.16</v>
      </c>
      <c r="W113">
        <v>0</v>
      </c>
    </row>
    <row r="114" spans="1:23" x14ac:dyDescent="0.25">
      <c r="A114" t="s">
        <v>113</v>
      </c>
      <c r="B114" t="s">
        <v>114</v>
      </c>
      <c r="C114">
        <v>1</v>
      </c>
      <c r="D114">
        <v>2</v>
      </c>
      <c r="E114">
        <v>2</v>
      </c>
      <c r="F114">
        <v>476.02739730000002</v>
      </c>
      <c r="G114">
        <v>1261.4726029999999</v>
      </c>
      <c r="H114">
        <v>198.07499999999999</v>
      </c>
      <c r="I114">
        <v>0.198075</v>
      </c>
      <c r="J114">
        <v>1.98075E-4</v>
      </c>
      <c r="K114">
        <v>0.43668010699999998</v>
      </c>
      <c r="L114">
        <v>1.2E-2</v>
      </c>
      <c r="M114">
        <v>3.05</v>
      </c>
      <c r="N114">
        <v>24.145463530000001</v>
      </c>
      <c r="O114">
        <v>0.84854244029559045</v>
      </c>
      <c r="P114">
        <v>11.819397150892565</v>
      </c>
      <c r="Q114" s="4">
        <f t="shared" si="3"/>
        <v>16.618090288767622</v>
      </c>
      <c r="R114" s="4">
        <f t="shared" si="4"/>
        <v>63.380205714134199</v>
      </c>
      <c r="S114" s="4">
        <f t="shared" si="5"/>
        <v>152.31964843579476</v>
      </c>
      <c r="T114" s="4">
        <f t="shared" si="6"/>
        <v>403.64706835485612</v>
      </c>
      <c r="U114">
        <v>85.9</v>
      </c>
      <c r="V114">
        <v>0.215</v>
      </c>
      <c r="W114">
        <v>0</v>
      </c>
    </row>
    <row r="115" spans="1:23" x14ac:dyDescent="0.25">
      <c r="A115" t="s">
        <v>115</v>
      </c>
      <c r="B115" t="s">
        <v>116</v>
      </c>
      <c r="C115">
        <v>1</v>
      </c>
      <c r="D115">
        <v>7</v>
      </c>
      <c r="E115">
        <v>7</v>
      </c>
      <c r="F115">
        <v>8511146.557</v>
      </c>
      <c r="G115">
        <v>22554538.370000001</v>
      </c>
      <c r="H115">
        <v>3541488.0819999999</v>
      </c>
      <c r="I115">
        <v>3541.4880819999998</v>
      </c>
      <c r="J115">
        <v>3.5414880819999999</v>
      </c>
      <c r="K115">
        <v>7807.635456</v>
      </c>
      <c r="L115">
        <v>1.4999999999999999E-2</v>
      </c>
      <c r="M115">
        <v>3</v>
      </c>
      <c r="N115">
        <v>707.50350370000001</v>
      </c>
      <c r="O115">
        <v>374.43302480089977</v>
      </c>
      <c r="P115">
        <v>88.406188050802356</v>
      </c>
      <c r="Q115" s="4">
        <f t="shared" si="3"/>
        <v>60.117523176853574</v>
      </c>
      <c r="R115" s="4">
        <f t="shared" si="4"/>
        <v>3259.0760705803609</v>
      </c>
      <c r="S115" s="4">
        <f t="shared" si="5"/>
        <v>7832.4346805584255</v>
      </c>
      <c r="T115" s="4">
        <f t="shared" si="6"/>
        <v>20755.951903479829</v>
      </c>
      <c r="U115">
        <v>271.77999999999997</v>
      </c>
      <c r="V115">
        <v>0.25</v>
      </c>
      <c r="W115">
        <v>0</v>
      </c>
    </row>
    <row r="116" spans="1:23" x14ac:dyDescent="0.25">
      <c r="A116" t="s">
        <v>117</v>
      </c>
      <c r="B116" t="s">
        <v>118</v>
      </c>
      <c r="C116">
        <v>1</v>
      </c>
      <c r="D116">
        <v>2</v>
      </c>
      <c r="E116">
        <v>2</v>
      </c>
      <c r="F116">
        <v>127.5414564</v>
      </c>
      <c r="G116">
        <v>337.98485950000003</v>
      </c>
      <c r="H116">
        <v>53.070000010000001</v>
      </c>
      <c r="I116">
        <v>5.3069999999999999E-2</v>
      </c>
      <c r="J116">
        <v>5.3100000000000003E-5</v>
      </c>
      <c r="K116">
        <v>0.11699918300000001</v>
      </c>
      <c r="L116">
        <v>1.4999999999999999E-2</v>
      </c>
      <c r="M116">
        <v>3</v>
      </c>
      <c r="N116">
        <v>15.23769499</v>
      </c>
      <c r="O116">
        <v>7.7255718625825365E-2</v>
      </c>
      <c r="P116">
        <v>5.223979871925879</v>
      </c>
      <c r="Q116" s="4">
        <f t="shared" si="3"/>
        <v>6.9659009997677632</v>
      </c>
      <c r="R116" s="4">
        <f t="shared" si="4"/>
        <v>5.0701773734352189</v>
      </c>
      <c r="S116" s="4">
        <f t="shared" si="5"/>
        <v>12.184997292562407</v>
      </c>
      <c r="T116" s="4">
        <f t="shared" si="6"/>
        <v>32.290242825290377</v>
      </c>
      <c r="U116">
        <v>73.2</v>
      </c>
      <c r="V116">
        <v>0.1</v>
      </c>
      <c r="W116">
        <v>0</v>
      </c>
    </row>
    <row r="117" spans="1:23" x14ac:dyDescent="0.25">
      <c r="A117" t="s">
        <v>119</v>
      </c>
      <c r="B117" t="s">
        <v>120</v>
      </c>
      <c r="C117">
        <v>1</v>
      </c>
      <c r="D117">
        <v>3</v>
      </c>
      <c r="E117">
        <v>3</v>
      </c>
      <c r="F117">
        <v>829.48845900000003</v>
      </c>
      <c r="G117">
        <v>2197.74442</v>
      </c>
      <c r="H117">
        <v>345.15014780000001</v>
      </c>
      <c r="I117">
        <v>0.34515014799999999</v>
      </c>
      <c r="J117">
        <v>3.4515000000000001E-4</v>
      </c>
      <c r="K117">
        <v>0.76092491900000003</v>
      </c>
      <c r="L117">
        <v>2.1399999999999999E-2</v>
      </c>
      <c r="M117">
        <v>2.96</v>
      </c>
      <c r="N117">
        <v>26.392744749999999</v>
      </c>
      <c r="O117">
        <v>19.811244841264621</v>
      </c>
      <c r="P117">
        <v>31.252440360380255</v>
      </c>
      <c r="Q117" s="4">
        <f t="shared" si="3"/>
        <v>34.669882680142209</v>
      </c>
      <c r="R117" s="4">
        <f t="shared" si="4"/>
        <v>773.87852388221097</v>
      </c>
      <c r="S117" s="4">
        <f t="shared" si="5"/>
        <v>1859.8378367753205</v>
      </c>
      <c r="T117" s="4">
        <f t="shared" si="6"/>
        <v>4928.5702674545992</v>
      </c>
      <c r="U117">
        <v>133.76666666666668</v>
      </c>
      <c r="V117">
        <v>0.3</v>
      </c>
      <c r="W117">
        <v>0</v>
      </c>
    </row>
    <row r="118" spans="1:23" x14ac:dyDescent="0.25">
      <c r="A118" t="s">
        <v>121</v>
      </c>
      <c r="B118" t="s">
        <v>122</v>
      </c>
      <c r="C118">
        <v>1</v>
      </c>
      <c r="D118">
        <v>7</v>
      </c>
      <c r="E118">
        <v>7</v>
      </c>
      <c r="F118">
        <v>8511146.557</v>
      </c>
      <c r="G118">
        <v>22554538.370000001</v>
      </c>
      <c r="H118">
        <v>3541488.0819999999</v>
      </c>
      <c r="I118">
        <v>3541.4880819999998</v>
      </c>
      <c r="J118">
        <v>3.5414880819999999</v>
      </c>
      <c r="K118">
        <v>7807.635456</v>
      </c>
      <c r="L118">
        <v>1E-3</v>
      </c>
      <c r="M118">
        <v>3</v>
      </c>
      <c r="N118">
        <v>707.50350370000001</v>
      </c>
      <c r="O118">
        <v>22254.820062354665</v>
      </c>
      <c r="P118">
        <v>850.86971247246606</v>
      </c>
      <c r="Q118" s="4">
        <f t="shared" si="3"/>
        <v>578.60406367314204</v>
      </c>
      <c r="R118" s="4">
        <f t="shared" si="4"/>
        <v>193706.60896927791</v>
      </c>
      <c r="S118" s="4">
        <f t="shared" si="5"/>
        <v>465528.98094034585</v>
      </c>
      <c r="T118" s="4">
        <f t="shared" si="6"/>
        <v>1233651.7994919166</v>
      </c>
      <c r="U118">
        <v>2615.7600000000002</v>
      </c>
      <c r="V118">
        <v>0.25</v>
      </c>
      <c r="W118">
        <v>0</v>
      </c>
    </row>
    <row r="119" spans="1:23" x14ac:dyDescent="0.25">
      <c r="A119" t="s">
        <v>123</v>
      </c>
      <c r="B119" t="s">
        <v>124</v>
      </c>
      <c r="C119">
        <v>1</v>
      </c>
      <c r="D119">
        <v>2</v>
      </c>
      <c r="E119">
        <v>2</v>
      </c>
      <c r="F119">
        <v>127.5414564</v>
      </c>
      <c r="G119">
        <v>337.98485950000003</v>
      </c>
      <c r="H119">
        <v>53.070000010000001</v>
      </c>
      <c r="I119">
        <v>5.3069999999999999E-2</v>
      </c>
      <c r="J119">
        <v>5.3100000000000003E-5</v>
      </c>
      <c r="K119">
        <v>0.11699918300000001</v>
      </c>
      <c r="L119">
        <v>9.4999999999999998E-3</v>
      </c>
      <c r="M119">
        <v>3.1</v>
      </c>
      <c r="N119">
        <v>16.171494429999999</v>
      </c>
      <c r="O119">
        <v>0.34539732900927694</v>
      </c>
      <c r="P119">
        <v>9.0276197853989171</v>
      </c>
      <c r="Q119" s="4">
        <f t="shared" si="3"/>
        <v>10.703559950474041</v>
      </c>
      <c r="R119" s="4">
        <f t="shared" si="4"/>
        <v>14.765942317059787</v>
      </c>
      <c r="S119" s="4">
        <f t="shared" si="5"/>
        <v>35.486523232539746</v>
      </c>
      <c r="T119" s="4">
        <f t="shared" si="6"/>
        <v>94.039286566230317</v>
      </c>
      <c r="U119">
        <v>111</v>
      </c>
      <c r="V119">
        <v>0.13</v>
      </c>
      <c r="W119">
        <v>0.22</v>
      </c>
    </row>
    <row r="120" spans="1:23" x14ac:dyDescent="0.25">
      <c r="A120" t="s">
        <v>125</v>
      </c>
      <c r="B120" t="s">
        <v>126</v>
      </c>
      <c r="C120">
        <v>1</v>
      </c>
      <c r="D120">
        <v>1</v>
      </c>
      <c r="E120">
        <v>1</v>
      </c>
      <c r="F120">
        <v>43.979812539999998</v>
      </c>
      <c r="G120">
        <v>116.5465032</v>
      </c>
      <c r="H120">
        <v>18.3</v>
      </c>
      <c r="I120">
        <v>1.83E-2</v>
      </c>
      <c r="J120">
        <v>1.8300000000000001E-5</v>
      </c>
      <c r="K120">
        <v>4.0344546000000002E-2</v>
      </c>
      <c r="L120">
        <v>1.4999999999999999E-2</v>
      </c>
      <c r="M120">
        <v>2.9</v>
      </c>
      <c r="N120">
        <v>11.594766590000001</v>
      </c>
      <c r="O120">
        <v>5.5493212288959877E-2</v>
      </c>
      <c r="P120">
        <v>5.0953193492557105</v>
      </c>
      <c r="Q120" s="4">
        <f t="shared" si="3"/>
        <v>12.942111147109506</v>
      </c>
      <c r="R120" s="4">
        <f t="shared" si="4"/>
        <v>25.171327616078905</v>
      </c>
      <c r="S120" s="4">
        <f t="shared" si="5"/>
        <v>60.493457380627028</v>
      </c>
      <c r="T120" s="4">
        <f t="shared" si="6"/>
        <v>160.30766205866161</v>
      </c>
      <c r="U120">
        <v>136</v>
      </c>
      <c r="V120">
        <v>0.1</v>
      </c>
      <c r="W120">
        <v>0</v>
      </c>
    </row>
    <row r="121" spans="1:23" x14ac:dyDescent="0.25">
      <c r="A121" t="s">
        <v>127</v>
      </c>
      <c r="B121" t="s">
        <v>128</v>
      </c>
      <c r="C121">
        <v>1</v>
      </c>
      <c r="D121">
        <v>2</v>
      </c>
      <c r="E121">
        <v>2</v>
      </c>
      <c r="F121">
        <v>476.02739730000002</v>
      </c>
      <c r="G121">
        <v>1261.4726029999999</v>
      </c>
      <c r="H121">
        <v>198.07499999999999</v>
      </c>
      <c r="I121">
        <v>0.198075</v>
      </c>
      <c r="J121">
        <v>1.98075E-4</v>
      </c>
      <c r="K121">
        <v>0.43668010699999998</v>
      </c>
      <c r="L121">
        <v>1.4E-2</v>
      </c>
      <c r="M121">
        <v>3</v>
      </c>
      <c r="N121">
        <v>24.186176039999999</v>
      </c>
      <c r="O121">
        <v>2.7949704022846897</v>
      </c>
      <c r="P121">
        <v>17.679559020398159</v>
      </c>
      <c r="Q121" s="4">
        <f t="shared" si="3"/>
        <v>29.402411224522382</v>
      </c>
      <c r="R121" s="4">
        <f t="shared" si="4"/>
        <v>355.85811815251105</v>
      </c>
      <c r="S121" s="4">
        <f t="shared" si="5"/>
        <v>855.22258628337204</v>
      </c>
      <c r="T121" s="4">
        <f t="shared" si="6"/>
        <v>2266.3398536509358</v>
      </c>
      <c r="U121">
        <v>62.2</v>
      </c>
      <c r="V121">
        <v>0.64</v>
      </c>
      <c r="W121">
        <v>0</v>
      </c>
    </row>
    <row r="122" spans="1:23" x14ac:dyDescent="0.25">
      <c r="A122" t="s">
        <v>129</v>
      </c>
      <c r="B122" t="s">
        <v>130</v>
      </c>
      <c r="C122">
        <v>1</v>
      </c>
      <c r="D122">
        <v>2</v>
      </c>
      <c r="E122">
        <v>2</v>
      </c>
      <c r="F122">
        <v>127.5414564</v>
      </c>
      <c r="G122">
        <v>337.98485950000003</v>
      </c>
      <c r="H122">
        <v>53.070000010000001</v>
      </c>
      <c r="I122">
        <v>5.3069999999999999E-2</v>
      </c>
      <c r="J122">
        <v>5.3100000000000003E-5</v>
      </c>
      <c r="K122">
        <v>0.11699918300000001</v>
      </c>
      <c r="L122">
        <v>1.2500000000000001E-2</v>
      </c>
      <c r="M122">
        <v>2.88</v>
      </c>
      <c r="N122">
        <v>18.184487579999999</v>
      </c>
      <c r="O122">
        <v>4.4702735380298265E-2</v>
      </c>
      <c r="P122">
        <v>5.1260281366992722</v>
      </c>
      <c r="Q122" s="4">
        <f t="shared" si="3"/>
        <v>6.6500003694091596</v>
      </c>
      <c r="R122" s="4">
        <f t="shared" si="4"/>
        <v>2.9284406112263168</v>
      </c>
      <c r="S122" s="4">
        <f t="shared" si="5"/>
        <v>7.0378289142665631</v>
      </c>
      <c r="T122" s="4">
        <f t="shared" si="6"/>
        <v>18.650246622806392</v>
      </c>
      <c r="U122">
        <v>158</v>
      </c>
      <c r="V122">
        <v>4.2999999999999997E-2</v>
      </c>
      <c r="W122">
        <v>0</v>
      </c>
    </row>
    <row r="123" spans="1:23" x14ac:dyDescent="0.25">
      <c r="A123" t="s">
        <v>131</v>
      </c>
      <c r="B123" t="s">
        <v>132</v>
      </c>
      <c r="C123">
        <v>1</v>
      </c>
      <c r="D123">
        <v>2</v>
      </c>
      <c r="E123">
        <v>2</v>
      </c>
      <c r="F123">
        <v>476.02739730000002</v>
      </c>
      <c r="G123">
        <v>1261.4726029999999</v>
      </c>
      <c r="H123">
        <v>198.07499999999999</v>
      </c>
      <c r="I123">
        <v>0.198075</v>
      </c>
      <c r="J123">
        <v>1.98075E-4</v>
      </c>
      <c r="K123">
        <v>0.43668010699999998</v>
      </c>
      <c r="L123">
        <v>1.4E-2</v>
      </c>
      <c r="M123">
        <v>2.9</v>
      </c>
      <c r="N123">
        <v>26.99457061</v>
      </c>
      <c r="O123">
        <v>8.0479844273819684E-2</v>
      </c>
      <c r="P123">
        <v>5.9316432662091669</v>
      </c>
      <c r="Q123" s="4">
        <f t="shared" si="3"/>
        <v>8.2840045843362304</v>
      </c>
      <c r="R123" s="4">
        <f t="shared" si="4"/>
        <v>6.4420633948748094</v>
      </c>
      <c r="S123" s="4">
        <f t="shared" si="5"/>
        <v>15.482007678141816</v>
      </c>
      <c r="T123" s="4">
        <f t="shared" si="6"/>
        <v>41.027320347075808</v>
      </c>
      <c r="U123">
        <v>45.7</v>
      </c>
      <c r="V123">
        <v>0.2</v>
      </c>
      <c r="W123">
        <v>0</v>
      </c>
    </row>
    <row r="124" spans="1:23" x14ac:dyDescent="0.25">
      <c r="A124" t="s">
        <v>133</v>
      </c>
      <c r="B124" t="s">
        <v>134</v>
      </c>
      <c r="C124">
        <v>1</v>
      </c>
      <c r="D124">
        <v>3</v>
      </c>
      <c r="E124">
        <v>3</v>
      </c>
      <c r="F124">
        <v>350</v>
      </c>
      <c r="G124">
        <v>927.5</v>
      </c>
      <c r="H124">
        <v>145.63499999999999</v>
      </c>
      <c r="I124">
        <v>0.14563499999999999</v>
      </c>
      <c r="J124">
        <v>1.45635E-4</v>
      </c>
      <c r="K124">
        <v>0.321069834</v>
      </c>
      <c r="L124">
        <v>1.2699999999999999E-2</v>
      </c>
      <c r="M124">
        <v>3.1</v>
      </c>
      <c r="N124">
        <v>20.394068969999999</v>
      </c>
      <c r="O124">
        <v>1.0132493897372563</v>
      </c>
      <c r="P124">
        <v>11.632568048143371</v>
      </c>
      <c r="Q124" s="4">
        <f t="shared" si="3"/>
        <v>10.848534343900615</v>
      </c>
      <c r="R124" s="4">
        <f t="shared" si="4"/>
        <v>20.580410469368999</v>
      </c>
      <c r="S124" s="4">
        <f t="shared" si="5"/>
        <v>49.460251067937989</v>
      </c>
      <c r="T124" s="4">
        <f t="shared" si="6"/>
        <v>131.06966533003566</v>
      </c>
      <c r="U124">
        <v>114</v>
      </c>
      <c r="V124">
        <v>0.1</v>
      </c>
      <c r="W124">
        <v>0</v>
      </c>
    </row>
    <row r="125" spans="1:23" x14ac:dyDescent="0.25">
      <c r="A125" t="s">
        <v>135</v>
      </c>
      <c r="B125" t="s">
        <v>136</v>
      </c>
      <c r="C125">
        <v>1</v>
      </c>
      <c r="D125">
        <v>2</v>
      </c>
      <c r="E125">
        <v>2</v>
      </c>
      <c r="F125">
        <v>476.02739730000002</v>
      </c>
      <c r="G125">
        <v>1261.4726029999999</v>
      </c>
      <c r="H125">
        <v>198.07499999999999</v>
      </c>
      <c r="I125">
        <v>0.198075</v>
      </c>
      <c r="J125">
        <v>1.98075E-4</v>
      </c>
      <c r="K125">
        <v>0.43668010699999998</v>
      </c>
      <c r="L125">
        <v>1.2E-2</v>
      </c>
      <c r="M125">
        <v>3</v>
      </c>
      <c r="N125">
        <v>25.46143086</v>
      </c>
      <c r="O125">
        <v>3.3956176932488723E-2</v>
      </c>
      <c r="P125">
        <v>4.2785920807721345</v>
      </c>
      <c r="Q125" s="4">
        <f t="shared" si="3"/>
        <v>5.7025661645753152</v>
      </c>
      <c r="R125" s="4">
        <f t="shared" si="4"/>
        <v>2.225318840219825</v>
      </c>
      <c r="S125" s="4">
        <f t="shared" si="5"/>
        <v>5.3480385489541566</v>
      </c>
      <c r="T125" s="4">
        <f t="shared" si="6"/>
        <v>14.172302154728515</v>
      </c>
      <c r="U125">
        <v>60.5</v>
      </c>
      <c r="V125">
        <v>9.9000000000000005E-2</v>
      </c>
      <c r="W125">
        <v>0</v>
      </c>
    </row>
    <row r="126" spans="1:23" x14ac:dyDescent="0.25">
      <c r="A126" t="s">
        <v>137</v>
      </c>
      <c r="B126" t="s">
        <v>138</v>
      </c>
      <c r="C126">
        <v>1</v>
      </c>
      <c r="D126">
        <v>1</v>
      </c>
      <c r="E126">
        <v>1</v>
      </c>
      <c r="F126">
        <v>37.010334049999997</v>
      </c>
      <c r="G126">
        <v>98.077385239999998</v>
      </c>
      <c r="H126">
        <v>15.4</v>
      </c>
      <c r="I126">
        <v>1.54E-2</v>
      </c>
      <c r="J126">
        <v>1.5400000000000002E-5</v>
      </c>
      <c r="K126">
        <v>3.3951148E-2</v>
      </c>
      <c r="L126">
        <v>1.2500000000000001E-2</v>
      </c>
      <c r="M126">
        <v>2.82</v>
      </c>
      <c r="N126">
        <v>12.472722040000001</v>
      </c>
      <c r="O126">
        <v>4.9266076436141004E-2</v>
      </c>
      <c r="P126">
        <v>5.6035809773118128</v>
      </c>
      <c r="Q126" s="4">
        <f t="shared" si="3"/>
        <v>14.233095682372005</v>
      </c>
      <c r="R126" s="4">
        <f t="shared" si="4"/>
        <v>22.34674294714781</v>
      </c>
      <c r="S126" s="4">
        <f t="shared" si="5"/>
        <v>53.705222175313168</v>
      </c>
      <c r="T126" s="4">
        <f t="shared" si="6"/>
        <v>142.31883876457988</v>
      </c>
      <c r="U126">
        <v>50</v>
      </c>
      <c r="V126">
        <v>0.33500000000000002</v>
      </c>
      <c r="W126">
        <v>0</v>
      </c>
    </row>
    <row r="128" spans="1:23" x14ac:dyDescent="0.25">
      <c r="A128" t="s">
        <v>14</v>
      </c>
      <c r="B128" t="s">
        <v>15</v>
      </c>
      <c r="C128" t="s">
        <v>16</v>
      </c>
      <c r="D128" t="s">
        <v>17</v>
      </c>
      <c r="F128" s="4" t="s">
        <v>141</v>
      </c>
      <c r="I128" s="4" t="s">
        <v>143</v>
      </c>
    </row>
    <row r="129" spans="1:10" x14ac:dyDescent="0.25">
      <c r="A129">
        <v>4.9630720029657098</v>
      </c>
      <c r="B129">
        <v>1.9560128803047006</v>
      </c>
      <c r="C129">
        <v>4.7008240334167279</v>
      </c>
      <c r="D129">
        <v>12.457183688554329</v>
      </c>
      <c r="E129" s="4" t="s">
        <v>21</v>
      </c>
      <c r="F129" s="4" t="s">
        <v>152</v>
      </c>
      <c r="G129" s="4">
        <v>12.457183688554329</v>
      </c>
      <c r="I129" s="4" t="s">
        <v>153</v>
      </c>
      <c r="J129" s="4">
        <v>4.7008240334167279</v>
      </c>
    </row>
    <row r="130" spans="1:10" x14ac:dyDescent="0.25">
      <c r="A130">
        <v>31.40365204813336</v>
      </c>
      <c r="B130">
        <v>929.0984272970918</v>
      </c>
      <c r="C130">
        <v>2232.8729327014944</v>
      </c>
      <c r="D130">
        <v>5917.11327165896</v>
      </c>
      <c r="E130" s="4" t="s">
        <v>23</v>
      </c>
      <c r="F130" s="4" t="s">
        <v>156</v>
      </c>
      <c r="G130" s="4">
        <v>5917.11327165896</v>
      </c>
      <c r="I130" s="4" t="s">
        <v>157</v>
      </c>
      <c r="J130" s="4">
        <v>2232.8729327014944</v>
      </c>
    </row>
    <row r="131" spans="1:10" x14ac:dyDescent="0.25">
      <c r="A131">
        <v>31.527882858176085</v>
      </c>
      <c r="B131">
        <v>584.18500571633092</v>
      </c>
      <c r="C131">
        <v>1403.953390330043</v>
      </c>
      <c r="D131">
        <v>3720.4764843746138</v>
      </c>
      <c r="E131" s="4" t="s">
        <v>25</v>
      </c>
      <c r="F131" s="4" t="s">
        <v>160</v>
      </c>
      <c r="G131" s="4">
        <v>3720.4764843746138</v>
      </c>
      <c r="I131" s="4" t="s">
        <v>161</v>
      </c>
      <c r="J131" s="4">
        <v>1403.953390330043</v>
      </c>
    </row>
    <row r="132" spans="1:10" x14ac:dyDescent="0.25">
      <c r="A132">
        <v>17.148070758822918</v>
      </c>
      <c r="B132">
        <v>41.746200934239646</v>
      </c>
      <c r="C132">
        <v>100.32732740744927</v>
      </c>
      <c r="D132">
        <v>265.86741762974054</v>
      </c>
      <c r="E132" s="4" t="s">
        <v>27</v>
      </c>
      <c r="F132" s="4" t="s">
        <v>164</v>
      </c>
      <c r="G132" s="4">
        <v>265.86741762974054</v>
      </c>
      <c r="I132" s="4" t="s">
        <v>165</v>
      </c>
      <c r="J132" s="4">
        <v>100.32732740744927</v>
      </c>
    </row>
    <row r="133" spans="1:10" x14ac:dyDescent="0.25">
      <c r="A133">
        <v>29.595562990816589</v>
      </c>
      <c r="B133">
        <v>84.24869426422903</v>
      </c>
      <c r="C133">
        <v>202.47222846486187</v>
      </c>
      <c r="D133">
        <v>536.55140543188395</v>
      </c>
      <c r="E133" s="4" t="s">
        <v>29</v>
      </c>
      <c r="F133" s="4" t="s">
        <v>168</v>
      </c>
      <c r="G133" s="4">
        <v>536.55140543188395</v>
      </c>
      <c r="I133" s="4" t="s">
        <v>169</v>
      </c>
      <c r="J133" s="4">
        <v>202.47222846486187</v>
      </c>
    </row>
    <row r="134" spans="1:10" x14ac:dyDescent="0.25">
      <c r="A134">
        <v>17.621741541719221</v>
      </c>
      <c r="B134">
        <v>63.475257401935856</v>
      </c>
      <c r="C134">
        <v>152.54808315774056</v>
      </c>
      <c r="D134">
        <v>404.25242036801251</v>
      </c>
      <c r="E134" s="4" t="s">
        <v>31</v>
      </c>
      <c r="F134" s="4" t="s">
        <v>172</v>
      </c>
      <c r="G134" s="4">
        <v>404.25242036801251</v>
      </c>
      <c r="I134" s="4" t="s">
        <v>173</v>
      </c>
      <c r="J134" s="4">
        <v>152.54808315774056</v>
      </c>
    </row>
    <row r="135" spans="1:10" x14ac:dyDescent="0.25">
      <c r="A135">
        <v>9.4292744964554149</v>
      </c>
      <c r="B135">
        <v>12.575524138496348</v>
      </c>
      <c r="C135">
        <v>30.222360342456977</v>
      </c>
      <c r="D135">
        <v>80.089254907510991</v>
      </c>
      <c r="E135" s="4" t="s">
        <v>33</v>
      </c>
      <c r="F135" s="4" t="s">
        <v>176</v>
      </c>
      <c r="G135" s="4">
        <v>80.089254907510991</v>
      </c>
      <c r="I135" s="4" t="s">
        <v>177</v>
      </c>
      <c r="J135" s="4">
        <v>30.222360342456977</v>
      </c>
    </row>
    <row r="136" spans="1:10" x14ac:dyDescent="0.25">
      <c r="A136">
        <v>12.64473293593896</v>
      </c>
      <c r="B136">
        <v>42.45689975909098</v>
      </c>
      <c r="C136">
        <v>102.03532746717372</v>
      </c>
      <c r="D136">
        <v>270.39361778801032</v>
      </c>
      <c r="E136" s="4" t="s">
        <v>35</v>
      </c>
      <c r="F136" s="4" t="s">
        <v>180</v>
      </c>
      <c r="G136" s="4">
        <v>270.39361778801032</v>
      </c>
      <c r="I136" s="4" t="s">
        <v>181</v>
      </c>
      <c r="J136" s="4">
        <v>102.03532746717372</v>
      </c>
    </row>
    <row r="137" spans="1:10" x14ac:dyDescent="0.25">
      <c r="A137">
        <v>825.24685554511109</v>
      </c>
      <c r="B137">
        <v>3372118.9440115527</v>
      </c>
      <c r="C137">
        <v>8104107.0512173828</v>
      </c>
      <c r="D137">
        <v>21475883.685726065</v>
      </c>
      <c r="E137" s="4" t="s">
        <v>37</v>
      </c>
      <c r="F137" s="4" t="s">
        <v>184</v>
      </c>
      <c r="G137" s="4">
        <v>21475883.685726065</v>
      </c>
      <c r="I137" s="4" t="s">
        <v>185</v>
      </c>
      <c r="J137" s="4">
        <v>8104107.0512173828</v>
      </c>
    </row>
    <row r="138" spans="1:10" x14ac:dyDescent="0.25">
      <c r="A138">
        <v>13.774385541798216</v>
      </c>
      <c r="B138">
        <v>31.361581121926971</v>
      </c>
      <c r="C138">
        <v>75.370298298310431</v>
      </c>
      <c r="D138">
        <v>199.73129049052264</v>
      </c>
      <c r="E138" s="4" t="s">
        <v>39</v>
      </c>
      <c r="F138" s="4" t="s">
        <v>188</v>
      </c>
      <c r="G138" s="4">
        <v>199.73129049052264</v>
      </c>
      <c r="I138" s="4" t="s">
        <v>189</v>
      </c>
      <c r="J138" s="4">
        <v>75.370298298310431</v>
      </c>
    </row>
    <row r="139" spans="1:10" x14ac:dyDescent="0.25">
      <c r="A139">
        <v>10.904809841306786</v>
      </c>
      <c r="B139">
        <v>22.065862023014375</v>
      </c>
      <c r="C139">
        <v>53.030189913516885</v>
      </c>
      <c r="D139">
        <v>140.53000327081975</v>
      </c>
      <c r="E139" s="4" t="s">
        <v>41</v>
      </c>
      <c r="F139" s="4" t="s">
        <v>192</v>
      </c>
      <c r="G139" s="4">
        <v>140.53000327081975</v>
      </c>
      <c r="I139" s="4" t="s">
        <v>193</v>
      </c>
      <c r="J139" s="4">
        <v>53.030189913516885</v>
      </c>
    </row>
    <row r="140" spans="1:10" x14ac:dyDescent="0.25">
      <c r="A140">
        <v>17.200173550613055</v>
      </c>
      <c r="B140">
        <v>73.275869249197726</v>
      </c>
      <c r="C140">
        <v>176.10158435279436</v>
      </c>
      <c r="D140">
        <v>466.66919853490504</v>
      </c>
      <c r="E140" s="4" t="s">
        <v>43</v>
      </c>
      <c r="F140" s="4" t="s">
        <v>196</v>
      </c>
      <c r="G140" s="4">
        <v>466.66919853490504</v>
      </c>
      <c r="I140" s="4" t="s">
        <v>197</v>
      </c>
      <c r="J140" s="4">
        <v>176.10158435279436</v>
      </c>
    </row>
    <row r="141" spans="1:10" x14ac:dyDescent="0.25">
      <c r="A141">
        <v>64.21308972111224</v>
      </c>
      <c r="B141">
        <v>2410.4082275498263</v>
      </c>
      <c r="C141">
        <v>5792.8580330445238</v>
      </c>
      <c r="D141">
        <v>15351.073787567988</v>
      </c>
      <c r="E141" s="4" t="s">
        <v>45</v>
      </c>
      <c r="F141" s="4" t="s">
        <v>200</v>
      </c>
      <c r="G141" s="4">
        <v>15351.073787567988</v>
      </c>
      <c r="I141" s="4" t="s">
        <v>201</v>
      </c>
      <c r="J141" s="4">
        <v>5792.8580330445238</v>
      </c>
    </row>
    <row r="142" spans="1:10" x14ac:dyDescent="0.25">
      <c r="A142">
        <v>17.37704361136111</v>
      </c>
      <c r="B142">
        <v>114.24256959029441</v>
      </c>
      <c r="C142">
        <v>274.55556258181787</v>
      </c>
      <c r="D142">
        <v>727.57224084181735</v>
      </c>
      <c r="E142" s="4" t="s">
        <v>47</v>
      </c>
      <c r="F142" s="4" t="s">
        <v>204</v>
      </c>
      <c r="G142" s="4">
        <v>727.57224084181735</v>
      </c>
      <c r="I142" s="4" t="s">
        <v>205</v>
      </c>
      <c r="J142" s="4">
        <v>274.55556258181787</v>
      </c>
    </row>
    <row r="143" spans="1:10" x14ac:dyDescent="0.25">
      <c r="A143">
        <v>10.940569321365825</v>
      </c>
      <c r="B143">
        <v>19.962043838434557</v>
      </c>
      <c r="C143">
        <v>47.974150056319537</v>
      </c>
      <c r="D143">
        <v>127.13149764924677</v>
      </c>
      <c r="E143" s="4" t="s">
        <v>49</v>
      </c>
      <c r="F143" s="4" t="s">
        <v>208</v>
      </c>
      <c r="G143" s="4">
        <v>127.13149764924677</v>
      </c>
      <c r="I143" s="4" t="s">
        <v>209</v>
      </c>
      <c r="J143" s="4">
        <v>47.974150056319537</v>
      </c>
    </row>
    <row r="144" spans="1:10" x14ac:dyDescent="0.25">
      <c r="A144">
        <v>4.8373105205674864</v>
      </c>
      <c r="B144">
        <v>1.923775453962943</v>
      </c>
      <c r="C144">
        <v>4.6233488439388202</v>
      </c>
      <c r="D144">
        <v>12.251874436437873</v>
      </c>
      <c r="E144" s="4" t="s">
        <v>51</v>
      </c>
      <c r="F144" s="4" t="s">
        <v>212</v>
      </c>
      <c r="G144" s="4">
        <v>12.251874436437873</v>
      </c>
      <c r="I144" s="4" t="s">
        <v>213</v>
      </c>
      <c r="J144" s="4">
        <v>4.6233488439388202</v>
      </c>
    </row>
    <row r="145" spans="1:10" x14ac:dyDescent="0.25">
      <c r="A145">
        <v>6.409742519548268</v>
      </c>
      <c r="B145">
        <v>2.8797909952860077</v>
      </c>
      <c r="C145">
        <v>6.9209108274116984</v>
      </c>
      <c r="D145">
        <v>18.340413692641</v>
      </c>
      <c r="E145" s="4" t="s">
        <v>53</v>
      </c>
      <c r="F145" s="4" t="s">
        <v>216</v>
      </c>
      <c r="G145" s="4">
        <v>18.340413692641</v>
      </c>
      <c r="I145" s="4" t="s">
        <v>217</v>
      </c>
      <c r="J145" s="4">
        <v>6.9209108274116984</v>
      </c>
    </row>
    <row r="146" spans="1:10" x14ac:dyDescent="0.25">
      <c r="A146">
        <v>12.715233006614545</v>
      </c>
      <c r="B146">
        <v>26.724914311425248</v>
      </c>
      <c r="C146">
        <v>64.227143262257258</v>
      </c>
      <c r="D146">
        <v>170.20192964498173</v>
      </c>
      <c r="E146" s="4" t="s">
        <v>55</v>
      </c>
      <c r="F146" s="4" t="s">
        <v>220</v>
      </c>
      <c r="G146" s="4">
        <v>170.20192964498173</v>
      </c>
      <c r="I146" s="4" t="s">
        <v>221</v>
      </c>
      <c r="J146" s="4">
        <v>64.227143262257258</v>
      </c>
    </row>
    <row r="147" spans="1:10" x14ac:dyDescent="0.25">
      <c r="A147">
        <v>24.033668644001896</v>
      </c>
      <c r="B147">
        <v>76.313646473159338</v>
      </c>
      <c r="C147">
        <v>183.40217849834016</v>
      </c>
      <c r="D147">
        <v>486.01577302060144</v>
      </c>
      <c r="E147" s="4" t="s">
        <v>57</v>
      </c>
      <c r="F147" s="4" t="s">
        <v>224</v>
      </c>
      <c r="G147" s="4">
        <v>486.01577302060144</v>
      </c>
      <c r="I147" s="4" t="s">
        <v>225</v>
      </c>
      <c r="J147" s="4">
        <v>183.40217849834016</v>
      </c>
    </row>
    <row r="148" spans="1:10" x14ac:dyDescent="0.25">
      <c r="A148">
        <v>13.1116639999486</v>
      </c>
      <c r="B148">
        <v>48.983351554494149</v>
      </c>
      <c r="C148">
        <v>117.72014312543655</v>
      </c>
      <c r="D148">
        <v>311.95837928240684</v>
      </c>
      <c r="E148" s="4" t="s">
        <v>59</v>
      </c>
      <c r="F148" s="4" t="s">
        <v>228</v>
      </c>
      <c r="G148" s="4">
        <v>311.95837928240684</v>
      </c>
      <c r="I148" s="4" t="s">
        <v>229</v>
      </c>
      <c r="J148" s="4">
        <v>117.72014312543655</v>
      </c>
    </row>
    <row r="149" spans="1:10" x14ac:dyDescent="0.25">
      <c r="A149">
        <v>4.5195828904047923</v>
      </c>
      <c r="B149">
        <v>1.1539980651435007</v>
      </c>
      <c r="C149">
        <v>2.773367135648884</v>
      </c>
      <c r="D149">
        <v>7.349422909469542</v>
      </c>
      <c r="E149" s="4" t="s">
        <v>61</v>
      </c>
      <c r="F149" s="4" t="s">
        <v>232</v>
      </c>
      <c r="G149" s="4">
        <v>7.349422909469542</v>
      </c>
      <c r="I149" s="4" t="s">
        <v>233</v>
      </c>
      <c r="J149" s="4">
        <v>2.773367135648884</v>
      </c>
    </row>
    <row r="150" spans="1:10" x14ac:dyDescent="0.25">
      <c r="A150">
        <v>15.305790192126775</v>
      </c>
      <c r="B150">
        <v>56.524156366413003</v>
      </c>
      <c r="C150">
        <v>135.84272138046862</v>
      </c>
      <c r="D150">
        <v>359.98321165824183</v>
      </c>
      <c r="E150" s="4" t="s">
        <v>63</v>
      </c>
      <c r="F150" s="4" t="s">
        <v>236</v>
      </c>
      <c r="G150" s="4">
        <v>359.98321165824183</v>
      </c>
      <c r="I150" s="4" t="s">
        <v>237</v>
      </c>
      <c r="J150" s="4">
        <v>135.84272138046862</v>
      </c>
    </row>
    <row r="151" spans="1:10" x14ac:dyDescent="0.25">
      <c r="A151">
        <v>10.604250944938064</v>
      </c>
      <c r="B151">
        <v>19.177487587553092</v>
      </c>
      <c r="C151">
        <v>46.088650775181669</v>
      </c>
      <c r="D151">
        <v>122.13492455423142</v>
      </c>
      <c r="E151" s="4" t="s">
        <v>65</v>
      </c>
      <c r="F151" s="4" t="s">
        <v>240</v>
      </c>
      <c r="G151" s="4">
        <v>122.13492455423142</v>
      </c>
      <c r="I151" s="4" t="s">
        <v>241</v>
      </c>
      <c r="J151" s="4">
        <v>46.088650775181669</v>
      </c>
    </row>
    <row r="152" spans="1:10" x14ac:dyDescent="0.25">
      <c r="A152">
        <v>7.6133083707247637</v>
      </c>
      <c r="B152">
        <v>6.3006977119230214</v>
      </c>
      <c r="C152">
        <v>15.142267993085847</v>
      </c>
      <c r="D152">
        <v>40.127010181677491</v>
      </c>
      <c r="E152" s="4" t="s">
        <v>67</v>
      </c>
      <c r="F152" s="4" t="s">
        <v>244</v>
      </c>
      <c r="G152" s="4">
        <v>40.127010181677491</v>
      </c>
      <c r="I152" s="4" t="s">
        <v>245</v>
      </c>
      <c r="J152" s="4">
        <v>15.142267993085847</v>
      </c>
    </row>
    <row r="153" spans="1:10" x14ac:dyDescent="0.25">
      <c r="A153">
        <v>8.1033821062960261</v>
      </c>
      <c r="B153">
        <v>4.3165057367255786</v>
      </c>
      <c r="C153">
        <v>10.373722030102327</v>
      </c>
      <c r="D153">
        <v>27.490363379771164</v>
      </c>
      <c r="E153" s="4" t="s">
        <v>69</v>
      </c>
      <c r="F153" s="4" t="s">
        <v>248</v>
      </c>
      <c r="G153" s="4">
        <v>27.490363379771164</v>
      </c>
      <c r="I153" s="4" t="s">
        <v>249</v>
      </c>
      <c r="J153" s="4">
        <v>10.373722030102327</v>
      </c>
    </row>
    <row r="154" spans="1:10" x14ac:dyDescent="0.25">
      <c r="A154">
        <v>2.4646586663367813</v>
      </c>
      <c r="B154">
        <v>0.16618070548817759</v>
      </c>
      <c r="C154">
        <v>0.39937684568175341</v>
      </c>
      <c r="D154">
        <v>1.0583486410566465</v>
      </c>
      <c r="E154" s="4" t="s">
        <v>71</v>
      </c>
      <c r="F154" s="4" t="s">
        <v>252</v>
      </c>
      <c r="G154" s="4">
        <v>1.0583486410566465</v>
      </c>
      <c r="I154" s="4" t="s">
        <v>253</v>
      </c>
      <c r="J154" s="4">
        <v>0.39937684568175341</v>
      </c>
    </row>
    <row r="155" spans="1:10" x14ac:dyDescent="0.25">
      <c r="A155">
        <v>16.392314152335945</v>
      </c>
      <c r="B155">
        <v>35.246888740520156</v>
      </c>
      <c r="C155">
        <v>84.707735497524993</v>
      </c>
      <c r="D155">
        <v>224.47549906844122</v>
      </c>
      <c r="E155" s="4" t="s">
        <v>73</v>
      </c>
      <c r="F155" s="4" t="s">
        <v>256</v>
      </c>
      <c r="G155" s="4">
        <v>224.47549906844122</v>
      </c>
      <c r="I155" s="4" t="s">
        <v>257</v>
      </c>
      <c r="J155" s="4">
        <v>84.707735497524993</v>
      </c>
    </row>
    <row r="156" spans="1:10" x14ac:dyDescent="0.25">
      <c r="A156">
        <v>12.379867895182729</v>
      </c>
      <c r="B156">
        <v>6.100418660250404</v>
      </c>
      <c r="C156">
        <v>14.660943667989436</v>
      </c>
      <c r="D156">
        <v>38.851500720172005</v>
      </c>
      <c r="E156" s="4" t="s">
        <v>75</v>
      </c>
      <c r="F156" s="4" t="s">
        <v>260</v>
      </c>
      <c r="G156" s="4">
        <v>38.851500720172005</v>
      </c>
      <c r="I156" s="4" t="s">
        <v>261</v>
      </c>
      <c r="J156" s="4">
        <v>14.660943667989436</v>
      </c>
    </row>
    <row r="157" spans="1:10" x14ac:dyDescent="0.25">
      <c r="A157">
        <v>82.001764801269218</v>
      </c>
      <c r="B157">
        <v>12420.964538856002</v>
      </c>
      <c r="C157">
        <v>29850.912133756312</v>
      </c>
      <c r="D157">
        <v>79104.917154454219</v>
      </c>
      <c r="E157" s="4" t="s">
        <v>77</v>
      </c>
      <c r="F157" s="4" t="s">
        <v>264</v>
      </c>
      <c r="G157" s="4">
        <v>79104.917154454219</v>
      </c>
      <c r="I157" s="4" t="s">
        <v>265</v>
      </c>
      <c r="J157" s="4">
        <v>29850.912133756312</v>
      </c>
    </row>
    <row r="158" spans="1:10" x14ac:dyDescent="0.25">
      <c r="A158">
        <v>9.3644774858766162</v>
      </c>
      <c r="B158">
        <v>5.2820484235802985</v>
      </c>
      <c r="C158">
        <v>12.694180301803168</v>
      </c>
      <c r="D158">
        <v>33.639577799778394</v>
      </c>
      <c r="E158" s="4" t="s">
        <v>79</v>
      </c>
      <c r="F158" s="4" t="s">
        <v>268</v>
      </c>
      <c r="G158" s="4">
        <v>33.639577799778394</v>
      </c>
      <c r="I158" s="4" t="s">
        <v>269</v>
      </c>
      <c r="J158" s="4">
        <v>12.694180301803168</v>
      </c>
    </row>
    <row r="159" spans="1:10" x14ac:dyDescent="0.25">
      <c r="A159">
        <v>16.571529440783326</v>
      </c>
      <c r="B159">
        <v>68.262004523277866</v>
      </c>
      <c r="C159">
        <v>164.05192146906481</v>
      </c>
      <c r="D159">
        <v>434.73759189302172</v>
      </c>
      <c r="E159" s="4" t="s">
        <v>81</v>
      </c>
      <c r="F159" s="4" t="s">
        <v>272</v>
      </c>
      <c r="G159" s="4">
        <v>434.73759189302172</v>
      </c>
      <c r="I159" s="4" t="s">
        <v>273</v>
      </c>
      <c r="J159" s="4">
        <v>164.05192146906481</v>
      </c>
    </row>
    <row r="160" spans="1:10" x14ac:dyDescent="0.25">
      <c r="A160">
        <v>30.666937476707659</v>
      </c>
      <c r="B160">
        <v>155.741725881571</v>
      </c>
      <c r="C160">
        <v>374.28917539430665</v>
      </c>
      <c r="D160">
        <v>991.86631479491257</v>
      </c>
      <c r="E160" s="4" t="s">
        <v>83</v>
      </c>
      <c r="F160" s="4" t="s">
        <v>276</v>
      </c>
      <c r="G160" s="4">
        <v>991.86631479491257</v>
      </c>
      <c r="I160" s="4" t="s">
        <v>277</v>
      </c>
      <c r="J160" s="4">
        <v>374.28917539430665</v>
      </c>
    </row>
    <row r="161" spans="1:10" x14ac:dyDescent="0.25">
      <c r="A161">
        <v>39.472624345596607</v>
      </c>
      <c r="B161">
        <v>541.12428843966347</v>
      </c>
      <c r="C161">
        <v>1300.4669272762881</v>
      </c>
      <c r="D161">
        <v>3446.2373572821634</v>
      </c>
      <c r="E161" s="4" t="s">
        <v>85</v>
      </c>
      <c r="F161" s="4" t="s">
        <v>280</v>
      </c>
      <c r="G161" s="4">
        <v>3446.2373572821634</v>
      </c>
      <c r="I161" s="4" t="s">
        <v>281</v>
      </c>
      <c r="J161" s="4">
        <v>1300.4669272762881</v>
      </c>
    </row>
    <row r="162" spans="1:10" x14ac:dyDescent="0.25">
      <c r="A162">
        <v>3.835052053150831</v>
      </c>
      <c r="B162">
        <v>0.38711693063814107</v>
      </c>
      <c r="C162">
        <v>0.93034590396092542</v>
      </c>
      <c r="D162">
        <v>2.4654166454964521</v>
      </c>
      <c r="E162" s="4" t="s">
        <v>87</v>
      </c>
      <c r="F162" s="4" t="s">
        <v>284</v>
      </c>
      <c r="G162" s="4">
        <v>2.4654166454964521</v>
      </c>
      <c r="I162" s="4" t="s">
        <v>285</v>
      </c>
      <c r="J162" s="4">
        <v>0.93034590396092542</v>
      </c>
    </row>
    <row r="163" spans="1:10" x14ac:dyDescent="0.25">
      <c r="A163">
        <v>19.778570990273689</v>
      </c>
      <c r="B163">
        <v>702.73845218637462</v>
      </c>
      <c r="C163">
        <v>1688.8691472876103</v>
      </c>
      <c r="D163">
        <v>4475.5032403121668</v>
      </c>
      <c r="E163" s="4" t="s">
        <v>89</v>
      </c>
      <c r="F163" s="4" t="s">
        <v>288</v>
      </c>
      <c r="G163" s="4">
        <v>4475.5032403121668</v>
      </c>
      <c r="I163" s="4" t="s">
        <v>289</v>
      </c>
      <c r="J163" s="4">
        <v>1688.8691472876103</v>
      </c>
    </row>
    <row r="164" spans="1:10" x14ac:dyDescent="0.25">
      <c r="A164">
        <v>10.417060136609591</v>
      </c>
      <c r="B164">
        <v>14.695313864375956</v>
      </c>
      <c r="C164">
        <v>35.316784100879495</v>
      </c>
      <c r="D164">
        <v>93.589477867330658</v>
      </c>
      <c r="E164" s="4" t="s">
        <v>91</v>
      </c>
      <c r="F164" s="4" t="s">
        <v>292</v>
      </c>
      <c r="G164" s="4">
        <v>93.589477867330658</v>
      </c>
      <c r="I164" s="4" t="s">
        <v>293</v>
      </c>
      <c r="J164" s="4">
        <v>35.316784100879495</v>
      </c>
    </row>
    <row r="165" spans="1:10" x14ac:dyDescent="0.25">
      <c r="A165">
        <v>350.59191086314615</v>
      </c>
      <c r="B165">
        <v>732579.22054167034</v>
      </c>
      <c r="C165">
        <v>1760584.5242529928</v>
      </c>
      <c r="D165">
        <v>4665548.989270431</v>
      </c>
      <c r="E165" s="4" t="s">
        <v>93</v>
      </c>
      <c r="F165" s="4" t="s">
        <v>296</v>
      </c>
      <c r="G165" s="4">
        <v>4665548.989270431</v>
      </c>
      <c r="I165" s="4" t="s">
        <v>297</v>
      </c>
      <c r="J165" s="4">
        <v>1760584.5242529928</v>
      </c>
    </row>
    <row r="166" spans="1:10" x14ac:dyDescent="0.25">
      <c r="A166">
        <v>24.652617581394473</v>
      </c>
      <c r="B166">
        <v>149.82666635756135</v>
      </c>
      <c r="C166">
        <v>360.07369948945296</v>
      </c>
      <c r="D166">
        <v>954.19530364705031</v>
      </c>
      <c r="E166" s="4" t="s">
        <v>95</v>
      </c>
      <c r="F166" s="4" t="s">
        <v>300</v>
      </c>
      <c r="G166" s="4">
        <v>954.19530364705031</v>
      </c>
      <c r="I166" s="4" t="s">
        <v>301</v>
      </c>
      <c r="J166" s="4">
        <v>360.07369948945296</v>
      </c>
    </row>
    <row r="167" spans="1:10" x14ac:dyDescent="0.25">
      <c r="A167">
        <v>12.452149355312054</v>
      </c>
      <c r="B167">
        <v>125.50074965330823</v>
      </c>
      <c r="C167">
        <v>301.61199147634761</v>
      </c>
      <c r="D167">
        <v>799.27177741232117</v>
      </c>
      <c r="E167" s="4" t="s">
        <v>97</v>
      </c>
      <c r="F167" s="4" t="s">
        <v>304</v>
      </c>
      <c r="G167" s="4">
        <v>799.27177741232117</v>
      </c>
      <c r="I167" s="4" t="s">
        <v>305</v>
      </c>
      <c r="J167" s="4">
        <v>301.61199147634761</v>
      </c>
    </row>
    <row r="168" spans="1:10" x14ac:dyDescent="0.25">
      <c r="A168">
        <v>6.6286117763133303</v>
      </c>
      <c r="B168">
        <v>5.2783874988881356</v>
      </c>
      <c r="C168">
        <v>12.68538211701066</v>
      </c>
      <c r="D168">
        <v>33.616262610078245</v>
      </c>
      <c r="E168" s="4" t="s">
        <v>99</v>
      </c>
      <c r="F168" s="4" t="s">
        <v>308</v>
      </c>
      <c r="G168" s="4">
        <v>33.616262610078245</v>
      </c>
      <c r="I168" s="4" t="s">
        <v>309</v>
      </c>
      <c r="J168" s="4">
        <v>12.68538211701066</v>
      </c>
    </row>
    <row r="169" spans="1:10" x14ac:dyDescent="0.25">
      <c r="A169">
        <v>16.075622640413457</v>
      </c>
      <c r="B169">
        <v>65.811446330841662</v>
      </c>
      <c r="C169">
        <v>158.16257229233759</v>
      </c>
      <c r="D169">
        <v>419.13081657469456</v>
      </c>
      <c r="E169" s="4" t="s">
        <v>101</v>
      </c>
      <c r="F169" s="4" t="s">
        <v>312</v>
      </c>
      <c r="G169" s="4">
        <v>419.13081657469456</v>
      </c>
      <c r="I169" s="4" t="s">
        <v>313</v>
      </c>
      <c r="J169" s="4">
        <v>158.16257229233759</v>
      </c>
    </row>
    <row r="170" spans="1:10" x14ac:dyDescent="0.25">
      <c r="A170">
        <v>10.773328173702811</v>
      </c>
      <c r="B170">
        <v>10.104691121020659</v>
      </c>
      <c r="C170">
        <v>24.28428531848272</v>
      </c>
      <c r="D170">
        <v>64.353356093979201</v>
      </c>
      <c r="E170" s="4" t="s">
        <v>103</v>
      </c>
      <c r="F170" s="4" t="s">
        <v>316</v>
      </c>
      <c r="G170" s="4">
        <v>64.353356093979201</v>
      </c>
      <c r="I170" s="4" t="s">
        <v>317</v>
      </c>
      <c r="J170" s="4">
        <v>24.28428531848272</v>
      </c>
    </row>
    <row r="171" spans="1:10" x14ac:dyDescent="0.25">
      <c r="A171">
        <v>15.081703345606748</v>
      </c>
      <c r="B171">
        <v>57.14785609899981</v>
      </c>
      <c r="C171">
        <v>137.34163926700268</v>
      </c>
      <c r="D171">
        <v>363.95534405755706</v>
      </c>
      <c r="E171" s="4" t="s">
        <v>105</v>
      </c>
      <c r="F171" s="4" t="s">
        <v>320</v>
      </c>
      <c r="G171" s="4">
        <v>363.95534405755706</v>
      </c>
      <c r="I171" s="4" t="s">
        <v>321</v>
      </c>
      <c r="J171" s="4">
        <v>137.34163926700268</v>
      </c>
    </row>
    <row r="172" spans="1:10" x14ac:dyDescent="0.25">
      <c r="A172">
        <v>32.138540635466981</v>
      </c>
      <c r="B172">
        <v>119.50359144469982</v>
      </c>
      <c r="C172">
        <v>287.1992103934146</v>
      </c>
      <c r="D172">
        <v>761.0779075425487</v>
      </c>
      <c r="E172" s="4" t="s">
        <v>107</v>
      </c>
      <c r="F172" s="4" t="s">
        <v>324</v>
      </c>
      <c r="G172" s="4">
        <v>761.0779075425487</v>
      </c>
      <c r="I172" s="4" t="s">
        <v>325</v>
      </c>
      <c r="J172" s="4">
        <v>287.1992103934146</v>
      </c>
    </row>
    <row r="173" spans="1:10" x14ac:dyDescent="0.25">
      <c r="A173">
        <v>14.793383479138265</v>
      </c>
      <c r="B173">
        <v>18.225428719811859</v>
      </c>
      <c r="C173">
        <v>43.800597740475503</v>
      </c>
      <c r="D173">
        <v>116.07158401226008</v>
      </c>
      <c r="E173" s="4" t="s">
        <v>109</v>
      </c>
      <c r="F173" s="4" t="s">
        <v>328</v>
      </c>
      <c r="G173" s="4">
        <v>116.07158401226008</v>
      </c>
      <c r="I173" s="4" t="s">
        <v>329</v>
      </c>
      <c r="J173" s="4">
        <v>43.800597740475503</v>
      </c>
    </row>
    <row r="174" spans="1:10" x14ac:dyDescent="0.25">
      <c r="A174">
        <v>16.70775184681812</v>
      </c>
      <c r="B174">
        <v>42.936048988650718</v>
      </c>
      <c r="C174">
        <v>103.18685169106155</v>
      </c>
      <c r="D174">
        <v>273.44515698131312</v>
      </c>
      <c r="E174" s="4" t="s">
        <v>111</v>
      </c>
      <c r="F174" s="4" t="s">
        <v>332</v>
      </c>
      <c r="G174" s="4">
        <v>273.44515698131312</v>
      </c>
      <c r="I174" s="4" t="s">
        <v>333</v>
      </c>
      <c r="J174" s="4">
        <v>103.18685169106155</v>
      </c>
    </row>
    <row r="175" spans="1:10" x14ac:dyDescent="0.25">
      <c r="A175">
        <v>16.618090288767622</v>
      </c>
      <c r="B175">
        <v>63.380205714134199</v>
      </c>
      <c r="C175">
        <v>152.31964843579476</v>
      </c>
      <c r="D175">
        <v>403.64706835485612</v>
      </c>
      <c r="E175" s="4" t="s">
        <v>113</v>
      </c>
      <c r="F175" s="4" t="s">
        <v>336</v>
      </c>
      <c r="G175" s="4">
        <v>403.64706835485612</v>
      </c>
      <c r="I175" s="4" t="s">
        <v>337</v>
      </c>
      <c r="J175" s="4">
        <v>152.31964843579476</v>
      </c>
    </row>
    <row r="176" spans="1:10" x14ac:dyDescent="0.25">
      <c r="A176">
        <v>60.117523176853574</v>
      </c>
      <c r="B176">
        <v>3259.0760705803609</v>
      </c>
      <c r="C176">
        <v>7832.4346805584255</v>
      </c>
      <c r="D176">
        <v>20755.951903479829</v>
      </c>
      <c r="E176" s="4" t="s">
        <v>115</v>
      </c>
      <c r="F176" s="4" t="s">
        <v>340</v>
      </c>
      <c r="G176" s="4">
        <v>20755.951903479829</v>
      </c>
      <c r="I176" s="4" t="s">
        <v>341</v>
      </c>
      <c r="J176" s="4">
        <v>7832.4346805584255</v>
      </c>
    </row>
    <row r="177" spans="1:10" x14ac:dyDescent="0.25">
      <c r="A177">
        <v>6.9659009997677632</v>
      </c>
      <c r="B177">
        <v>5.0701773734352189</v>
      </c>
      <c r="C177">
        <v>12.184997292562407</v>
      </c>
      <c r="D177">
        <v>32.290242825290377</v>
      </c>
      <c r="E177" s="4" t="s">
        <v>117</v>
      </c>
      <c r="F177" s="4" t="s">
        <v>344</v>
      </c>
      <c r="G177" s="4">
        <v>32.290242825290377</v>
      </c>
      <c r="I177" s="4" t="s">
        <v>345</v>
      </c>
      <c r="J177" s="4">
        <v>12.184997292562407</v>
      </c>
    </row>
    <row r="178" spans="1:10" x14ac:dyDescent="0.25">
      <c r="A178">
        <v>34.669882680142209</v>
      </c>
      <c r="B178">
        <v>773.87852388221097</v>
      </c>
      <c r="C178">
        <v>1859.8378367753205</v>
      </c>
      <c r="D178">
        <v>4928.5702674545992</v>
      </c>
      <c r="E178" s="4" t="s">
        <v>119</v>
      </c>
      <c r="F178" s="4" t="s">
        <v>348</v>
      </c>
      <c r="G178" s="4">
        <v>4928.5702674545992</v>
      </c>
      <c r="I178" s="4" t="s">
        <v>349</v>
      </c>
      <c r="J178" s="4">
        <v>1859.8378367753205</v>
      </c>
    </row>
    <row r="179" spans="1:10" x14ac:dyDescent="0.25">
      <c r="A179">
        <v>578.60406367314204</v>
      </c>
      <c r="B179">
        <v>193706.60896927791</v>
      </c>
      <c r="C179">
        <v>465528.98094034585</v>
      </c>
      <c r="D179">
        <v>1233651.7994919166</v>
      </c>
      <c r="E179" s="4" t="s">
        <v>121</v>
      </c>
      <c r="F179" s="4" t="s">
        <v>352</v>
      </c>
      <c r="G179" s="4">
        <v>1233651.7994919166</v>
      </c>
      <c r="I179" s="4" t="s">
        <v>353</v>
      </c>
      <c r="J179" s="4">
        <v>465528.98094034585</v>
      </c>
    </row>
    <row r="180" spans="1:10" x14ac:dyDescent="0.25">
      <c r="A180">
        <v>10.703559950474041</v>
      </c>
      <c r="B180">
        <v>14.765942317059787</v>
      </c>
      <c r="C180">
        <v>35.486523232539746</v>
      </c>
      <c r="D180">
        <v>94.039286566230317</v>
      </c>
      <c r="E180" s="4" t="s">
        <v>123</v>
      </c>
      <c r="F180" s="4" t="s">
        <v>356</v>
      </c>
      <c r="G180" s="4">
        <v>94.039286566230317</v>
      </c>
      <c r="I180" s="4" t="s">
        <v>357</v>
      </c>
      <c r="J180" s="4">
        <v>35.486523232539746</v>
      </c>
    </row>
    <row r="181" spans="1:10" x14ac:dyDescent="0.25">
      <c r="A181">
        <v>12.942111147109506</v>
      </c>
      <c r="B181">
        <v>25.171327616078905</v>
      </c>
      <c r="C181">
        <v>60.493457380627028</v>
      </c>
      <c r="D181">
        <v>160.30766205866161</v>
      </c>
      <c r="E181" s="4" t="s">
        <v>125</v>
      </c>
      <c r="F181" s="4" t="s">
        <v>360</v>
      </c>
      <c r="G181" s="4">
        <v>160.30766205866161</v>
      </c>
      <c r="I181" s="4" t="s">
        <v>361</v>
      </c>
      <c r="J181" s="4">
        <v>60.493457380627028</v>
      </c>
    </row>
    <row r="182" spans="1:10" x14ac:dyDescent="0.25">
      <c r="A182">
        <v>29.402411224522382</v>
      </c>
      <c r="B182">
        <v>355.85811815251105</v>
      </c>
      <c r="C182">
        <v>855.22258628337204</v>
      </c>
      <c r="D182">
        <v>2266.3398536509358</v>
      </c>
      <c r="E182" s="4" t="s">
        <v>127</v>
      </c>
      <c r="F182" s="4" t="s">
        <v>364</v>
      </c>
      <c r="G182" s="4">
        <v>2266.3398536509358</v>
      </c>
      <c r="I182" s="4" t="s">
        <v>365</v>
      </c>
      <c r="J182" s="4">
        <v>855.22258628337204</v>
      </c>
    </row>
    <row r="183" spans="1:10" x14ac:dyDescent="0.25">
      <c r="A183">
        <v>6.6500003694091596</v>
      </c>
      <c r="B183">
        <v>2.9284406112263168</v>
      </c>
      <c r="C183">
        <v>7.0378289142665631</v>
      </c>
      <c r="D183">
        <v>18.650246622806392</v>
      </c>
      <c r="E183" s="4" t="s">
        <v>129</v>
      </c>
      <c r="F183" s="4" t="s">
        <v>368</v>
      </c>
      <c r="G183" s="4">
        <v>18.650246622806392</v>
      </c>
      <c r="I183" s="4" t="s">
        <v>369</v>
      </c>
      <c r="J183" s="4">
        <v>7.0378289142665631</v>
      </c>
    </row>
    <row r="184" spans="1:10" x14ac:dyDescent="0.25">
      <c r="A184">
        <v>8.2840045843362304</v>
      </c>
      <c r="B184">
        <v>6.4420633948748094</v>
      </c>
      <c r="C184">
        <v>15.482007678141816</v>
      </c>
      <c r="D184">
        <v>41.027320347075808</v>
      </c>
      <c r="E184" s="4" t="s">
        <v>131</v>
      </c>
      <c r="F184" s="4" t="s">
        <v>372</v>
      </c>
      <c r="G184" s="4">
        <v>41.027320347075808</v>
      </c>
      <c r="I184" s="4" t="s">
        <v>373</v>
      </c>
      <c r="J184" s="4">
        <v>15.482007678141816</v>
      </c>
    </row>
    <row r="185" spans="1:10" x14ac:dyDescent="0.25">
      <c r="A185">
        <v>10.848534343900615</v>
      </c>
      <c r="B185">
        <v>20.580410469368999</v>
      </c>
      <c r="C185">
        <v>49.460251067937989</v>
      </c>
      <c r="D185">
        <v>131.06966533003566</v>
      </c>
      <c r="E185" s="4" t="s">
        <v>133</v>
      </c>
      <c r="F185" s="4" t="s">
        <v>376</v>
      </c>
      <c r="G185" s="4">
        <v>131.06966533003566</v>
      </c>
      <c r="I185" s="4" t="s">
        <v>377</v>
      </c>
      <c r="J185" s="4">
        <v>49.460251067937989</v>
      </c>
    </row>
    <row r="186" spans="1:10" x14ac:dyDescent="0.25">
      <c r="A186">
        <v>5.7025661645753152</v>
      </c>
      <c r="B186">
        <v>2.225318840219825</v>
      </c>
      <c r="C186">
        <v>5.3480385489541566</v>
      </c>
      <c r="D186">
        <v>14.172302154728515</v>
      </c>
      <c r="E186" s="4" t="s">
        <v>135</v>
      </c>
      <c r="F186" s="4" t="s">
        <v>380</v>
      </c>
      <c r="G186" s="4">
        <v>14.172302154728515</v>
      </c>
      <c r="I186" s="4" t="s">
        <v>381</v>
      </c>
      <c r="J186" s="4">
        <v>5.3480385489541566</v>
      </c>
    </row>
    <row r="187" spans="1:10" x14ac:dyDescent="0.25">
      <c r="A187">
        <v>14.233095682372005</v>
      </c>
      <c r="B187">
        <v>22.34674294714781</v>
      </c>
      <c r="C187">
        <v>53.705222175313168</v>
      </c>
      <c r="D187">
        <v>142.31883876457988</v>
      </c>
      <c r="E187" s="4" t="s">
        <v>137</v>
      </c>
      <c r="F187" s="4" t="s">
        <v>384</v>
      </c>
      <c r="G187" s="4">
        <v>142.31883876457988</v>
      </c>
      <c r="I187" s="4" t="s">
        <v>385</v>
      </c>
      <c r="J187" s="4">
        <v>53.705222175313168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selection activeCell="F2" sqref="F2"/>
    </sheetView>
  </sheetViews>
  <sheetFormatPr defaultRowHeight="15" x14ac:dyDescent="0.25"/>
  <cols>
    <col min="1" max="1" width="5.42578125"/>
    <col min="2" max="2" width="24.7109375"/>
    <col min="3" max="3" width="6.85546875"/>
    <col min="4" max="4" width="7.42578125"/>
    <col min="5" max="5" width="4"/>
    <col min="6" max="11" width="11.7109375"/>
    <col min="12" max="12" width="7.85546875"/>
    <col min="13" max="13" width="5.85546875"/>
    <col min="14" max="20" width="11.7109375"/>
    <col min="21" max="21" width="12.5703125"/>
    <col min="22" max="1025" width="7.28515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95</v>
      </c>
      <c r="B3" s="2" t="s">
        <v>96</v>
      </c>
      <c r="C3">
        <v>1</v>
      </c>
      <c r="D3">
        <v>2</v>
      </c>
      <c r="E3">
        <v>2</v>
      </c>
      <c r="F3">
        <v>127.5414564</v>
      </c>
      <c r="G3">
        <v>337.98485950000003</v>
      </c>
      <c r="H3">
        <v>53.070000010000001</v>
      </c>
      <c r="I3">
        <v>5.3069999999999999E-2</v>
      </c>
      <c r="J3">
        <v>5.3100000000000003E-5</v>
      </c>
      <c r="K3">
        <v>0.11699918300000001</v>
      </c>
      <c r="L3">
        <v>0.01</v>
      </c>
      <c r="M3">
        <v>3</v>
      </c>
      <c r="N3">
        <v>15.782353730000001</v>
      </c>
      <c r="O3">
        <v>44.836473739153099</v>
      </c>
      <c r="P3">
        <v>1216.8249786763299</v>
      </c>
      <c r="Q3">
        <v>2924.35707444442</v>
      </c>
      <c r="R3">
        <v>7749.5462472777299</v>
      </c>
      <c r="S3">
        <v>136</v>
      </c>
      <c r="T3">
        <v>0.2</v>
      </c>
      <c r="U3">
        <v>0</v>
      </c>
    </row>
    <row r="4" spans="1:21" x14ac:dyDescent="0.25">
      <c r="A4" t="s">
        <v>101</v>
      </c>
      <c r="B4" t="s">
        <v>102</v>
      </c>
      <c r="C4">
        <v>1</v>
      </c>
      <c r="D4">
        <v>2</v>
      </c>
      <c r="E4">
        <v>2</v>
      </c>
      <c r="F4">
        <v>127.5414564</v>
      </c>
      <c r="G4">
        <v>337.98485950000003</v>
      </c>
      <c r="H4">
        <v>53.070000010000001</v>
      </c>
      <c r="I4">
        <v>5.3069999999999999E-2</v>
      </c>
      <c r="J4">
        <v>5.3100000000000003E-5</v>
      </c>
      <c r="K4">
        <v>0.11699918300000001</v>
      </c>
      <c r="L4">
        <v>1.2E-2</v>
      </c>
      <c r="M4">
        <v>3.1</v>
      </c>
      <c r="N4">
        <v>14.99760408</v>
      </c>
      <c r="O4" s="2">
        <v>30.428790426725801</v>
      </c>
      <c r="P4" s="2">
        <v>475.733552301668</v>
      </c>
      <c r="Q4" s="2">
        <v>1143.3154345149401</v>
      </c>
      <c r="R4" s="2">
        <v>3029.7859014646001</v>
      </c>
      <c r="S4">
        <v>150.03333333333299</v>
      </c>
      <c r="T4">
        <v>0.11333333333333299</v>
      </c>
      <c r="U4">
        <v>0</v>
      </c>
    </row>
    <row r="5" spans="1:21" x14ac:dyDescent="0.25">
      <c r="A5" t="s">
        <v>37</v>
      </c>
      <c r="B5" t="s">
        <v>38</v>
      </c>
      <c r="C5">
        <v>1</v>
      </c>
      <c r="D5">
        <v>9</v>
      </c>
      <c r="E5">
        <v>9</v>
      </c>
      <c r="F5">
        <v>1513105530</v>
      </c>
      <c r="G5">
        <v>4009729654</v>
      </c>
      <c r="H5">
        <v>629603211</v>
      </c>
      <c r="I5">
        <v>629603.21100000001</v>
      </c>
      <c r="J5">
        <v>629.60321099999999</v>
      </c>
      <c r="K5">
        <v>1388035.831</v>
      </c>
      <c r="L5" s="2">
        <v>6.0000000000000001E-3</v>
      </c>
      <c r="M5">
        <v>3</v>
      </c>
      <c r="N5">
        <v>1465.5893920000001</v>
      </c>
      <c r="O5" s="2">
        <v>2074.86068892197</v>
      </c>
      <c r="P5" s="2">
        <v>53594235.192170598</v>
      </c>
      <c r="Q5" s="2">
        <v>128801334.275824</v>
      </c>
      <c r="R5" s="2">
        <v>341323535.830935</v>
      </c>
      <c r="S5" s="2">
        <v>2097.36</v>
      </c>
      <c r="T5" s="2">
        <v>0.5</v>
      </c>
      <c r="U5" s="2">
        <v>0</v>
      </c>
    </row>
    <row r="6" spans="1:21" x14ac:dyDescent="0.25">
      <c r="A6" s="2" t="s">
        <v>31</v>
      </c>
      <c r="B6" t="s">
        <v>32</v>
      </c>
      <c r="C6">
        <v>1</v>
      </c>
      <c r="D6">
        <v>1</v>
      </c>
      <c r="E6">
        <v>1</v>
      </c>
      <c r="F6">
        <v>49.194905069999997</v>
      </c>
      <c r="G6">
        <v>130.36649840000001</v>
      </c>
      <c r="H6">
        <v>20.469999999626999</v>
      </c>
      <c r="I6">
        <v>2.0469999999626998E-2</v>
      </c>
      <c r="J6">
        <v>2.0469999999626999E-5</v>
      </c>
      <c r="K6">
        <v>4.5128571399177697E-2</v>
      </c>
      <c r="L6" s="3">
        <v>1.1599999999999999E-2</v>
      </c>
      <c r="M6" s="3">
        <v>3</v>
      </c>
      <c r="N6">
        <v>12.084256948656501</v>
      </c>
      <c r="O6" s="2">
        <v>17.621741541719199</v>
      </c>
      <c r="P6" s="2">
        <v>63.475257401935899</v>
      </c>
      <c r="Q6" s="2">
        <v>152.54808315774099</v>
      </c>
      <c r="R6" s="2">
        <v>404.25242036801302</v>
      </c>
      <c r="S6" s="2">
        <v>29.1726666666667</v>
      </c>
      <c r="T6" s="2">
        <v>0.92646666666666699</v>
      </c>
      <c r="U6" s="2">
        <v>0</v>
      </c>
    </row>
    <row r="7" spans="1:21" x14ac:dyDescent="0.25">
      <c r="A7" t="s">
        <v>25</v>
      </c>
      <c r="B7" t="s">
        <v>26</v>
      </c>
      <c r="C7">
        <v>1</v>
      </c>
      <c r="D7">
        <v>3</v>
      </c>
      <c r="E7">
        <v>3</v>
      </c>
      <c r="F7">
        <v>829.48845900000003</v>
      </c>
      <c r="G7">
        <v>2197.74442</v>
      </c>
      <c r="H7">
        <v>345.15014780000001</v>
      </c>
      <c r="I7">
        <v>0.34515014799999999</v>
      </c>
      <c r="J7">
        <v>3.4515000000000001E-4</v>
      </c>
      <c r="K7">
        <v>0.76092491900000003</v>
      </c>
      <c r="L7">
        <v>2.1399999999999999E-2</v>
      </c>
      <c r="M7">
        <v>2.96</v>
      </c>
      <c r="N7">
        <v>26.392744749999999</v>
      </c>
      <c r="O7">
        <v>33.658006569474097</v>
      </c>
      <c r="P7">
        <v>708.91703154675895</v>
      </c>
      <c r="Q7">
        <v>1703.71793209988</v>
      </c>
      <c r="R7">
        <v>4514.85252006467</v>
      </c>
      <c r="S7">
        <v>358.7</v>
      </c>
      <c r="T7">
        <v>9.1999999999999998E-2</v>
      </c>
      <c r="U7">
        <v>-1.929</v>
      </c>
    </row>
    <row r="8" spans="1:21" x14ac:dyDescent="0.25">
      <c r="A8" t="s">
        <v>33</v>
      </c>
      <c r="B8" t="s">
        <v>34</v>
      </c>
      <c r="C8">
        <v>1</v>
      </c>
      <c r="D8">
        <v>2</v>
      </c>
      <c r="E8">
        <v>2</v>
      </c>
      <c r="F8">
        <v>127.5414564</v>
      </c>
      <c r="G8">
        <v>337.98485950000003</v>
      </c>
      <c r="H8">
        <v>53.070000010000001</v>
      </c>
      <c r="I8">
        <v>5.3069999999999999E-2</v>
      </c>
      <c r="J8">
        <v>5.3100000000000003E-5</v>
      </c>
      <c r="K8">
        <v>0.11699918300000001</v>
      </c>
      <c r="L8">
        <v>1.4999999999999999E-2</v>
      </c>
      <c r="M8">
        <v>3</v>
      </c>
      <c r="N8">
        <v>15.23769499</v>
      </c>
      <c r="O8">
        <v>19.1988128345637</v>
      </c>
      <c r="P8">
        <v>106.148627567673</v>
      </c>
      <c r="Q8">
        <v>255.10364712250299</v>
      </c>
      <c r="R8">
        <v>676.02466487463198</v>
      </c>
      <c r="S8" s="4">
        <v>58.9</v>
      </c>
      <c r="T8" s="4">
        <v>0.22</v>
      </c>
      <c r="U8" s="4">
        <v>0.20699999999999999</v>
      </c>
    </row>
    <row r="9" spans="1:21" x14ac:dyDescent="0.25">
      <c r="A9" t="s">
        <v>29</v>
      </c>
      <c r="B9" t="s">
        <v>30</v>
      </c>
      <c r="C9">
        <v>1</v>
      </c>
      <c r="D9">
        <v>7</v>
      </c>
      <c r="E9" s="2">
        <v>7</v>
      </c>
      <c r="F9">
        <v>1355.00938</v>
      </c>
      <c r="G9">
        <v>3590.52486</v>
      </c>
      <c r="H9">
        <v>563.81940299999997</v>
      </c>
      <c r="I9">
        <v>0.563819403</v>
      </c>
      <c r="J9">
        <v>5.6381900000000002E-4</v>
      </c>
      <c r="K9">
        <v>1.243007532</v>
      </c>
      <c r="L9">
        <v>3.2499999999999999E-3</v>
      </c>
      <c r="M9">
        <v>3</v>
      </c>
      <c r="N9">
        <v>55.772342469999998</v>
      </c>
      <c r="O9">
        <v>219.265780084395</v>
      </c>
      <c r="P9">
        <v>34260.676659675199</v>
      </c>
      <c r="Q9">
        <v>82337.603123468507</v>
      </c>
      <c r="R9">
        <v>218194.648277192</v>
      </c>
      <c r="S9">
        <v>282</v>
      </c>
      <c r="T9">
        <v>0.18</v>
      </c>
      <c r="U9">
        <v>-1.35</v>
      </c>
    </row>
    <row r="10" spans="1:21" x14ac:dyDescent="0.25">
      <c r="A10" t="s">
        <v>23</v>
      </c>
      <c r="B10" t="s">
        <v>24</v>
      </c>
      <c r="C10">
        <v>1</v>
      </c>
      <c r="D10">
        <v>3</v>
      </c>
      <c r="E10">
        <v>3</v>
      </c>
      <c r="F10">
        <v>829.48845900000003</v>
      </c>
      <c r="G10">
        <v>2197.74442</v>
      </c>
      <c r="H10">
        <v>345.15014780000001</v>
      </c>
      <c r="I10">
        <v>0.34515014799999999</v>
      </c>
      <c r="J10">
        <v>3.4515000000000001E-4</v>
      </c>
      <c r="K10">
        <v>0.76092491900000003</v>
      </c>
      <c r="L10">
        <v>0.03</v>
      </c>
      <c r="M10">
        <v>3</v>
      </c>
      <c r="N10">
        <v>30.046246140000001</v>
      </c>
      <c r="O10">
        <v>48.279812187087401</v>
      </c>
      <c r="P10">
        <v>1296.2217182591</v>
      </c>
      <c r="Q10">
        <v>3115.1687533263698</v>
      </c>
      <c r="R10">
        <v>8255.1971963148899</v>
      </c>
      <c r="S10">
        <v>314.89999999999998</v>
      </c>
      <c r="T10">
        <v>8.8999999999999996E-2</v>
      </c>
      <c r="U10">
        <v>-1.1299999999999999</v>
      </c>
    </row>
    <row r="11" spans="1:21" x14ac:dyDescent="0.25">
      <c r="A11" t="s">
        <v>27</v>
      </c>
      <c r="B11" t="s">
        <v>28</v>
      </c>
      <c r="C11">
        <v>1</v>
      </c>
      <c r="D11">
        <v>1</v>
      </c>
      <c r="E11">
        <v>1</v>
      </c>
      <c r="F11">
        <v>269.40639270000003</v>
      </c>
      <c r="G11">
        <v>713.92694070000005</v>
      </c>
      <c r="H11">
        <v>112.1</v>
      </c>
      <c r="I11">
        <v>0.11210000000000001</v>
      </c>
      <c r="J11">
        <v>1.121E-4</v>
      </c>
      <c r="K11">
        <v>0.24713790199999999</v>
      </c>
      <c r="L11">
        <v>1.0999999999999999E-2</v>
      </c>
      <c r="M11">
        <v>2.9</v>
      </c>
      <c r="N11">
        <v>24.106956749999998</v>
      </c>
      <c r="O11">
        <v>27.042514542150101</v>
      </c>
      <c r="P11">
        <v>156.43329523840299</v>
      </c>
      <c r="Q11">
        <v>375.95120220717001</v>
      </c>
      <c r="R11">
        <v>996.27068584899905</v>
      </c>
      <c r="S11">
        <v>81.53</v>
      </c>
      <c r="T11">
        <v>0.31</v>
      </c>
      <c r="U11">
        <v>-0.3</v>
      </c>
    </row>
    <row r="12" spans="1:21" x14ac:dyDescent="0.25">
      <c r="A12" t="s">
        <v>35</v>
      </c>
      <c r="B12" t="s">
        <v>36</v>
      </c>
      <c r="C12">
        <v>1</v>
      </c>
      <c r="D12">
        <v>1</v>
      </c>
      <c r="E12">
        <v>1</v>
      </c>
      <c r="F12">
        <v>49.194905069999997</v>
      </c>
      <c r="G12">
        <v>130.36649840000001</v>
      </c>
      <c r="H12">
        <v>20.47</v>
      </c>
      <c r="I12">
        <v>2.0469999999999999E-2</v>
      </c>
      <c r="J12">
        <v>2.05E-5</v>
      </c>
      <c r="K12">
        <v>4.5128570999999999E-2</v>
      </c>
      <c r="L12">
        <v>2.1000000000000001E-2</v>
      </c>
      <c r="M12">
        <v>3</v>
      </c>
      <c r="N12">
        <v>9.9151551869999999</v>
      </c>
      <c r="O12">
        <v>12.644084665180401</v>
      </c>
      <c r="P12">
        <v>42.450370046910898</v>
      </c>
      <c r="Q12">
        <v>102.019634815936</v>
      </c>
      <c r="R12">
        <v>270.35203226223001</v>
      </c>
      <c r="S12" s="4">
        <v>21.02</v>
      </c>
      <c r="T12" s="4">
        <v>0.86</v>
      </c>
      <c r="U12" s="4">
        <v>-6.9989999999999997E-2</v>
      </c>
    </row>
    <row r="13" spans="1:21" x14ac:dyDescent="0.25">
      <c r="A13" t="s">
        <v>39</v>
      </c>
      <c r="B13" t="s">
        <v>40</v>
      </c>
      <c r="C13">
        <v>1</v>
      </c>
      <c r="D13">
        <v>2</v>
      </c>
      <c r="E13">
        <v>2</v>
      </c>
      <c r="F13">
        <v>309.3006489</v>
      </c>
      <c r="G13">
        <v>819.64671959999998</v>
      </c>
      <c r="H13">
        <v>128.69999999999999</v>
      </c>
      <c r="I13">
        <v>0.12870000000000001</v>
      </c>
      <c r="J13">
        <v>1.2870000000000001E-4</v>
      </c>
      <c r="K13">
        <v>0.28373459400000001</v>
      </c>
      <c r="L13">
        <v>1.2E-2</v>
      </c>
      <c r="M13">
        <v>3</v>
      </c>
      <c r="N13">
        <v>22.05290299</v>
      </c>
      <c r="O13">
        <v>28.0613187207728</v>
      </c>
      <c r="P13">
        <v>265.15845240718301</v>
      </c>
      <c r="Q13">
        <v>637.24694161783896</v>
      </c>
      <c r="R13">
        <v>1688.70439528727</v>
      </c>
      <c r="S13">
        <v>150.93</v>
      </c>
      <c r="T13">
        <v>0.11</v>
      </c>
      <c r="U13">
        <v>0.13</v>
      </c>
    </row>
    <row r="14" spans="1:21" x14ac:dyDescent="0.25">
      <c r="A14" t="s">
        <v>45</v>
      </c>
      <c r="B14" t="s">
        <v>46</v>
      </c>
      <c r="C14">
        <v>1</v>
      </c>
      <c r="D14">
        <v>5</v>
      </c>
      <c r="E14">
        <v>5</v>
      </c>
      <c r="F14">
        <v>819.66597860000002</v>
      </c>
      <c r="G14">
        <v>2172.1148429999998</v>
      </c>
      <c r="H14">
        <v>341.0630137</v>
      </c>
      <c r="I14">
        <v>0.341063014</v>
      </c>
      <c r="J14">
        <v>3.4106300000000001E-4</v>
      </c>
      <c r="K14">
        <v>0.75191434099999999</v>
      </c>
      <c r="L14">
        <v>3.96E-3</v>
      </c>
      <c r="M14">
        <v>3.2</v>
      </c>
      <c r="N14">
        <v>34.852270400000002</v>
      </c>
      <c r="O14" s="2">
        <v>210.25548566594</v>
      </c>
      <c r="P14" s="2">
        <v>107272.06964857</v>
      </c>
      <c r="Q14" s="2">
        <v>257803.58002540399</v>
      </c>
      <c r="R14" s="2">
        <v>683179.48706732003</v>
      </c>
      <c r="S14" s="2">
        <v>300.78571428571399</v>
      </c>
      <c r="T14" s="2">
        <v>0.24014285714285699</v>
      </c>
      <c r="U14" s="2">
        <v>0</v>
      </c>
    </row>
    <row r="15" spans="1:21" x14ac:dyDescent="0.25">
      <c r="A15" t="s">
        <v>43</v>
      </c>
      <c r="B15" t="s">
        <v>44</v>
      </c>
      <c r="C15">
        <v>1</v>
      </c>
      <c r="D15">
        <v>2</v>
      </c>
      <c r="E15">
        <v>2</v>
      </c>
      <c r="F15">
        <v>127.5414564</v>
      </c>
      <c r="G15">
        <v>337.98485950000003</v>
      </c>
      <c r="H15">
        <v>53.070000010000001</v>
      </c>
      <c r="I15">
        <v>5.3069999999999999E-2</v>
      </c>
      <c r="J15">
        <v>5.3100000000000003E-5</v>
      </c>
      <c r="K15">
        <v>0.11699918300000001</v>
      </c>
      <c r="L15">
        <v>1.44E-2</v>
      </c>
      <c r="M15">
        <v>3</v>
      </c>
      <c r="N15">
        <v>15.44645648</v>
      </c>
      <c r="O15" s="2">
        <v>28.1894449982616</v>
      </c>
      <c r="P15" s="2">
        <v>322.56858449086297</v>
      </c>
      <c r="Q15" s="2">
        <v>775.21890048272701</v>
      </c>
      <c r="R15" s="2">
        <v>2054.3300862792298</v>
      </c>
      <c r="S15" s="2">
        <v>47.633333333333297</v>
      </c>
      <c r="T15" s="2">
        <v>0.44800000000000001</v>
      </c>
      <c r="U15" s="2">
        <v>0</v>
      </c>
    </row>
    <row r="16" spans="1:21" x14ac:dyDescent="0.25">
      <c r="A16" t="s">
        <v>53</v>
      </c>
      <c r="B16" t="s">
        <v>54</v>
      </c>
      <c r="C16">
        <v>1</v>
      </c>
      <c r="D16">
        <v>2</v>
      </c>
      <c r="E16">
        <v>2</v>
      </c>
      <c r="F16">
        <v>476.02739730000002</v>
      </c>
      <c r="G16">
        <v>1261.4726029999999</v>
      </c>
      <c r="H16">
        <v>198.07499999999999</v>
      </c>
      <c r="I16">
        <v>0.198075</v>
      </c>
      <c r="J16">
        <v>1.98075E-4</v>
      </c>
      <c r="K16">
        <v>0.43668010699999998</v>
      </c>
      <c r="L16">
        <v>1.2E-2</v>
      </c>
      <c r="M16">
        <v>2.95</v>
      </c>
      <c r="N16">
        <v>26.897463590000001</v>
      </c>
      <c r="O16">
        <v>11.817416766733</v>
      </c>
      <c r="P16">
        <v>17.503414393556</v>
      </c>
      <c r="Q16">
        <v>42.065403493285203</v>
      </c>
      <c r="R16">
        <v>111.473319257206</v>
      </c>
      <c r="S16">
        <v>41</v>
      </c>
      <c r="T16">
        <v>0.17</v>
      </c>
      <c r="U16">
        <v>0</v>
      </c>
    </row>
    <row r="17" spans="1:21" x14ac:dyDescent="0.25">
      <c r="A17" t="s">
        <v>57</v>
      </c>
      <c r="B17" t="s">
        <v>58</v>
      </c>
      <c r="C17">
        <v>1</v>
      </c>
      <c r="D17">
        <v>2</v>
      </c>
      <c r="E17">
        <v>2</v>
      </c>
      <c r="F17">
        <v>290.55515500000001</v>
      </c>
      <c r="G17">
        <v>769.97116089999997</v>
      </c>
      <c r="H17">
        <v>120.9</v>
      </c>
      <c r="I17">
        <v>0.12089999999999999</v>
      </c>
      <c r="J17">
        <v>1.209E-4</v>
      </c>
      <c r="K17">
        <v>0.26653855799999998</v>
      </c>
      <c r="L17">
        <v>4.0000000000000001E-3</v>
      </c>
      <c r="M17">
        <v>3.1</v>
      </c>
      <c r="N17">
        <v>21.719413710000001</v>
      </c>
      <c r="O17">
        <v>40.143918515854601</v>
      </c>
      <c r="P17">
        <v>763.38090886834902</v>
      </c>
      <c r="Q17">
        <v>1834.60924986385</v>
      </c>
      <c r="R17">
        <v>4861.7145121392095</v>
      </c>
      <c r="S17">
        <v>72.900000000000006</v>
      </c>
      <c r="T17">
        <v>0.4</v>
      </c>
      <c r="U17">
        <v>0</v>
      </c>
    </row>
    <row r="18" spans="1:21" x14ac:dyDescent="0.25">
      <c r="A18" t="s">
        <v>59</v>
      </c>
      <c r="B18" t="s">
        <v>60</v>
      </c>
      <c r="C18">
        <v>1</v>
      </c>
      <c r="D18">
        <v>2</v>
      </c>
      <c r="E18">
        <v>2</v>
      </c>
      <c r="F18">
        <v>476.02739730000002</v>
      </c>
      <c r="G18">
        <v>1261.4726029999999</v>
      </c>
      <c r="H18">
        <v>198.07499999999999</v>
      </c>
      <c r="I18">
        <v>0.198075</v>
      </c>
      <c r="J18">
        <v>1.98075E-4</v>
      </c>
      <c r="K18">
        <v>0.43668010699999998</v>
      </c>
      <c r="L18">
        <v>1.6799999999999999E-2</v>
      </c>
      <c r="M18">
        <v>3.1</v>
      </c>
      <c r="N18">
        <v>20.577550299999999</v>
      </c>
      <c r="O18">
        <v>30.0191810829898</v>
      </c>
      <c r="P18">
        <v>638.62466460155497</v>
      </c>
      <c r="Q18">
        <v>1534.78650469011</v>
      </c>
      <c r="R18">
        <v>4067.1842374287999</v>
      </c>
      <c r="S18">
        <v>263.2</v>
      </c>
      <c r="T18">
        <v>7.0000000000000007E-2</v>
      </c>
      <c r="U18">
        <v>0.27</v>
      </c>
    </row>
    <row r="19" spans="1:21" x14ac:dyDescent="0.25">
      <c r="A19" t="s">
        <v>61</v>
      </c>
      <c r="B19" t="s">
        <v>62</v>
      </c>
      <c r="C19">
        <v>1</v>
      </c>
      <c r="D19">
        <v>1</v>
      </c>
      <c r="E19">
        <v>1</v>
      </c>
      <c r="F19">
        <v>16.822879109999999</v>
      </c>
      <c r="G19">
        <v>44.580629649999999</v>
      </c>
      <c r="H19">
        <v>6.9999999979999998</v>
      </c>
      <c r="I19">
        <v>7.0000000000000001E-3</v>
      </c>
      <c r="J19">
        <v>6.9999999999999999E-6</v>
      </c>
      <c r="K19">
        <v>1.5432339999999999E-2</v>
      </c>
      <c r="L19">
        <v>1.2500000000000001E-2</v>
      </c>
      <c r="M19">
        <v>3</v>
      </c>
      <c r="N19">
        <v>8.2425705990000004</v>
      </c>
      <c r="O19">
        <v>4.5195828904047897</v>
      </c>
      <c r="P19">
        <v>1.1539980651435</v>
      </c>
      <c r="Q19">
        <v>2.77336713564888</v>
      </c>
      <c r="R19">
        <v>7.3494229094695402</v>
      </c>
      <c r="S19">
        <v>33.700000000000003</v>
      </c>
      <c r="T19">
        <v>0.32</v>
      </c>
      <c r="U19">
        <v>0.55000000000000004</v>
      </c>
    </row>
    <row r="20" spans="1:21" x14ac:dyDescent="0.25">
      <c r="A20" t="s">
        <v>63</v>
      </c>
      <c r="B20" t="s">
        <v>64</v>
      </c>
      <c r="C20">
        <v>1</v>
      </c>
      <c r="D20">
        <v>2</v>
      </c>
      <c r="E20">
        <v>2</v>
      </c>
      <c r="F20">
        <v>127.5414564</v>
      </c>
      <c r="G20">
        <v>337.98485950000003</v>
      </c>
      <c r="H20">
        <v>53.070000010000001</v>
      </c>
      <c r="I20">
        <v>5.3069999999999999E-2</v>
      </c>
      <c r="J20">
        <v>5.3100000000000003E-5</v>
      </c>
      <c r="K20">
        <v>0.11699918300000001</v>
      </c>
      <c r="L20">
        <v>1.2E-2</v>
      </c>
      <c r="M20">
        <v>3.1</v>
      </c>
      <c r="N20">
        <v>14.99760408</v>
      </c>
      <c r="O20">
        <v>26.2839081072242</v>
      </c>
      <c r="P20">
        <v>302.14823421892999</v>
      </c>
      <c r="Q20">
        <v>726.14331703660196</v>
      </c>
      <c r="R20">
        <v>1924.2797901469901</v>
      </c>
      <c r="S20">
        <v>42.5</v>
      </c>
      <c r="T20">
        <v>0.47</v>
      </c>
      <c r="U20">
        <v>0.05</v>
      </c>
    </row>
    <row r="21" spans="1:21" x14ac:dyDescent="0.25">
      <c r="A21" t="s">
        <v>65</v>
      </c>
      <c r="B21" t="s">
        <v>66</v>
      </c>
      <c r="C21">
        <v>1</v>
      </c>
      <c r="D21">
        <v>3</v>
      </c>
      <c r="E21">
        <v>3</v>
      </c>
      <c r="F21">
        <v>350</v>
      </c>
      <c r="G21">
        <v>927.5</v>
      </c>
      <c r="H21">
        <v>145.63499999999999</v>
      </c>
      <c r="I21">
        <v>0.14563499999999999</v>
      </c>
      <c r="J21">
        <v>1.45635E-4</v>
      </c>
      <c r="K21">
        <v>0.321069834</v>
      </c>
      <c r="L21">
        <v>1.2699999999999999E-2</v>
      </c>
      <c r="M21">
        <v>3.1</v>
      </c>
      <c r="N21">
        <v>20.394068969999999</v>
      </c>
      <c r="O21">
        <v>37.2189691929498</v>
      </c>
      <c r="P21">
        <v>940.09810574131905</v>
      </c>
      <c r="Q21">
        <v>2259.30811281259</v>
      </c>
      <c r="R21">
        <v>5987.1664989533701</v>
      </c>
      <c r="S21">
        <v>52.7</v>
      </c>
      <c r="T21">
        <v>0.35</v>
      </c>
      <c r="U21">
        <v>-0.5</v>
      </c>
    </row>
    <row r="22" spans="1:21" x14ac:dyDescent="0.25">
      <c r="A22" t="s">
        <v>67</v>
      </c>
      <c r="B22" t="s">
        <v>68</v>
      </c>
      <c r="C22">
        <v>1</v>
      </c>
      <c r="D22">
        <v>1</v>
      </c>
      <c r="E22">
        <v>1</v>
      </c>
      <c r="F22">
        <v>24.46</v>
      </c>
      <c r="G22">
        <v>64.84</v>
      </c>
      <c r="H22">
        <v>10.177806</v>
      </c>
      <c r="I22">
        <v>1.0177805999999999E-2</v>
      </c>
      <c r="J22">
        <v>1.0200000000000001E-5</v>
      </c>
      <c r="K22">
        <v>2.2438195000000001E-2</v>
      </c>
      <c r="L22">
        <v>1.29E-2</v>
      </c>
      <c r="M22">
        <v>3.05</v>
      </c>
      <c r="N22">
        <v>8.9095793360000002</v>
      </c>
      <c r="O22">
        <v>20.7487283787022</v>
      </c>
      <c r="P22">
        <v>134.09535696500299</v>
      </c>
      <c r="Q22">
        <v>322.26714002644201</v>
      </c>
      <c r="R22">
        <v>854.00792107007203</v>
      </c>
      <c r="S22">
        <v>40.6</v>
      </c>
      <c r="T22">
        <v>0.27</v>
      </c>
      <c r="U22">
        <v>-1.65</v>
      </c>
    </row>
    <row r="23" spans="1:21" x14ac:dyDescent="0.25">
      <c r="A23" t="s">
        <v>69</v>
      </c>
      <c r="B23" t="s">
        <v>70</v>
      </c>
      <c r="C23">
        <v>1</v>
      </c>
      <c r="D23">
        <v>1</v>
      </c>
      <c r="E23">
        <v>1</v>
      </c>
      <c r="F23">
        <v>48.065368900000003</v>
      </c>
      <c r="G23">
        <v>127.37322760000001</v>
      </c>
      <c r="H23">
        <v>20</v>
      </c>
      <c r="I23">
        <v>0.02</v>
      </c>
      <c r="J23">
        <v>2.0000000000000002E-5</v>
      </c>
      <c r="K23">
        <v>4.4092399999999997E-2</v>
      </c>
      <c r="L23">
        <v>0.01</v>
      </c>
      <c r="M23">
        <v>2.9</v>
      </c>
      <c r="N23">
        <v>13.749477840000001</v>
      </c>
      <c r="O23">
        <v>8.1033821062960296</v>
      </c>
      <c r="P23">
        <v>4.3165057367255804</v>
      </c>
      <c r="Q23">
        <v>10.3737220301023</v>
      </c>
      <c r="R23">
        <v>27.4903633797712</v>
      </c>
      <c r="S23">
        <v>37.700000000000003</v>
      </c>
      <c r="T23">
        <v>0.24199999999999999</v>
      </c>
      <c r="U23">
        <v>0</v>
      </c>
    </row>
    <row r="24" spans="1:21" x14ac:dyDescent="0.25">
      <c r="A24" s="2" t="s">
        <v>71</v>
      </c>
      <c r="B24" t="s">
        <v>72</v>
      </c>
      <c r="C24">
        <v>1</v>
      </c>
      <c r="D24">
        <v>1</v>
      </c>
      <c r="E24">
        <v>1</v>
      </c>
      <c r="F24">
        <v>2.6676279740000002</v>
      </c>
      <c r="G24">
        <v>7.0692141299999998</v>
      </c>
      <c r="H24">
        <v>1.1099999999814001</v>
      </c>
      <c r="I24">
        <v>1.1099999999814E-3</v>
      </c>
      <c r="J24">
        <v>1.1099999999814E-6</v>
      </c>
      <c r="K24">
        <v>2.4471281999589901E-3</v>
      </c>
      <c r="L24" s="3">
        <v>1.0999999999999999E-2</v>
      </c>
      <c r="M24" s="3">
        <v>3.01</v>
      </c>
      <c r="N24">
        <v>4.6318829138707498</v>
      </c>
      <c r="O24" s="2">
        <v>4.11570684820982</v>
      </c>
      <c r="P24" s="2">
        <v>0.77780446133876502</v>
      </c>
      <c r="Q24" s="2">
        <v>1.86927291838204</v>
      </c>
      <c r="R24" s="2">
        <v>4.9535732337123903</v>
      </c>
      <c r="S24">
        <v>9</v>
      </c>
      <c r="T24">
        <v>0.32</v>
      </c>
      <c r="U24">
        <v>-0.91</v>
      </c>
    </row>
    <row r="25" spans="1:21" x14ac:dyDescent="0.25">
      <c r="A25" s="2" t="s">
        <v>49</v>
      </c>
      <c r="B25" t="s">
        <v>50</v>
      </c>
      <c r="C25">
        <v>1</v>
      </c>
      <c r="D25">
        <v>1</v>
      </c>
      <c r="E25">
        <v>1</v>
      </c>
      <c r="F25">
        <v>127.5414564</v>
      </c>
      <c r="G25">
        <v>337.98485950000003</v>
      </c>
      <c r="H25">
        <v>53.070000008039997</v>
      </c>
      <c r="I25">
        <v>5.3070000008039998E-2</v>
      </c>
      <c r="J25">
        <v>5.3070000008040001E-5</v>
      </c>
      <c r="K25">
        <v>0.116999183417725</v>
      </c>
      <c r="L25" s="3">
        <v>1.2E-2</v>
      </c>
      <c r="M25" s="3">
        <v>3.1</v>
      </c>
      <c r="N25">
        <v>14.9976040757329</v>
      </c>
      <c r="O25" s="2">
        <v>10.9405693213658</v>
      </c>
      <c r="P25" s="2">
        <v>19.9620438384346</v>
      </c>
      <c r="Q25" s="2">
        <v>47.974150056319502</v>
      </c>
      <c r="R25" s="2">
        <v>127.131497649247</v>
      </c>
      <c r="S25" s="2">
        <v>54.3</v>
      </c>
      <c r="T25" s="2">
        <v>0.22500000000000001</v>
      </c>
      <c r="U25" s="2">
        <v>0</v>
      </c>
    </row>
    <row r="26" spans="1:21" x14ac:dyDescent="0.25">
      <c r="A26" t="s">
        <v>55</v>
      </c>
      <c r="B26" t="s">
        <v>56</v>
      </c>
      <c r="C26">
        <v>1</v>
      </c>
      <c r="D26">
        <v>1</v>
      </c>
      <c r="E26">
        <v>1</v>
      </c>
      <c r="F26">
        <v>32.684450849999998</v>
      </c>
      <c r="G26">
        <v>86.613794760000005</v>
      </c>
      <c r="H26">
        <v>13.6</v>
      </c>
      <c r="I26">
        <v>1.3599999999999999E-2</v>
      </c>
      <c r="J26">
        <v>1.36E-5</v>
      </c>
      <c r="K26">
        <v>2.9982832000000001E-2</v>
      </c>
      <c r="L26">
        <v>1.2999999999999999E-2</v>
      </c>
      <c r="M26">
        <v>3</v>
      </c>
      <c r="N26">
        <v>10.15153817</v>
      </c>
      <c r="O26">
        <v>12.715233006614501</v>
      </c>
      <c r="P26">
        <v>26.724914311425199</v>
      </c>
      <c r="Q26">
        <v>64.2271432622573</v>
      </c>
      <c r="R26">
        <v>170.20192964498199</v>
      </c>
      <c r="S26">
        <v>152</v>
      </c>
      <c r="T26">
        <v>9.6000000000000002E-2</v>
      </c>
      <c r="U26">
        <v>0.09</v>
      </c>
    </row>
    <row r="27" spans="1:21" x14ac:dyDescent="0.25">
      <c r="A27" t="s">
        <v>75</v>
      </c>
      <c r="B27" t="s">
        <v>76</v>
      </c>
      <c r="C27">
        <v>1</v>
      </c>
      <c r="D27">
        <v>2</v>
      </c>
      <c r="E27">
        <v>2</v>
      </c>
      <c r="F27">
        <v>127.5414564</v>
      </c>
      <c r="G27">
        <v>337.98485950000003</v>
      </c>
      <c r="H27">
        <v>53.070000010000001</v>
      </c>
      <c r="I27">
        <v>5.3069999999999999E-2</v>
      </c>
      <c r="J27">
        <v>5.3100000000000003E-5</v>
      </c>
      <c r="K27">
        <v>0.11699918300000001</v>
      </c>
      <c r="L27">
        <v>2.5000000000000001E-3</v>
      </c>
      <c r="M27">
        <v>3.1</v>
      </c>
      <c r="N27">
        <v>24.875803770000001</v>
      </c>
      <c r="O27">
        <v>23.5034970272329</v>
      </c>
      <c r="P27">
        <v>44.509294570370898</v>
      </c>
      <c r="Q27">
        <v>106.96778315397999</v>
      </c>
      <c r="R27">
        <v>283.46462535804602</v>
      </c>
      <c r="S27">
        <v>122</v>
      </c>
      <c r="T27">
        <v>0.107</v>
      </c>
      <c r="U27">
        <v>0</v>
      </c>
    </row>
    <row r="28" spans="1:21" x14ac:dyDescent="0.25">
      <c r="A28" t="s">
        <v>73</v>
      </c>
      <c r="B28" t="s">
        <v>74</v>
      </c>
      <c r="C28">
        <v>1</v>
      </c>
      <c r="D28">
        <v>2</v>
      </c>
      <c r="E28">
        <v>2</v>
      </c>
      <c r="F28">
        <v>127.5414564</v>
      </c>
      <c r="G28">
        <v>337.98485950000003</v>
      </c>
      <c r="H28">
        <v>53.070000010000001</v>
      </c>
      <c r="I28">
        <v>5.3069999999999999E-2</v>
      </c>
      <c r="J28">
        <v>5.3100000000000003E-5</v>
      </c>
      <c r="K28">
        <v>0.11699918300000001</v>
      </c>
      <c r="L28">
        <v>1.4E-2</v>
      </c>
      <c r="M28">
        <v>2.8</v>
      </c>
      <c r="N28">
        <v>18.972067509999999</v>
      </c>
      <c r="O28">
        <v>26.535605903070199</v>
      </c>
      <c r="P28">
        <v>135.784206817041</v>
      </c>
      <c r="Q28">
        <v>326.325899584333</v>
      </c>
      <c r="R28">
        <v>864.763633898482</v>
      </c>
      <c r="S28">
        <v>43</v>
      </c>
      <c r="T28">
        <v>0.48</v>
      </c>
      <c r="U28">
        <v>0</v>
      </c>
    </row>
    <row r="29" spans="1:21" x14ac:dyDescent="0.25">
      <c r="A29" s="2" t="s">
        <v>51</v>
      </c>
      <c r="B29" t="s">
        <v>52</v>
      </c>
      <c r="C29">
        <v>1</v>
      </c>
      <c r="D29">
        <v>1</v>
      </c>
      <c r="E29">
        <v>1</v>
      </c>
      <c r="F29">
        <v>476.02739730000002</v>
      </c>
      <c r="G29">
        <v>1261.4726029999999</v>
      </c>
      <c r="H29">
        <v>198.07500001653</v>
      </c>
      <c r="I29">
        <v>0.19807500001653</v>
      </c>
      <c r="J29">
        <v>1.9807500001652999E-4</v>
      </c>
      <c r="K29">
        <v>0.43668010653644301</v>
      </c>
      <c r="L29" s="3">
        <v>1.24E-2</v>
      </c>
      <c r="M29" s="3">
        <v>3.2</v>
      </c>
      <c r="N29">
        <v>20.585669387454399</v>
      </c>
      <c r="O29" s="2">
        <v>4.83731052056749</v>
      </c>
      <c r="P29" s="2">
        <v>1.9237754539629399</v>
      </c>
      <c r="Q29" s="2">
        <v>4.6233488439388202</v>
      </c>
      <c r="R29" s="2">
        <v>12.2518744364379</v>
      </c>
      <c r="S29">
        <v>20.9</v>
      </c>
      <c r="T29">
        <v>0.19500000000000001</v>
      </c>
      <c r="U29">
        <v>-0.35</v>
      </c>
    </row>
    <row r="30" spans="1:21" x14ac:dyDescent="0.25">
      <c r="A30" t="s">
        <v>85</v>
      </c>
      <c r="B30" t="s">
        <v>86</v>
      </c>
      <c r="C30">
        <v>1</v>
      </c>
      <c r="D30">
        <v>7</v>
      </c>
      <c r="E30">
        <v>7</v>
      </c>
      <c r="F30">
        <v>1355.00938</v>
      </c>
      <c r="G30">
        <v>3590.52486</v>
      </c>
      <c r="H30">
        <v>563.81940299999997</v>
      </c>
      <c r="I30">
        <v>0.563819403</v>
      </c>
      <c r="J30">
        <v>5.6381900000000002E-4</v>
      </c>
      <c r="K30">
        <v>1.243007532</v>
      </c>
      <c r="L30">
        <v>5.2399999999999999E-3</v>
      </c>
      <c r="M30">
        <v>3.141</v>
      </c>
      <c r="N30">
        <v>39.992326849999998</v>
      </c>
      <c r="O30" s="2">
        <v>190.349158270402</v>
      </c>
      <c r="P30" s="2">
        <v>75753.177550342094</v>
      </c>
      <c r="Q30" s="2">
        <v>182055.22122168299</v>
      </c>
      <c r="R30" s="2">
        <v>482446.33623745898</v>
      </c>
      <c r="S30">
        <v>309.24444444444401</v>
      </c>
      <c r="T30">
        <v>0.13655555555555601</v>
      </c>
      <c r="U30">
        <v>0</v>
      </c>
    </row>
    <row r="31" spans="1:21" x14ac:dyDescent="0.25">
      <c r="A31" t="s">
        <v>77</v>
      </c>
      <c r="B31" t="s">
        <v>78</v>
      </c>
      <c r="C31">
        <v>1</v>
      </c>
      <c r="D31">
        <v>3</v>
      </c>
      <c r="E31">
        <v>3</v>
      </c>
      <c r="F31">
        <v>9202.4770129999997</v>
      </c>
      <c r="G31">
        <v>24386.56408</v>
      </c>
      <c r="H31">
        <v>3829.1506850000001</v>
      </c>
      <c r="I31">
        <v>3.8291506850000001</v>
      </c>
      <c r="J31">
        <v>3.8291509999999998E-3</v>
      </c>
      <c r="K31">
        <v>8.4418221829999993</v>
      </c>
      <c r="L31">
        <v>3.5000000000000003E-2</v>
      </c>
      <c r="M31">
        <v>2.9</v>
      </c>
      <c r="N31">
        <v>54.650995010000003</v>
      </c>
      <c r="O31" s="2">
        <v>161.90511271394601</v>
      </c>
      <c r="P31" s="2">
        <v>89314.850985500598</v>
      </c>
      <c r="Q31" s="2">
        <v>214647.56305095099</v>
      </c>
      <c r="R31" s="2">
        <v>568816.04208501999</v>
      </c>
      <c r="S31">
        <v>208.40700000000001</v>
      </c>
      <c r="T31">
        <v>0.5</v>
      </c>
      <c r="U31">
        <v>0</v>
      </c>
    </row>
    <row r="32" spans="1:21" x14ac:dyDescent="0.25">
      <c r="A32" t="s">
        <v>79</v>
      </c>
      <c r="B32" t="s">
        <v>80</v>
      </c>
      <c r="C32">
        <v>1</v>
      </c>
      <c r="D32">
        <v>2</v>
      </c>
      <c r="E32">
        <v>2</v>
      </c>
      <c r="F32">
        <v>476.02739730000002</v>
      </c>
      <c r="G32">
        <v>1261.4726029999999</v>
      </c>
      <c r="H32">
        <v>198.07499999999999</v>
      </c>
      <c r="I32">
        <v>0.198075</v>
      </c>
      <c r="J32">
        <v>1.98075E-4</v>
      </c>
      <c r="K32">
        <v>0.43668010699999998</v>
      </c>
      <c r="L32">
        <v>3.3999999999999998E-3</v>
      </c>
      <c r="M32">
        <v>3.2850000000000001</v>
      </c>
      <c r="N32">
        <v>20.58566939</v>
      </c>
      <c r="O32">
        <v>17.264957666519699</v>
      </c>
      <c r="P32">
        <v>112.810972240502</v>
      </c>
      <c r="Q32">
        <v>271.11504984499402</v>
      </c>
      <c r="R32">
        <v>718.45488208923496</v>
      </c>
      <c r="S32">
        <v>59.9</v>
      </c>
      <c r="T32">
        <v>0.17</v>
      </c>
      <c r="U32">
        <v>0</v>
      </c>
    </row>
    <row r="33" spans="1:21" x14ac:dyDescent="0.25">
      <c r="A33" t="s">
        <v>81</v>
      </c>
      <c r="B33" t="s">
        <v>82</v>
      </c>
      <c r="C33">
        <v>1</v>
      </c>
      <c r="D33">
        <v>2</v>
      </c>
      <c r="E33">
        <v>2</v>
      </c>
      <c r="F33">
        <v>127.5414564</v>
      </c>
      <c r="G33">
        <v>337.98485950000003</v>
      </c>
      <c r="H33">
        <v>53.070000010000001</v>
      </c>
      <c r="I33">
        <v>5.3069999999999999E-2</v>
      </c>
      <c r="J33">
        <v>5.3100000000000003E-5</v>
      </c>
      <c r="K33">
        <v>0.11699918300000001</v>
      </c>
      <c r="L33">
        <v>1.4999999999999999E-2</v>
      </c>
      <c r="M33">
        <v>3</v>
      </c>
      <c r="N33">
        <v>15.23769499</v>
      </c>
      <c r="O33">
        <v>30.5523457871634</v>
      </c>
      <c r="P33">
        <v>427.78439799613602</v>
      </c>
      <c r="Q33">
        <v>1028.0807450039299</v>
      </c>
      <c r="R33">
        <v>2724.4139742604202</v>
      </c>
      <c r="S33">
        <v>106</v>
      </c>
      <c r="T33">
        <v>0.17</v>
      </c>
      <c r="U33">
        <v>0</v>
      </c>
    </row>
    <row r="34" spans="1:21" x14ac:dyDescent="0.25">
      <c r="A34" t="s">
        <v>83</v>
      </c>
      <c r="B34" t="s">
        <v>84</v>
      </c>
      <c r="C34">
        <v>1</v>
      </c>
      <c r="D34">
        <v>7</v>
      </c>
      <c r="E34">
        <v>7</v>
      </c>
      <c r="F34">
        <v>1355.00938</v>
      </c>
      <c r="G34">
        <v>3590.52486</v>
      </c>
      <c r="H34">
        <v>563.81940299999997</v>
      </c>
      <c r="I34">
        <v>0.563819403</v>
      </c>
      <c r="J34">
        <v>5.6381900000000002E-4</v>
      </c>
      <c r="K34">
        <v>1.243007532</v>
      </c>
      <c r="L34">
        <v>5.4000000000000003E-3</v>
      </c>
      <c r="M34">
        <v>3</v>
      </c>
      <c r="N34">
        <v>47.088561040000002</v>
      </c>
      <c r="O34">
        <v>155.68861302014199</v>
      </c>
      <c r="P34">
        <v>20378.1290795723</v>
      </c>
      <c r="Q34">
        <v>48974.114586811702</v>
      </c>
      <c r="R34">
        <v>129781.40365505101</v>
      </c>
      <c r="S34">
        <v>280</v>
      </c>
      <c r="T34">
        <v>0.11600000000000001</v>
      </c>
      <c r="U34">
        <v>0</v>
      </c>
    </row>
    <row r="35" spans="1:21" x14ac:dyDescent="0.25">
      <c r="A35" t="s">
        <v>91</v>
      </c>
      <c r="B35" t="s">
        <v>92</v>
      </c>
      <c r="C35">
        <v>1</v>
      </c>
      <c r="D35">
        <v>2</v>
      </c>
      <c r="E35">
        <v>2</v>
      </c>
      <c r="F35">
        <v>127.5414564</v>
      </c>
      <c r="G35">
        <v>337.98485950000003</v>
      </c>
      <c r="H35">
        <v>53.070000010000001</v>
      </c>
      <c r="I35">
        <v>5.3069999999999999E-2</v>
      </c>
      <c r="J35">
        <v>5.3100000000000003E-5</v>
      </c>
      <c r="K35">
        <v>0.11699918300000001</v>
      </c>
      <c r="L35">
        <v>1.2999999999999999E-2</v>
      </c>
      <c r="M35">
        <v>3</v>
      </c>
      <c r="N35">
        <v>15.982151569999999</v>
      </c>
      <c r="O35">
        <v>19.031543165416199</v>
      </c>
      <c r="P35">
        <v>89.611833907615306</v>
      </c>
      <c r="Q35">
        <v>215.36129273639801</v>
      </c>
      <c r="R35">
        <v>570.70742575145505</v>
      </c>
      <c r="S35">
        <v>60.2</v>
      </c>
      <c r="T35">
        <v>0.19</v>
      </c>
      <c r="U35">
        <v>0</v>
      </c>
    </row>
    <row r="36" spans="1:21" x14ac:dyDescent="0.25">
      <c r="A36" t="s">
        <v>87</v>
      </c>
      <c r="B36" t="s">
        <v>88</v>
      </c>
      <c r="C36">
        <v>1</v>
      </c>
      <c r="D36">
        <v>2</v>
      </c>
      <c r="E36">
        <v>2</v>
      </c>
      <c r="F36">
        <v>127.5414564</v>
      </c>
      <c r="G36">
        <v>337.98485950000003</v>
      </c>
      <c r="H36">
        <v>53.070000010000001</v>
      </c>
      <c r="I36">
        <v>5.3069999999999999E-2</v>
      </c>
      <c r="J36">
        <v>5.3100000000000003E-5</v>
      </c>
      <c r="K36">
        <v>0.11699918300000001</v>
      </c>
      <c r="L36">
        <v>6.0000000000000001E-3</v>
      </c>
      <c r="M36">
        <v>3.1</v>
      </c>
      <c r="N36">
        <v>18.755486529999999</v>
      </c>
      <c r="O36">
        <v>12.954731404434</v>
      </c>
      <c r="P36">
        <v>16.853081877749101</v>
      </c>
      <c r="Q36">
        <v>40.502479879233697</v>
      </c>
      <c r="R36">
        <v>107.331571679969</v>
      </c>
      <c r="S36">
        <v>31.4</v>
      </c>
      <c r="T36">
        <v>0.19</v>
      </c>
      <c r="U36">
        <v>-0.8</v>
      </c>
    </row>
    <row r="37" spans="1:21" x14ac:dyDescent="0.25">
      <c r="A37" t="s">
        <v>93</v>
      </c>
      <c r="B37" t="s">
        <v>94</v>
      </c>
      <c r="C37">
        <v>1</v>
      </c>
      <c r="D37">
        <v>9</v>
      </c>
      <c r="E37">
        <v>9</v>
      </c>
      <c r="F37">
        <v>1513105530</v>
      </c>
      <c r="G37">
        <v>4009729654</v>
      </c>
      <c r="H37">
        <v>629603211</v>
      </c>
      <c r="I37">
        <v>629603.21100000001</v>
      </c>
      <c r="J37">
        <v>629.60321099999999</v>
      </c>
      <c r="K37">
        <v>1388035.831</v>
      </c>
      <c r="L37" s="2">
        <v>1.7000000000000001E-2</v>
      </c>
      <c r="M37">
        <v>3</v>
      </c>
      <c r="N37">
        <v>1465.5893920000001</v>
      </c>
      <c r="O37" s="2">
        <v>1417.9064450384301</v>
      </c>
      <c r="P37" s="2">
        <v>48460919.603417397</v>
      </c>
      <c r="Q37" s="2">
        <v>116464598.90271001</v>
      </c>
      <c r="R37" s="2">
        <v>308631187.09218001</v>
      </c>
      <c r="S37">
        <v>1584.96</v>
      </c>
      <c r="T37" s="2">
        <v>0.25</v>
      </c>
      <c r="U37">
        <v>0</v>
      </c>
    </row>
    <row r="38" spans="1:21" x14ac:dyDescent="0.25">
      <c r="A38" t="s">
        <v>109</v>
      </c>
      <c r="B38" t="s">
        <v>110</v>
      </c>
      <c r="C38">
        <v>1</v>
      </c>
      <c r="D38">
        <v>5</v>
      </c>
      <c r="E38">
        <v>5</v>
      </c>
      <c r="F38">
        <v>819.66597860000002</v>
      </c>
      <c r="G38">
        <v>2172.1148429999998</v>
      </c>
      <c r="H38">
        <v>341.0630137</v>
      </c>
      <c r="I38">
        <v>0.341063014</v>
      </c>
      <c r="J38">
        <v>3.4106300000000001E-4</v>
      </c>
      <c r="K38">
        <v>0.75191434099999999</v>
      </c>
      <c r="L38">
        <v>4.3E-3</v>
      </c>
      <c r="M38">
        <v>3.1</v>
      </c>
      <c r="N38">
        <v>38.057538889999996</v>
      </c>
      <c r="O38">
        <v>76.611400666372106</v>
      </c>
      <c r="P38">
        <v>2983.8569822381401</v>
      </c>
      <c r="Q38">
        <v>7171.0093300604103</v>
      </c>
      <c r="R38">
        <v>19003.174724660101</v>
      </c>
      <c r="S38">
        <v>186</v>
      </c>
      <c r="T38">
        <v>4.5999999999999999E-2</v>
      </c>
      <c r="U38">
        <v>-6.54</v>
      </c>
    </row>
    <row r="39" spans="1:21" x14ac:dyDescent="0.25">
      <c r="A39" t="s">
        <v>99</v>
      </c>
      <c r="B39" t="s">
        <v>100</v>
      </c>
      <c r="C39">
        <v>1</v>
      </c>
      <c r="D39">
        <v>2</v>
      </c>
      <c r="E39">
        <v>2</v>
      </c>
      <c r="F39">
        <v>127.5414564</v>
      </c>
      <c r="G39">
        <v>337.98485950000003</v>
      </c>
      <c r="H39">
        <v>53.070000010000001</v>
      </c>
      <c r="I39">
        <v>5.3069999999999999E-2</v>
      </c>
      <c r="J39">
        <v>5.3100000000000003E-5</v>
      </c>
      <c r="K39">
        <v>0.11699918300000001</v>
      </c>
      <c r="L39">
        <v>1.4999999999999999E-2</v>
      </c>
      <c r="M39">
        <v>3.1</v>
      </c>
      <c r="N39">
        <v>13.955988079999999</v>
      </c>
      <c r="O39">
        <v>12.2209383148654</v>
      </c>
      <c r="P39">
        <v>35.165384491845202</v>
      </c>
      <c r="Q39">
        <v>84.511858908544198</v>
      </c>
      <c r="R39">
        <v>223.95642610764199</v>
      </c>
      <c r="S39">
        <v>42.4</v>
      </c>
      <c r="T39">
        <v>0.17</v>
      </c>
      <c r="U39">
        <v>0</v>
      </c>
    </row>
    <row r="40" spans="1:21" x14ac:dyDescent="0.25">
      <c r="A40" t="s">
        <v>97</v>
      </c>
      <c r="B40" t="s">
        <v>98</v>
      </c>
      <c r="C40">
        <v>1</v>
      </c>
      <c r="D40">
        <v>2</v>
      </c>
      <c r="E40">
        <v>2</v>
      </c>
      <c r="F40">
        <v>11007.69375</v>
      </c>
      <c r="G40">
        <v>29170.388439999999</v>
      </c>
      <c r="H40">
        <v>4580.3013689999998</v>
      </c>
      <c r="I40">
        <v>4.5803013689999998</v>
      </c>
      <c r="J40">
        <v>4.5803010000000002E-3</v>
      </c>
      <c r="K40">
        <v>10.097823999999999</v>
      </c>
      <c r="L40" s="2">
        <v>6.5000000000000002E-2</v>
      </c>
      <c r="M40">
        <v>3</v>
      </c>
      <c r="N40">
        <v>61.181673609999997</v>
      </c>
      <c r="O40">
        <v>18.334128220497099</v>
      </c>
      <c r="P40">
        <v>400.58450789581099</v>
      </c>
      <c r="Q40">
        <v>962.71210741603102</v>
      </c>
      <c r="R40">
        <v>2551.1870846524798</v>
      </c>
      <c r="S40">
        <v>23.6</v>
      </c>
      <c r="T40">
        <v>0.75</v>
      </c>
      <c r="U40">
        <v>0</v>
      </c>
    </row>
    <row r="41" spans="1:21" x14ac:dyDescent="0.25">
      <c r="A41" s="2" t="s">
        <v>47</v>
      </c>
      <c r="B41" t="s">
        <v>48</v>
      </c>
      <c r="C41">
        <v>1</v>
      </c>
      <c r="D41">
        <v>1</v>
      </c>
      <c r="E41">
        <v>1</v>
      </c>
      <c r="F41">
        <v>48.065368900000003</v>
      </c>
      <c r="G41">
        <v>127.37322760000001</v>
      </c>
      <c r="H41">
        <v>19.999999999290001</v>
      </c>
      <c r="I41">
        <v>1.9999999999289999E-2</v>
      </c>
      <c r="J41">
        <v>1.9999999999290002E-5</v>
      </c>
      <c r="K41">
        <v>4.40923999984347E-2</v>
      </c>
      <c r="L41" s="3">
        <v>1.23E-2</v>
      </c>
      <c r="M41" s="3">
        <v>3.2</v>
      </c>
      <c r="N41">
        <v>10.080371233277299</v>
      </c>
      <c r="O41" s="2">
        <v>17.377043611361099</v>
      </c>
      <c r="P41" s="2">
        <v>114.242569590294</v>
      </c>
      <c r="Q41" s="2">
        <v>274.55556258181798</v>
      </c>
      <c r="R41" s="2">
        <v>727.57224084181701</v>
      </c>
      <c r="S41" s="2">
        <v>39.200000000000003</v>
      </c>
      <c r="T41" s="2">
        <v>0.58571428571428596</v>
      </c>
      <c r="U41" s="2">
        <v>0</v>
      </c>
    </row>
    <row r="42" spans="1:21" x14ac:dyDescent="0.25">
      <c r="A42" t="s">
        <v>103</v>
      </c>
      <c r="B42" t="s">
        <v>104</v>
      </c>
      <c r="C42">
        <v>1</v>
      </c>
      <c r="D42">
        <v>1</v>
      </c>
      <c r="E42">
        <v>1</v>
      </c>
      <c r="F42">
        <v>10.71857726</v>
      </c>
      <c r="G42">
        <v>28.404229749999999</v>
      </c>
      <c r="H42">
        <v>4.4599999979999998</v>
      </c>
      <c r="I42">
        <v>4.4600000000000004E-3</v>
      </c>
      <c r="J42">
        <v>4.4599999999999996E-6</v>
      </c>
      <c r="K42">
        <v>9.8326049999999995E-3</v>
      </c>
      <c r="L42">
        <v>1.2999999999999999E-2</v>
      </c>
      <c r="M42">
        <v>2.8</v>
      </c>
      <c r="N42">
        <v>8.0444612959999997</v>
      </c>
      <c r="O42">
        <v>10.773328173702801</v>
      </c>
      <c r="P42">
        <v>10.1046911210207</v>
      </c>
      <c r="Q42">
        <v>24.284285318482699</v>
      </c>
      <c r="R42">
        <v>64.353356093979201</v>
      </c>
      <c r="S42">
        <v>65.400000000000006</v>
      </c>
      <c r="T42">
        <v>0.18</v>
      </c>
      <c r="U42">
        <v>0</v>
      </c>
    </row>
    <row r="43" spans="1:21" x14ac:dyDescent="0.25">
      <c r="A43" s="2" t="s">
        <v>105</v>
      </c>
      <c r="B43" t="s">
        <v>106</v>
      </c>
      <c r="C43">
        <v>1</v>
      </c>
      <c r="D43">
        <v>3</v>
      </c>
      <c r="E43">
        <v>3</v>
      </c>
      <c r="F43">
        <v>350</v>
      </c>
      <c r="G43">
        <v>927.5</v>
      </c>
      <c r="H43">
        <v>145.63499999999999</v>
      </c>
      <c r="I43">
        <v>0.14563499999999999</v>
      </c>
      <c r="J43">
        <v>1.45635E-4</v>
      </c>
      <c r="K43">
        <v>0.32097954000000001</v>
      </c>
      <c r="L43" s="3">
        <v>1.2699999999999999E-2</v>
      </c>
      <c r="M43" s="3">
        <v>3.1</v>
      </c>
      <c r="N43">
        <v>20.394068965963701</v>
      </c>
      <c r="O43" s="2">
        <v>50.4054382989085</v>
      </c>
      <c r="P43" s="2">
        <v>2407.0418820143</v>
      </c>
      <c r="Q43" s="2">
        <v>5784.7678010437403</v>
      </c>
      <c r="R43" s="2">
        <v>15329.6346727659</v>
      </c>
      <c r="S43">
        <v>109.97499999999999</v>
      </c>
      <c r="T43">
        <v>0.14749999999999999</v>
      </c>
      <c r="U43">
        <v>-1.1566666666666701</v>
      </c>
    </row>
    <row r="44" spans="1:21" x14ac:dyDescent="0.25">
      <c r="A44" t="s">
        <v>115</v>
      </c>
      <c r="B44" t="s">
        <v>116</v>
      </c>
      <c r="C44">
        <v>1</v>
      </c>
      <c r="D44">
        <v>7</v>
      </c>
      <c r="E44">
        <v>7</v>
      </c>
      <c r="F44">
        <v>8511146.557</v>
      </c>
      <c r="G44">
        <v>22554538.370000001</v>
      </c>
      <c r="H44">
        <v>3541488.0819999999</v>
      </c>
      <c r="I44">
        <v>3541.4880819999998</v>
      </c>
      <c r="J44">
        <v>3.5414880819999999</v>
      </c>
      <c r="K44">
        <v>7807.635456</v>
      </c>
      <c r="L44" s="2">
        <v>1.4999999999999999E-2</v>
      </c>
      <c r="M44">
        <v>3</v>
      </c>
      <c r="N44">
        <v>707.50350370000001</v>
      </c>
      <c r="O44" s="2">
        <v>224.55171764903801</v>
      </c>
      <c r="P44" s="2">
        <v>169840.165108227</v>
      </c>
      <c r="Q44" s="2">
        <v>408171.50951268303</v>
      </c>
      <c r="R44" s="2">
        <v>1081654.50020861</v>
      </c>
      <c r="S44">
        <v>271.77999999999997</v>
      </c>
      <c r="T44">
        <v>0.25</v>
      </c>
      <c r="U44">
        <v>0</v>
      </c>
    </row>
    <row r="45" spans="1:21" x14ac:dyDescent="0.25">
      <c r="A45" t="s">
        <v>107</v>
      </c>
      <c r="B45" t="s">
        <v>108</v>
      </c>
      <c r="C45">
        <v>1</v>
      </c>
      <c r="D45">
        <v>5</v>
      </c>
      <c r="E45">
        <v>5</v>
      </c>
      <c r="F45">
        <v>819.66597860000002</v>
      </c>
      <c r="G45">
        <v>2172.1148429999998</v>
      </c>
      <c r="H45">
        <v>341.0630137</v>
      </c>
      <c r="I45">
        <v>0.341063014</v>
      </c>
      <c r="J45">
        <v>3.4106300000000001E-4</v>
      </c>
      <c r="K45">
        <v>0.75191434099999999</v>
      </c>
      <c r="L45">
        <v>3.5999999999999999E-3</v>
      </c>
      <c r="M45">
        <v>3</v>
      </c>
      <c r="N45">
        <v>45.587317900000002</v>
      </c>
      <c r="O45">
        <v>52.071727826074699</v>
      </c>
      <c r="P45">
        <v>508.286372744125</v>
      </c>
      <c r="Q45">
        <v>1221.5486006828301</v>
      </c>
      <c r="R45">
        <v>3237.1037918094898</v>
      </c>
      <c r="S45">
        <v>150</v>
      </c>
      <c r="T45">
        <v>4.1000000000000002E-2</v>
      </c>
      <c r="U45">
        <v>-5.4</v>
      </c>
    </row>
    <row r="46" spans="1:21" x14ac:dyDescent="0.25">
      <c r="A46" t="s">
        <v>41</v>
      </c>
      <c r="B46" t="s">
        <v>42</v>
      </c>
      <c r="C46">
        <v>1</v>
      </c>
      <c r="D46">
        <v>4</v>
      </c>
      <c r="E46">
        <v>4</v>
      </c>
      <c r="F46">
        <v>343.77932070000003</v>
      </c>
      <c r="G46">
        <v>911.0151998</v>
      </c>
      <c r="H46">
        <v>143.0465753</v>
      </c>
      <c r="I46">
        <v>0.14304657500000001</v>
      </c>
      <c r="J46">
        <v>1.4304699999999999E-4</v>
      </c>
      <c r="K46">
        <v>0.31536334100000002</v>
      </c>
      <c r="L46">
        <v>1.34E-2</v>
      </c>
      <c r="M46">
        <v>3.1</v>
      </c>
      <c r="N46">
        <v>19.928520320000001</v>
      </c>
      <c r="O46">
        <v>36.422627340305503</v>
      </c>
      <c r="P46">
        <v>927.58931316686903</v>
      </c>
      <c r="Q46">
        <v>2229.2461263322998</v>
      </c>
      <c r="R46">
        <v>5907.5022347805898</v>
      </c>
      <c r="S46">
        <v>91.5</v>
      </c>
      <c r="T46">
        <v>0.12690000000000001</v>
      </c>
      <c r="U46">
        <v>0</v>
      </c>
    </row>
    <row r="47" spans="1:21" x14ac:dyDescent="0.25">
      <c r="A47" t="s">
        <v>111</v>
      </c>
      <c r="B47" t="s">
        <v>112</v>
      </c>
      <c r="C47">
        <v>1</v>
      </c>
      <c r="D47">
        <v>2</v>
      </c>
      <c r="E47">
        <v>2</v>
      </c>
      <c r="F47">
        <v>127.5414564</v>
      </c>
      <c r="G47">
        <v>337.98485950000003</v>
      </c>
      <c r="H47">
        <v>53.070000010000001</v>
      </c>
      <c r="I47">
        <v>5.3069999999999999E-2</v>
      </c>
      <c r="J47">
        <v>5.3100000000000003E-5</v>
      </c>
      <c r="K47">
        <v>0.11699918300000001</v>
      </c>
      <c r="L47">
        <v>1.2200000000000001E-2</v>
      </c>
      <c r="M47">
        <v>2.9</v>
      </c>
      <c r="N47">
        <v>17.974278559999998</v>
      </c>
      <c r="O47">
        <v>53.621521096701699</v>
      </c>
      <c r="P47">
        <v>1263.11620365417</v>
      </c>
      <c r="Q47">
        <v>3035.60731471804</v>
      </c>
      <c r="R47">
        <v>8044.3593840027897</v>
      </c>
      <c r="S47">
        <v>98.7</v>
      </c>
      <c r="T47">
        <v>0.158</v>
      </c>
      <c r="U47">
        <v>-2.96</v>
      </c>
    </row>
    <row r="48" spans="1:21" x14ac:dyDescent="0.25">
      <c r="A48" t="s">
        <v>113</v>
      </c>
      <c r="B48" t="s">
        <v>114</v>
      </c>
      <c r="C48">
        <v>1</v>
      </c>
      <c r="D48">
        <v>2</v>
      </c>
      <c r="E48">
        <v>2</v>
      </c>
      <c r="F48">
        <v>476.02739730000002</v>
      </c>
      <c r="G48">
        <v>1261.4726029999999</v>
      </c>
      <c r="H48">
        <v>198.07499999999999</v>
      </c>
      <c r="I48">
        <v>0.198075</v>
      </c>
      <c r="J48">
        <v>1.98075E-4</v>
      </c>
      <c r="K48">
        <v>0.43668010699999998</v>
      </c>
      <c r="L48">
        <v>1.2E-2</v>
      </c>
      <c r="M48">
        <v>3.05</v>
      </c>
      <c r="N48">
        <v>24.145463530000001</v>
      </c>
      <c r="O48">
        <v>30.021268763267098</v>
      </c>
      <c r="P48">
        <v>384.892834273294</v>
      </c>
      <c r="Q48">
        <v>925.00080334845995</v>
      </c>
      <c r="R48">
        <v>2451.2521288734201</v>
      </c>
      <c r="S48">
        <v>85.9</v>
      </c>
      <c r="T48">
        <v>0.215</v>
      </c>
      <c r="U48">
        <v>0</v>
      </c>
    </row>
    <row r="49" spans="1:21" x14ac:dyDescent="0.25">
      <c r="A49" t="s">
        <v>117</v>
      </c>
      <c r="B49" t="s">
        <v>118</v>
      </c>
      <c r="C49">
        <v>1</v>
      </c>
      <c r="D49">
        <v>2</v>
      </c>
      <c r="E49">
        <v>2</v>
      </c>
      <c r="F49">
        <v>127.5414564</v>
      </c>
      <c r="G49">
        <v>337.98485950000003</v>
      </c>
      <c r="H49">
        <v>53.070000010000001</v>
      </c>
      <c r="I49">
        <v>5.3069999999999999E-2</v>
      </c>
      <c r="J49">
        <v>5.3100000000000003E-5</v>
      </c>
      <c r="K49">
        <v>0.11699918300000001</v>
      </c>
      <c r="L49">
        <v>1.4999999999999999E-2</v>
      </c>
      <c r="M49">
        <v>3</v>
      </c>
      <c r="N49">
        <v>15.23769499</v>
      </c>
      <c r="O49">
        <v>13.2689088746917</v>
      </c>
      <c r="P49">
        <v>35.042646182029301</v>
      </c>
      <c r="Q49">
        <v>84.216885801560394</v>
      </c>
      <c r="R49">
        <v>223.17474737413499</v>
      </c>
      <c r="S49">
        <v>73.2</v>
      </c>
      <c r="T49">
        <v>0.1</v>
      </c>
      <c r="U49">
        <v>0</v>
      </c>
    </row>
    <row r="50" spans="1:21" x14ac:dyDescent="0.25">
      <c r="A50" t="s">
        <v>123</v>
      </c>
      <c r="B50" t="s">
        <v>124</v>
      </c>
      <c r="C50">
        <v>1</v>
      </c>
      <c r="D50">
        <v>2</v>
      </c>
      <c r="E50">
        <v>2</v>
      </c>
      <c r="F50">
        <v>127.5414564</v>
      </c>
      <c r="G50">
        <v>337.98485950000003</v>
      </c>
      <c r="H50">
        <v>53.070000010000001</v>
      </c>
      <c r="I50">
        <v>5.3069999999999999E-2</v>
      </c>
      <c r="J50">
        <v>5.3100000000000003E-5</v>
      </c>
      <c r="K50">
        <v>0.11699918300000001</v>
      </c>
      <c r="L50">
        <v>9.4999999999999998E-3</v>
      </c>
      <c r="M50">
        <v>3.1</v>
      </c>
      <c r="N50">
        <v>16.171494429999999</v>
      </c>
      <c r="O50">
        <v>22.930154254913301</v>
      </c>
      <c r="P50">
        <v>156.66977937661699</v>
      </c>
      <c r="Q50">
        <v>376.51953707430101</v>
      </c>
      <c r="R50">
        <v>997.77677324689898</v>
      </c>
      <c r="S50">
        <v>111</v>
      </c>
      <c r="T50">
        <v>0.13</v>
      </c>
      <c r="U50">
        <v>0.22</v>
      </c>
    </row>
    <row r="51" spans="1:21" x14ac:dyDescent="0.25">
      <c r="A51" t="s">
        <v>121</v>
      </c>
      <c r="B51" t="s">
        <v>122</v>
      </c>
      <c r="C51">
        <v>1</v>
      </c>
      <c r="D51">
        <v>7</v>
      </c>
      <c r="E51">
        <v>7</v>
      </c>
      <c r="F51">
        <v>8511146.557</v>
      </c>
      <c r="G51">
        <v>22554538.370000001</v>
      </c>
      <c r="H51">
        <v>3541488.0819999999</v>
      </c>
      <c r="I51">
        <v>3541.4880819999998</v>
      </c>
      <c r="J51">
        <v>3.5414880819999999</v>
      </c>
      <c r="K51">
        <v>7807.635456</v>
      </c>
      <c r="L51" s="2">
        <v>1E-3</v>
      </c>
      <c r="M51">
        <v>3</v>
      </c>
      <c r="N51">
        <v>707.50350370000001</v>
      </c>
      <c r="O51" s="2">
        <v>2161.2090696800601</v>
      </c>
      <c r="P51" s="2">
        <v>10094628.5810501</v>
      </c>
      <c r="Q51" s="2">
        <v>24260102.3336941</v>
      </c>
      <c r="R51" s="2">
        <v>64289271.184289299</v>
      </c>
      <c r="S51">
        <v>2615.7600000000002</v>
      </c>
      <c r="T51">
        <v>0.25</v>
      </c>
      <c r="U51">
        <v>0</v>
      </c>
    </row>
    <row r="52" spans="1:21" x14ac:dyDescent="0.25">
      <c r="A52" t="s">
        <v>119</v>
      </c>
      <c r="B52" t="s">
        <v>120</v>
      </c>
      <c r="C52">
        <v>1</v>
      </c>
      <c r="D52">
        <v>3</v>
      </c>
      <c r="E52">
        <v>3</v>
      </c>
      <c r="F52">
        <v>829.48845900000003</v>
      </c>
      <c r="G52">
        <v>2197.74442</v>
      </c>
      <c r="H52">
        <v>345.15014780000001</v>
      </c>
      <c r="I52">
        <v>0.34515014799999999</v>
      </c>
      <c r="J52">
        <v>3.4515000000000001E-4</v>
      </c>
      <c r="K52">
        <v>0.76092491900000003</v>
      </c>
      <c r="L52">
        <v>2.1399999999999999E-2</v>
      </c>
      <c r="M52">
        <v>2.96</v>
      </c>
      <c r="N52">
        <v>26.392744749999999</v>
      </c>
      <c r="O52" s="2">
        <v>79.381198515365895</v>
      </c>
      <c r="P52" s="2">
        <v>8986.2401870910307</v>
      </c>
      <c r="Q52" s="2">
        <v>21596.347481593399</v>
      </c>
      <c r="R52" s="2">
        <v>57230.320826222604</v>
      </c>
      <c r="S52">
        <v>133.76666666666699</v>
      </c>
      <c r="T52">
        <v>0.3</v>
      </c>
      <c r="U52">
        <v>0</v>
      </c>
    </row>
    <row r="53" spans="1:21" x14ac:dyDescent="0.25">
      <c r="A53" t="s">
        <v>89</v>
      </c>
      <c r="B53" t="s">
        <v>90</v>
      </c>
      <c r="C53">
        <v>1</v>
      </c>
      <c r="D53">
        <v>8</v>
      </c>
      <c r="E53">
        <v>8</v>
      </c>
      <c r="F53">
        <v>1466</v>
      </c>
      <c r="G53">
        <v>5263</v>
      </c>
      <c r="H53">
        <v>610.00260000000003</v>
      </c>
      <c r="I53">
        <v>0.61000259999999995</v>
      </c>
      <c r="J53">
        <v>6.1000300000000002E-4</v>
      </c>
      <c r="K53">
        <v>1.3448239319999999</v>
      </c>
      <c r="L53" s="2">
        <v>0.05</v>
      </c>
      <c r="M53" s="2">
        <v>3.2</v>
      </c>
      <c r="N53">
        <v>53.322391670000002</v>
      </c>
      <c r="O53">
        <v>89.301231321361897</v>
      </c>
      <c r="P53">
        <v>1424.3028297716801</v>
      </c>
      <c r="Q53">
        <v>3422.982047036</v>
      </c>
      <c r="R53">
        <v>9070.9024246453992</v>
      </c>
      <c r="S53">
        <v>114.3</v>
      </c>
      <c r="T53">
        <v>0.19</v>
      </c>
      <c r="U53">
        <v>0</v>
      </c>
    </row>
    <row r="54" spans="1:21" x14ac:dyDescent="0.25">
      <c r="A54" t="s">
        <v>125</v>
      </c>
      <c r="B54" t="s">
        <v>126</v>
      </c>
      <c r="C54">
        <v>1</v>
      </c>
      <c r="D54">
        <v>1</v>
      </c>
      <c r="E54">
        <v>1</v>
      </c>
      <c r="F54">
        <v>43.979812539999998</v>
      </c>
      <c r="G54">
        <v>116.5465032</v>
      </c>
      <c r="H54">
        <v>18.3</v>
      </c>
      <c r="I54">
        <v>1.83E-2</v>
      </c>
      <c r="J54">
        <v>1.8300000000000001E-5</v>
      </c>
      <c r="K54">
        <v>4.0344546000000002E-2</v>
      </c>
      <c r="L54">
        <v>1.4999999999999999E-2</v>
      </c>
      <c r="M54">
        <v>2.9</v>
      </c>
      <c r="N54">
        <v>11.594766590000001</v>
      </c>
      <c r="O54">
        <v>12.9421111471095</v>
      </c>
      <c r="P54">
        <v>25.171327616078901</v>
      </c>
      <c r="Q54">
        <v>60.493457380627</v>
      </c>
      <c r="R54">
        <v>160.307662058662</v>
      </c>
      <c r="S54">
        <v>136</v>
      </c>
      <c r="T54">
        <v>0.1</v>
      </c>
      <c r="U54">
        <v>0</v>
      </c>
    </row>
    <row r="55" spans="1:21" x14ac:dyDescent="0.25">
      <c r="A55" t="s">
        <v>131</v>
      </c>
      <c r="B55" t="s">
        <v>132</v>
      </c>
      <c r="C55">
        <v>1</v>
      </c>
      <c r="D55">
        <v>2</v>
      </c>
      <c r="E55">
        <v>2</v>
      </c>
      <c r="F55">
        <v>476.02739730000002</v>
      </c>
      <c r="G55">
        <v>1261.4726029999999</v>
      </c>
      <c r="H55">
        <v>198.07499999999999</v>
      </c>
      <c r="I55">
        <v>0.198075</v>
      </c>
      <c r="J55">
        <v>1.98075E-4</v>
      </c>
      <c r="K55">
        <v>0.43668010699999998</v>
      </c>
      <c r="L55">
        <v>1.4E-2</v>
      </c>
      <c r="M55">
        <v>2.9</v>
      </c>
      <c r="N55">
        <v>26.99457061</v>
      </c>
      <c r="O55">
        <v>15.066373896171299</v>
      </c>
      <c r="P55">
        <v>36.505086715089099</v>
      </c>
      <c r="Q55">
        <v>87.731522987476794</v>
      </c>
      <c r="R55">
        <v>232.48853591681299</v>
      </c>
      <c r="S55">
        <v>45.7</v>
      </c>
      <c r="T55">
        <v>0.2</v>
      </c>
      <c r="U55">
        <v>0</v>
      </c>
    </row>
    <row r="56" spans="1:21" x14ac:dyDescent="0.25">
      <c r="A56" t="s">
        <v>133</v>
      </c>
      <c r="B56" t="s">
        <v>134</v>
      </c>
      <c r="C56">
        <v>1</v>
      </c>
      <c r="D56">
        <v>3</v>
      </c>
      <c r="E56">
        <v>3</v>
      </c>
      <c r="F56">
        <v>350</v>
      </c>
      <c r="G56">
        <v>927.5</v>
      </c>
      <c r="H56">
        <v>145.63499999999999</v>
      </c>
      <c r="I56">
        <v>0.14563499999999999</v>
      </c>
      <c r="J56">
        <v>1.45635E-4</v>
      </c>
      <c r="K56">
        <v>0.321069834</v>
      </c>
      <c r="L56">
        <v>1.2699999999999999E-2</v>
      </c>
      <c r="M56">
        <v>3.1</v>
      </c>
      <c r="N56">
        <v>20.394068969999999</v>
      </c>
      <c r="O56">
        <v>29.546722842284201</v>
      </c>
      <c r="P56">
        <v>459.60273867480799</v>
      </c>
      <c r="Q56">
        <v>1104.54875913196</v>
      </c>
      <c r="R56">
        <v>2927.0542116996899</v>
      </c>
      <c r="S56">
        <v>114</v>
      </c>
      <c r="T56">
        <v>0.1</v>
      </c>
      <c r="U56">
        <v>0</v>
      </c>
    </row>
    <row r="57" spans="1:21" x14ac:dyDescent="0.25">
      <c r="A57" t="s">
        <v>127</v>
      </c>
      <c r="B57" t="s">
        <v>128</v>
      </c>
      <c r="C57">
        <v>1</v>
      </c>
      <c r="D57">
        <v>2</v>
      </c>
      <c r="E57">
        <v>2</v>
      </c>
      <c r="F57">
        <v>476.02739730000002</v>
      </c>
      <c r="G57">
        <v>1261.4726029999999</v>
      </c>
      <c r="H57">
        <v>198.07499999999999</v>
      </c>
      <c r="I57">
        <v>0.198075</v>
      </c>
      <c r="J57">
        <v>1.98075E-4</v>
      </c>
      <c r="K57">
        <v>0.43668010699999998</v>
      </c>
      <c r="L57">
        <v>1.4E-2</v>
      </c>
      <c r="M57">
        <v>3</v>
      </c>
      <c r="N57">
        <v>24.186176039999999</v>
      </c>
      <c r="O57">
        <v>29.254489500772099</v>
      </c>
      <c r="P57">
        <v>350.51419254962502</v>
      </c>
      <c r="Q57">
        <v>842.37969850907302</v>
      </c>
      <c r="R57">
        <v>2232.3062010490398</v>
      </c>
      <c r="S57">
        <v>62.2</v>
      </c>
      <c r="T57">
        <v>0.31</v>
      </c>
      <c r="U57">
        <v>-0.05</v>
      </c>
    </row>
    <row r="58" spans="1:21" x14ac:dyDescent="0.25">
      <c r="A58" t="s">
        <v>135</v>
      </c>
      <c r="B58" t="s">
        <v>136</v>
      </c>
      <c r="C58">
        <v>1</v>
      </c>
      <c r="D58">
        <v>2</v>
      </c>
      <c r="E58">
        <v>2</v>
      </c>
      <c r="F58">
        <v>476.02739730000002</v>
      </c>
      <c r="G58">
        <v>1261.4726029999999</v>
      </c>
      <c r="H58">
        <v>198.07499999999999</v>
      </c>
      <c r="I58">
        <v>0.198075</v>
      </c>
      <c r="J58">
        <v>1.98075E-4</v>
      </c>
      <c r="K58">
        <v>0.43668010699999998</v>
      </c>
      <c r="L58">
        <v>1.2E-2</v>
      </c>
      <c r="M58">
        <v>3</v>
      </c>
      <c r="N58">
        <v>25.46143086</v>
      </c>
      <c r="O58">
        <v>10.867623885161199</v>
      </c>
      <c r="P58">
        <v>15.402281088118899</v>
      </c>
      <c r="Q58">
        <v>37.015816121410502</v>
      </c>
      <c r="R58">
        <v>98.091912721737899</v>
      </c>
      <c r="S58">
        <v>60.5</v>
      </c>
      <c r="T58">
        <v>9.9000000000000005E-2</v>
      </c>
      <c r="U58">
        <v>0</v>
      </c>
    </row>
    <row r="59" spans="1:21" x14ac:dyDescent="0.25">
      <c r="A59" t="s">
        <v>129</v>
      </c>
      <c r="B59" t="s">
        <v>130</v>
      </c>
      <c r="C59">
        <v>1</v>
      </c>
      <c r="D59">
        <v>2</v>
      </c>
      <c r="E59">
        <v>2</v>
      </c>
      <c r="F59">
        <v>127.5414564</v>
      </c>
      <c r="G59">
        <v>337.98485950000003</v>
      </c>
      <c r="H59">
        <v>53.070000010000001</v>
      </c>
      <c r="I59">
        <v>5.3069999999999999E-2</v>
      </c>
      <c r="J59">
        <v>5.3100000000000003E-5</v>
      </c>
      <c r="K59">
        <v>0.11699918300000001</v>
      </c>
      <c r="L59">
        <v>1.2500000000000001E-2</v>
      </c>
      <c r="M59">
        <v>2.88</v>
      </c>
      <c r="N59">
        <v>18.184487579999999</v>
      </c>
      <c r="O59">
        <v>13.0201114672162</v>
      </c>
      <c r="P59">
        <v>20.276843800881</v>
      </c>
      <c r="Q59">
        <v>48.730698872581101</v>
      </c>
      <c r="R59">
        <v>129.13635201234001</v>
      </c>
      <c r="S59">
        <v>158</v>
      </c>
      <c r="T59">
        <v>4.2999999999999997E-2</v>
      </c>
      <c r="U59">
        <v>0</v>
      </c>
    </row>
    <row r="60" spans="1:21" x14ac:dyDescent="0.25">
      <c r="A60" t="s">
        <v>137</v>
      </c>
      <c r="B60" t="s">
        <v>138</v>
      </c>
      <c r="C60">
        <v>1</v>
      </c>
      <c r="D60">
        <v>1</v>
      </c>
      <c r="E60">
        <v>1</v>
      </c>
      <c r="F60">
        <v>37.010334049999997</v>
      </c>
      <c r="G60">
        <v>98.077385239999998</v>
      </c>
      <c r="H60">
        <v>15.4</v>
      </c>
      <c r="I60">
        <v>1.54E-2</v>
      </c>
      <c r="J60">
        <v>1.5400000000000002E-5</v>
      </c>
      <c r="K60">
        <v>3.3951148E-2</v>
      </c>
      <c r="L60">
        <v>1.2500000000000001E-2</v>
      </c>
      <c r="M60">
        <v>2.82</v>
      </c>
      <c r="N60">
        <v>12.472722040000001</v>
      </c>
      <c r="O60">
        <v>14.233095682371999</v>
      </c>
      <c r="P60">
        <v>22.346742947147799</v>
      </c>
      <c r="Q60">
        <v>53.705222175313203</v>
      </c>
      <c r="R60">
        <v>142.31883876457999</v>
      </c>
      <c r="S60">
        <v>50</v>
      </c>
      <c r="T60">
        <v>0.33500000000000002</v>
      </c>
      <c r="U60">
        <v>0</v>
      </c>
    </row>
    <row r="61" spans="1:21" x14ac:dyDescent="0.25">
      <c r="A61" t="s">
        <v>21</v>
      </c>
      <c r="B61" t="s">
        <v>22</v>
      </c>
      <c r="C61">
        <v>2</v>
      </c>
      <c r="D61">
        <v>1</v>
      </c>
      <c r="E61">
        <v>2</v>
      </c>
      <c r="F61">
        <v>86.10910835</v>
      </c>
      <c r="G61">
        <v>228.18913710000001</v>
      </c>
      <c r="H61">
        <v>35.829999979999997</v>
      </c>
      <c r="I61">
        <v>3.5830000000000001E-2</v>
      </c>
      <c r="J61">
        <v>3.5800000000000003E-5</v>
      </c>
      <c r="K61">
        <v>7.8991535000000002E-2</v>
      </c>
      <c r="L61">
        <v>1.6E-2</v>
      </c>
      <c r="M61">
        <v>3</v>
      </c>
      <c r="N61">
        <v>13.083048209999999</v>
      </c>
      <c r="O61">
        <v>6.9567101230611001</v>
      </c>
      <c r="P61">
        <v>5.3868105799443802</v>
      </c>
      <c r="Q61">
        <v>12.9459518864321</v>
      </c>
      <c r="R61">
        <v>34.306772499045003</v>
      </c>
      <c r="S61">
        <v>13.8</v>
      </c>
      <c r="T61">
        <v>0.21</v>
      </c>
      <c r="U61">
        <v>-1.34</v>
      </c>
    </row>
    <row r="62" spans="1:21" x14ac:dyDescent="0.25">
      <c r="A62" t="s">
        <v>95</v>
      </c>
      <c r="B62" s="2" t="s">
        <v>96</v>
      </c>
      <c r="C62">
        <v>2</v>
      </c>
      <c r="D62">
        <v>2</v>
      </c>
      <c r="E62">
        <v>4</v>
      </c>
      <c r="F62">
        <v>347.4885845</v>
      </c>
      <c r="G62">
        <v>920.84474890000001</v>
      </c>
      <c r="H62">
        <v>144.59</v>
      </c>
      <c r="I62">
        <v>0.14459</v>
      </c>
      <c r="J62">
        <v>1.4459E-4</v>
      </c>
      <c r="K62">
        <v>0.31876600599999999</v>
      </c>
      <c r="L62">
        <v>0.01</v>
      </c>
      <c r="M62">
        <v>3</v>
      </c>
      <c r="N62">
        <v>22.0428712</v>
      </c>
      <c r="O62">
        <v>74.891260880057899</v>
      </c>
      <c r="P62">
        <v>5670.5762678765004</v>
      </c>
      <c r="Q62">
        <v>13627.917010037199</v>
      </c>
      <c r="R62">
        <v>36113.980076598702</v>
      </c>
      <c r="S62">
        <v>136</v>
      </c>
      <c r="T62">
        <v>0.2</v>
      </c>
      <c r="U62">
        <v>0</v>
      </c>
    </row>
    <row r="63" spans="1:21" x14ac:dyDescent="0.25">
      <c r="A63" t="s">
        <v>101</v>
      </c>
      <c r="B63" t="s">
        <v>102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1.2E-2</v>
      </c>
      <c r="M63">
        <v>3.1</v>
      </c>
      <c r="N63">
        <v>20.722289929999999</v>
      </c>
      <c r="O63" s="2">
        <v>43.244059241516503</v>
      </c>
      <c r="P63" s="2">
        <v>1414.33813769783</v>
      </c>
      <c r="Q63" s="2">
        <v>3399.0342170099302</v>
      </c>
      <c r="R63" s="2">
        <v>9007.4406750763101</v>
      </c>
      <c r="S63">
        <v>150.03333333333299</v>
      </c>
      <c r="T63">
        <v>0.11333333333333299</v>
      </c>
      <c r="U63">
        <v>1</v>
      </c>
    </row>
    <row r="64" spans="1:21" x14ac:dyDescent="0.25">
      <c r="A64" t="s">
        <v>37</v>
      </c>
      <c r="B64" t="s">
        <v>38</v>
      </c>
      <c r="C64">
        <v>2</v>
      </c>
      <c r="D64">
        <v>9</v>
      </c>
      <c r="E64">
        <v>18</v>
      </c>
      <c r="F64">
        <v>1762470683</v>
      </c>
      <c r="G64">
        <v>4670547309</v>
      </c>
      <c r="H64">
        <v>733364051.20000005</v>
      </c>
      <c r="I64">
        <v>733364.05119999999</v>
      </c>
      <c r="J64">
        <v>733.36405119999995</v>
      </c>
      <c r="K64">
        <v>1616789.0549999999</v>
      </c>
      <c r="L64" s="2">
        <v>6.0000000000000001E-3</v>
      </c>
      <c r="M64">
        <v>3</v>
      </c>
      <c r="N64">
        <v>1542.0432000000001</v>
      </c>
      <c r="O64" s="2">
        <v>2097.11005523112</v>
      </c>
      <c r="P64" s="2">
        <v>55336911.736742303</v>
      </c>
      <c r="Q64" s="2">
        <v>132989453.82538401</v>
      </c>
      <c r="R64" s="2">
        <v>352422052.63726699</v>
      </c>
      <c r="S64" s="2">
        <v>2097.36</v>
      </c>
      <c r="T64" s="2">
        <v>0.5</v>
      </c>
      <c r="U64" s="2">
        <v>0</v>
      </c>
    </row>
    <row r="65" spans="1:21" x14ac:dyDescent="0.25">
      <c r="A65" s="2" t="s">
        <v>31</v>
      </c>
      <c r="B65" t="s">
        <v>32</v>
      </c>
      <c r="C65">
        <v>2</v>
      </c>
      <c r="D65">
        <v>1</v>
      </c>
      <c r="E65">
        <v>2</v>
      </c>
      <c r="F65">
        <v>86.10910835</v>
      </c>
      <c r="G65">
        <v>228.18913710000001</v>
      </c>
      <c r="H65">
        <v>35.829999984434998</v>
      </c>
      <c r="I65">
        <v>3.5829999984435E-2</v>
      </c>
      <c r="J65">
        <v>3.5829999984434998E-5</v>
      </c>
      <c r="K65">
        <v>7.8991534565685098E-2</v>
      </c>
      <c r="L65" s="3">
        <v>1.1599999999999999E-2</v>
      </c>
      <c r="M65" s="3">
        <v>3</v>
      </c>
      <c r="N65">
        <v>14.5634054165095</v>
      </c>
      <c r="O65" s="2">
        <v>24.5990747915504</v>
      </c>
      <c r="P65" s="2">
        <v>172.668973842546</v>
      </c>
      <c r="Q65" s="2">
        <v>414.969896281052</v>
      </c>
      <c r="R65" s="2">
        <v>1099.67022514479</v>
      </c>
      <c r="S65" s="2">
        <v>29.1726666666667</v>
      </c>
      <c r="T65" s="2">
        <v>0.92646666666666699</v>
      </c>
      <c r="U65" s="2">
        <v>0</v>
      </c>
    </row>
    <row r="66" spans="1:21" x14ac:dyDescent="0.25">
      <c r="A66" t="s">
        <v>25</v>
      </c>
      <c r="B66" t="s">
        <v>26</v>
      </c>
      <c r="C66">
        <v>2</v>
      </c>
      <c r="D66">
        <v>3</v>
      </c>
      <c r="E66">
        <v>6</v>
      </c>
      <c r="F66">
        <v>67705.010320000001</v>
      </c>
      <c r="G66">
        <v>179418.27739999999</v>
      </c>
      <c r="H66">
        <v>28172.054789999998</v>
      </c>
      <c r="I66">
        <v>28.172054790000001</v>
      </c>
      <c r="J66">
        <v>2.8172055000000001E-2</v>
      </c>
      <c r="K66">
        <v>62.108675439999999</v>
      </c>
      <c r="L66">
        <v>2.1399999999999999E-2</v>
      </c>
      <c r="M66">
        <v>2.96</v>
      </c>
      <c r="N66">
        <v>116.779462</v>
      </c>
      <c r="O66">
        <v>112.05393234450599</v>
      </c>
      <c r="P66">
        <v>24929.754124324802</v>
      </c>
      <c r="Q66">
        <v>59912.891430725402</v>
      </c>
      <c r="R66">
        <v>158769.16229142199</v>
      </c>
      <c r="S66">
        <v>358.7</v>
      </c>
      <c r="T66">
        <v>9.1999999999999998E-2</v>
      </c>
      <c r="U66">
        <v>-1.929</v>
      </c>
    </row>
    <row r="67" spans="1:21" x14ac:dyDescent="0.25">
      <c r="A67" t="s">
        <v>33</v>
      </c>
      <c r="B67" t="s">
        <v>34</v>
      </c>
      <c r="C67">
        <v>2</v>
      </c>
      <c r="D67">
        <v>2</v>
      </c>
      <c r="E67">
        <v>4</v>
      </c>
      <c r="F67">
        <v>347.4885845</v>
      </c>
      <c r="G67">
        <v>920.84474890000001</v>
      </c>
      <c r="H67">
        <v>144.59</v>
      </c>
      <c r="I67">
        <v>0.14459</v>
      </c>
      <c r="J67">
        <v>1.4459E-4</v>
      </c>
      <c r="K67">
        <v>0.31876600599999999</v>
      </c>
      <c r="L67">
        <v>1.4999999999999999E-2</v>
      </c>
      <c r="M67">
        <v>3</v>
      </c>
      <c r="N67">
        <v>21.282158150000001</v>
      </c>
      <c r="O67">
        <v>33.330989505220401</v>
      </c>
      <c r="P67">
        <v>555.438372390013</v>
      </c>
      <c r="Q67">
        <v>1334.86751355447</v>
      </c>
      <c r="R67">
        <v>3537.3989109193299</v>
      </c>
      <c r="S67" s="4">
        <v>58.9</v>
      </c>
      <c r="T67" s="4">
        <v>0.22</v>
      </c>
      <c r="U67" s="4">
        <v>0.20699999999999999</v>
      </c>
    </row>
    <row r="68" spans="1:21" x14ac:dyDescent="0.25">
      <c r="A68" t="s">
        <v>29</v>
      </c>
      <c r="B68" t="s">
        <v>30</v>
      </c>
      <c r="C68">
        <v>2</v>
      </c>
      <c r="D68">
        <v>7</v>
      </c>
      <c r="E68" s="2">
        <v>14</v>
      </c>
      <c r="F68">
        <v>9019.2820400000001</v>
      </c>
      <c r="G68">
        <v>23901.197400000001</v>
      </c>
      <c r="H68">
        <v>3752.9232569999999</v>
      </c>
      <c r="I68">
        <v>3.752923257</v>
      </c>
      <c r="J68">
        <v>3.752923E-3</v>
      </c>
      <c r="K68">
        <v>8.2737696710000002</v>
      </c>
      <c r="L68">
        <v>3.2499999999999999E-3</v>
      </c>
      <c r="M68">
        <v>3</v>
      </c>
      <c r="N68">
        <v>104.9128716</v>
      </c>
      <c r="O68">
        <v>264.20518592161699</v>
      </c>
      <c r="P68">
        <v>59938.707617156499</v>
      </c>
      <c r="Q68">
        <v>144048.804655507</v>
      </c>
      <c r="R68">
        <v>381729.33233709401</v>
      </c>
      <c r="S68">
        <v>282</v>
      </c>
      <c r="T68">
        <v>0.18</v>
      </c>
      <c r="U68">
        <v>-1.35</v>
      </c>
    </row>
    <row r="69" spans="1:21" x14ac:dyDescent="0.25">
      <c r="A69" t="s">
        <v>23</v>
      </c>
      <c r="B69" t="s">
        <v>24</v>
      </c>
      <c r="C69">
        <v>2</v>
      </c>
      <c r="D69">
        <v>3</v>
      </c>
      <c r="E69">
        <v>6</v>
      </c>
      <c r="F69">
        <v>67705.010320000001</v>
      </c>
      <c r="G69">
        <v>179418.27739999999</v>
      </c>
      <c r="H69">
        <v>28172.054789999998</v>
      </c>
      <c r="I69">
        <v>28.172054790000001</v>
      </c>
      <c r="J69">
        <v>2.8172055000000001E-2</v>
      </c>
      <c r="K69">
        <v>62.108675439999999</v>
      </c>
      <c r="L69">
        <v>2.5999999999999999E-2</v>
      </c>
      <c r="M69">
        <v>3</v>
      </c>
      <c r="N69">
        <v>145.55493849999999</v>
      </c>
      <c r="O69">
        <v>110.756101882612</v>
      </c>
      <c r="P69">
        <v>13144.955654073299</v>
      </c>
      <c r="Q69">
        <v>31590.857135480201</v>
      </c>
      <c r="R69">
        <v>83715.771409022607</v>
      </c>
      <c r="S69">
        <v>314.89999999999998</v>
      </c>
      <c r="T69">
        <v>8.8999999999999996E-2</v>
      </c>
      <c r="U69">
        <v>-1.1299999999999999</v>
      </c>
    </row>
    <row r="70" spans="1:21" x14ac:dyDescent="0.25">
      <c r="A70" t="s">
        <v>27</v>
      </c>
      <c r="B70" t="s">
        <v>28</v>
      </c>
      <c r="C70">
        <v>2</v>
      </c>
      <c r="D70">
        <v>1</v>
      </c>
      <c r="E70">
        <v>2</v>
      </c>
      <c r="F70">
        <v>1159.3366980000001</v>
      </c>
      <c r="G70">
        <v>3072.2422499999998</v>
      </c>
      <c r="H70">
        <v>482.4</v>
      </c>
      <c r="I70">
        <v>0.4824</v>
      </c>
      <c r="J70">
        <v>4.8240000000000002E-4</v>
      </c>
      <c r="K70">
        <v>1.063508688</v>
      </c>
      <c r="L70">
        <v>1.0999999999999999E-2</v>
      </c>
      <c r="M70">
        <v>2.9</v>
      </c>
      <c r="N70">
        <v>39.874448970000003</v>
      </c>
      <c r="O70">
        <v>41.566319638624798</v>
      </c>
      <c r="P70">
        <v>544.18084001262002</v>
      </c>
      <c r="Q70">
        <v>1307.8126412223501</v>
      </c>
      <c r="R70">
        <v>3465.70349923923</v>
      </c>
      <c r="S70">
        <v>81.53</v>
      </c>
      <c r="T70">
        <v>0.31</v>
      </c>
      <c r="U70">
        <v>-0.3</v>
      </c>
    </row>
    <row r="71" spans="1:21" x14ac:dyDescent="0.25">
      <c r="A71" t="s">
        <v>35</v>
      </c>
      <c r="B71" t="s">
        <v>36</v>
      </c>
      <c r="C71">
        <v>2</v>
      </c>
      <c r="D71">
        <v>1</v>
      </c>
      <c r="E71">
        <v>2</v>
      </c>
      <c r="F71">
        <v>86.10910835</v>
      </c>
      <c r="G71">
        <v>228.18913710000001</v>
      </c>
      <c r="H71">
        <v>35.829999979999997</v>
      </c>
      <c r="I71">
        <v>3.5830000000000001E-2</v>
      </c>
      <c r="J71">
        <v>3.5800000000000003E-5</v>
      </c>
      <c r="K71">
        <v>7.8991535000000002E-2</v>
      </c>
      <c r="L71">
        <v>2.1000000000000001E-2</v>
      </c>
      <c r="M71">
        <v>3</v>
      </c>
      <c r="N71">
        <v>11.949301090000001</v>
      </c>
      <c r="O71">
        <v>17.4756302256006</v>
      </c>
      <c r="P71">
        <v>112.077345120461</v>
      </c>
      <c r="Q71">
        <v>269.35194693694001</v>
      </c>
      <c r="R71">
        <v>713.78265938289098</v>
      </c>
      <c r="S71" s="4">
        <v>21.02</v>
      </c>
      <c r="T71" s="4">
        <v>0.86</v>
      </c>
      <c r="U71" s="4">
        <v>-6.9989999999999997E-2</v>
      </c>
    </row>
    <row r="72" spans="1:21" x14ac:dyDescent="0.25">
      <c r="A72" t="s">
        <v>39</v>
      </c>
      <c r="B72" t="s">
        <v>40</v>
      </c>
      <c r="C72">
        <v>2</v>
      </c>
      <c r="D72">
        <v>2</v>
      </c>
      <c r="E72">
        <v>4</v>
      </c>
      <c r="F72">
        <v>3222.0620039999999</v>
      </c>
      <c r="G72">
        <v>8538.4643109999997</v>
      </c>
      <c r="H72">
        <v>1340.7</v>
      </c>
      <c r="I72">
        <v>1.3407</v>
      </c>
      <c r="J72">
        <v>1.3407E-3</v>
      </c>
      <c r="K72">
        <v>2.9557340339999998</v>
      </c>
      <c r="L72">
        <v>1.2E-2</v>
      </c>
      <c r="M72">
        <v>3</v>
      </c>
      <c r="N72">
        <v>48.163361209999998</v>
      </c>
      <c r="O72">
        <v>52.325573592559699</v>
      </c>
      <c r="P72">
        <v>1719.1874784798999</v>
      </c>
      <c r="Q72">
        <v>4131.6690182165303</v>
      </c>
      <c r="R72">
        <v>10948.9228982738</v>
      </c>
      <c r="S72">
        <v>150.93</v>
      </c>
      <c r="T72">
        <v>0.11</v>
      </c>
      <c r="U72">
        <v>0.13</v>
      </c>
    </row>
    <row r="73" spans="1:21" x14ac:dyDescent="0.25">
      <c r="A73" t="s">
        <v>45</v>
      </c>
      <c r="B73" t="s">
        <v>46</v>
      </c>
      <c r="C73">
        <v>2</v>
      </c>
      <c r="D73">
        <v>5</v>
      </c>
      <c r="E73">
        <v>10</v>
      </c>
      <c r="F73">
        <v>3110.5273029999998</v>
      </c>
      <c r="G73">
        <v>8242.8973540000006</v>
      </c>
      <c r="H73">
        <v>1294.2904109999999</v>
      </c>
      <c r="I73">
        <v>1.294290411</v>
      </c>
      <c r="J73">
        <v>1.29429E-3</v>
      </c>
      <c r="K73">
        <v>2.8534185249999999</v>
      </c>
      <c r="L73">
        <v>3.96E-3</v>
      </c>
      <c r="M73">
        <v>3.2</v>
      </c>
      <c r="N73">
        <v>52.872539600000003</v>
      </c>
      <c r="O73" s="2">
        <v>266.14213576925499</v>
      </c>
      <c r="P73" s="2">
        <v>228065.097309423</v>
      </c>
      <c r="Q73" s="2">
        <v>548101.65178904904</v>
      </c>
      <c r="R73" s="2">
        <v>1452469.37724098</v>
      </c>
      <c r="S73" s="2">
        <v>300.78571428571399</v>
      </c>
      <c r="T73" s="2">
        <v>0.24014285714285699</v>
      </c>
      <c r="U73" s="2">
        <v>1</v>
      </c>
    </row>
    <row r="74" spans="1:21" x14ac:dyDescent="0.25">
      <c r="A74" t="s">
        <v>43</v>
      </c>
      <c r="B74" t="s">
        <v>44</v>
      </c>
      <c r="C74">
        <v>2</v>
      </c>
      <c r="D74">
        <v>2</v>
      </c>
      <c r="E74">
        <v>4</v>
      </c>
      <c r="F74">
        <v>347.4885845</v>
      </c>
      <c r="G74">
        <v>920.84474890000001</v>
      </c>
      <c r="H74">
        <v>144.59</v>
      </c>
      <c r="I74">
        <v>0.14459</v>
      </c>
      <c r="J74">
        <v>1.4459E-4</v>
      </c>
      <c r="K74">
        <v>0.31876600599999999</v>
      </c>
      <c r="L74">
        <v>1.44E-2</v>
      </c>
      <c r="M74">
        <v>3</v>
      </c>
      <c r="N74">
        <v>21.5737308</v>
      </c>
      <c r="O74" s="2">
        <v>39.696353761883302</v>
      </c>
      <c r="P74" s="2">
        <v>900.77089226532598</v>
      </c>
      <c r="Q74" s="2">
        <v>2164.7942616326</v>
      </c>
      <c r="R74" s="2">
        <v>5736.7047933263902</v>
      </c>
      <c r="S74" s="2">
        <v>47.633333333333297</v>
      </c>
      <c r="T74" s="2">
        <v>0.44800000000000001</v>
      </c>
      <c r="U74" s="2">
        <v>0</v>
      </c>
    </row>
    <row r="75" spans="1:21" x14ac:dyDescent="0.25">
      <c r="A75" t="s">
        <v>53</v>
      </c>
      <c r="B75" t="s">
        <v>54</v>
      </c>
      <c r="C75">
        <v>2</v>
      </c>
      <c r="D75">
        <v>2</v>
      </c>
      <c r="E75">
        <v>4</v>
      </c>
      <c r="F75">
        <v>1129.488104</v>
      </c>
      <c r="G75">
        <v>2993.143474</v>
      </c>
      <c r="H75">
        <v>469.98000009999998</v>
      </c>
      <c r="I75">
        <v>0.46998000000000001</v>
      </c>
      <c r="J75">
        <v>4.6998E-4</v>
      </c>
      <c r="K75">
        <v>1.036127308</v>
      </c>
      <c r="L75">
        <v>1.2E-2</v>
      </c>
      <c r="M75">
        <v>2.95</v>
      </c>
      <c r="N75">
        <v>36.05077627</v>
      </c>
      <c r="O75">
        <v>20.228703313010801</v>
      </c>
      <c r="P75">
        <v>85.464740484643798</v>
      </c>
      <c r="Q75">
        <v>205.39471397414999</v>
      </c>
      <c r="R75">
        <v>544.29599203149701</v>
      </c>
      <c r="S75">
        <v>41</v>
      </c>
      <c r="T75">
        <v>0.17</v>
      </c>
      <c r="U75">
        <v>0</v>
      </c>
    </row>
    <row r="76" spans="1:21" x14ac:dyDescent="0.25">
      <c r="A76" t="s">
        <v>57</v>
      </c>
      <c r="B76" t="s">
        <v>58</v>
      </c>
      <c r="C76">
        <v>2</v>
      </c>
      <c r="D76">
        <v>2</v>
      </c>
      <c r="E76">
        <v>4</v>
      </c>
      <c r="F76">
        <v>1987.02235</v>
      </c>
      <c r="G76">
        <v>5265.6092280000003</v>
      </c>
      <c r="H76">
        <v>826.79999980000002</v>
      </c>
      <c r="I76">
        <v>0.82679999999999998</v>
      </c>
      <c r="J76">
        <v>8.2680000000000004E-4</v>
      </c>
      <c r="K76">
        <v>1.8227798159999999</v>
      </c>
      <c r="L76">
        <v>4.0000000000000001E-3</v>
      </c>
      <c r="M76">
        <v>3.1</v>
      </c>
      <c r="N76">
        <v>41.2261539</v>
      </c>
      <c r="O76">
        <v>58.181743838189597</v>
      </c>
      <c r="P76">
        <v>2324.0325637394799</v>
      </c>
      <c r="Q76">
        <v>5585.2741257858097</v>
      </c>
      <c r="R76">
        <v>14800.9764333324</v>
      </c>
      <c r="S76">
        <v>72.900000000000006</v>
      </c>
      <c r="T76">
        <v>0.4</v>
      </c>
      <c r="U76">
        <v>0</v>
      </c>
    </row>
    <row r="77" spans="1:21" x14ac:dyDescent="0.25">
      <c r="A77" t="s">
        <v>59</v>
      </c>
      <c r="B77" t="s">
        <v>60</v>
      </c>
      <c r="C77">
        <v>2</v>
      </c>
      <c r="D77">
        <v>2</v>
      </c>
      <c r="E77">
        <v>4</v>
      </c>
      <c r="F77">
        <v>1129.488104</v>
      </c>
      <c r="G77">
        <v>2993.143474</v>
      </c>
      <c r="H77">
        <v>469.98000009999998</v>
      </c>
      <c r="I77">
        <v>0.46998000000000001</v>
      </c>
      <c r="J77">
        <v>4.6998E-4</v>
      </c>
      <c r="K77">
        <v>1.036127308</v>
      </c>
      <c r="L77">
        <v>1.6799999999999999E-2</v>
      </c>
      <c r="M77">
        <v>3.1</v>
      </c>
      <c r="N77">
        <v>27.19205101</v>
      </c>
      <c r="O77">
        <v>60.482334737459503</v>
      </c>
      <c r="P77">
        <v>5602.1892882480797</v>
      </c>
      <c r="Q77">
        <v>13463.5647398416</v>
      </c>
      <c r="R77">
        <v>35678.446560580203</v>
      </c>
      <c r="S77">
        <v>263.2</v>
      </c>
      <c r="T77">
        <v>7.0000000000000007E-2</v>
      </c>
      <c r="U77">
        <v>0.27</v>
      </c>
    </row>
    <row r="78" spans="1:21" x14ac:dyDescent="0.25">
      <c r="A78" t="s">
        <v>61</v>
      </c>
      <c r="B78" t="s">
        <v>62</v>
      </c>
      <c r="C78">
        <v>2</v>
      </c>
      <c r="D78">
        <v>1</v>
      </c>
      <c r="E78">
        <v>2</v>
      </c>
      <c r="F78">
        <v>32.972843070000003</v>
      </c>
      <c r="G78">
        <v>87.378034139999997</v>
      </c>
      <c r="H78">
        <v>13.72</v>
      </c>
      <c r="I78">
        <v>1.372E-2</v>
      </c>
      <c r="J78">
        <v>1.3699999999999999E-5</v>
      </c>
      <c r="K78">
        <v>3.0247386000000001E-2</v>
      </c>
      <c r="L78">
        <v>1.2500000000000001E-2</v>
      </c>
      <c r="M78">
        <v>3</v>
      </c>
      <c r="N78">
        <v>10.315288199999999</v>
      </c>
      <c r="O78">
        <v>12.5106682144588</v>
      </c>
      <c r="P78">
        <v>24.476624933083801</v>
      </c>
      <c r="Q78">
        <v>58.8239003438688</v>
      </c>
      <c r="R78">
        <v>155.883335911252</v>
      </c>
      <c r="S78">
        <v>33.700000000000003</v>
      </c>
      <c r="T78">
        <v>0.32</v>
      </c>
      <c r="U78">
        <v>0.55000000000000004</v>
      </c>
    </row>
    <row r="79" spans="1:21" x14ac:dyDescent="0.25">
      <c r="A79" t="s">
        <v>63</v>
      </c>
      <c r="B79" t="s">
        <v>64</v>
      </c>
      <c r="C79">
        <v>2</v>
      </c>
      <c r="D79">
        <v>2</v>
      </c>
      <c r="E79">
        <v>4</v>
      </c>
      <c r="F79">
        <v>347.4885845</v>
      </c>
      <c r="G79">
        <v>920.84474890000001</v>
      </c>
      <c r="H79">
        <v>144.59</v>
      </c>
      <c r="I79">
        <v>0.14459</v>
      </c>
      <c r="J79">
        <v>1.4459E-4</v>
      </c>
      <c r="K79">
        <v>0.31876600599999999</v>
      </c>
      <c r="L79">
        <v>1.2E-2</v>
      </c>
      <c r="M79">
        <v>3.1</v>
      </c>
      <c r="N79">
        <v>20.722289929999999</v>
      </c>
      <c r="O79">
        <v>36.165543125950101</v>
      </c>
      <c r="P79">
        <v>812.63536807531398</v>
      </c>
      <c r="Q79">
        <v>1952.9809374556901</v>
      </c>
      <c r="R79">
        <v>5175.3994842575903</v>
      </c>
      <c r="S79">
        <v>42.5</v>
      </c>
      <c r="T79">
        <v>0.47</v>
      </c>
      <c r="U79">
        <v>0.05</v>
      </c>
    </row>
    <row r="80" spans="1:21" x14ac:dyDescent="0.25">
      <c r="A80" t="s">
        <v>65</v>
      </c>
      <c r="B80" t="s">
        <v>66</v>
      </c>
      <c r="C80">
        <v>2</v>
      </c>
      <c r="D80">
        <v>3</v>
      </c>
      <c r="E80">
        <v>6</v>
      </c>
      <c r="F80">
        <v>1200</v>
      </c>
      <c r="G80">
        <v>3180</v>
      </c>
      <c r="H80">
        <v>499.32</v>
      </c>
      <c r="I80">
        <v>0.49931999999999999</v>
      </c>
      <c r="J80">
        <v>4.9932000000000004E-4</v>
      </c>
      <c r="K80">
        <v>1.100810858</v>
      </c>
      <c r="L80">
        <v>1.2699999999999999E-2</v>
      </c>
      <c r="M80">
        <v>3.1</v>
      </c>
      <c r="N80">
        <v>30.347369</v>
      </c>
      <c r="O80">
        <v>47.282602925460402</v>
      </c>
      <c r="P80">
        <v>1974.14018262786</v>
      </c>
      <c r="Q80">
        <v>4744.3888070844996</v>
      </c>
      <c r="R80">
        <v>12572.630338773901</v>
      </c>
      <c r="S80">
        <v>52.7</v>
      </c>
      <c r="T80">
        <v>0.35</v>
      </c>
      <c r="U80">
        <v>-0.5</v>
      </c>
    </row>
    <row r="81" spans="1:21" x14ac:dyDescent="0.25">
      <c r="A81" t="s">
        <v>67</v>
      </c>
      <c r="B81" t="s">
        <v>68</v>
      </c>
      <c r="C81">
        <v>2</v>
      </c>
      <c r="D81">
        <v>1</v>
      </c>
      <c r="E81">
        <v>2</v>
      </c>
      <c r="F81">
        <v>31.24</v>
      </c>
      <c r="G81">
        <v>82.79</v>
      </c>
      <c r="H81">
        <v>12.998964000000001</v>
      </c>
      <c r="I81">
        <v>1.2998964E-2</v>
      </c>
      <c r="J81">
        <v>1.2999999999999999E-5</v>
      </c>
      <c r="K81">
        <v>2.8657775999999999E-2</v>
      </c>
      <c r="L81">
        <v>1.29E-2</v>
      </c>
      <c r="M81">
        <v>3.05</v>
      </c>
      <c r="N81">
        <v>9.6537214660000004</v>
      </c>
      <c r="O81">
        <v>25.445946307790098</v>
      </c>
      <c r="P81">
        <v>249.87710172442101</v>
      </c>
      <c r="Q81">
        <v>600.52175372367401</v>
      </c>
      <c r="R81">
        <v>1591.38264736774</v>
      </c>
      <c r="S81">
        <v>40.6</v>
      </c>
      <c r="T81">
        <v>0.27</v>
      </c>
      <c r="U81">
        <v>-1.65</v>
      </c>
    </row>
    <row r="82" spans="1:21" x14ac:dyDescent="0.25">
      <c r="A82" t="s">
        <v>69</v>
      </c>
      <c r="B82" t="s">
        <v>70</v>
      </c>
      <c r="C82">
        <v>2</v>
      </c>
      <c r="D82">
        <v>1</v>
      </c>
      <c r="E82">
        <v>2</v>
      </c>
      <c r="F82">
        <v>120.16342229999999</v>
      </c>
      <c r="G82">
        <v>318.43306899999999</v>
      </c>
      <c r="H82">
        <v>50.000000020000002</v>
      </c>
      <c r="I82">
        <v>0.05</v>
      </c>
      <c r="J82">
        <v>5.0000000000000002E-5</v>
      </c>
      <c r="K82">
        <v>0.110231</v>
      </c>
      <c r="L82">
        <v>0.01</v>
      </c>
      <c r="M82">
        <v>2.9</v>
      </c>
      <c r="N82">
        <v>18.85848923</v>
      </c>
      <c r="O82">
        <v>14.4649922879067</v>
      </c>
      <c r="P82">
        <v>23.169827404021401</v>
      </c>
      <c r="Q82">
        <v>55.683315078157698</v>
      </c>
      <c r="R82">
        <v>147.56078495711799</v>
      </c>
      <c r="S82">
        <v>37.700000000000003</v>
      </c>
      <c r="T82">
        <v>0.24199999999999999</v>
      </c>
      <c r="U82">
        <v>0</v>
      </c>
    </row>
    <row r="83" spans="1:21" x14ac:dyDescent="0.25">
      <c r="A83" s="2" t="s">
        <v>71</v>
      </c>
      <c r="B83" t="s">
        <v>72</v>
      </c>
      <c r="C83">
        <v>2</v>
      </c>
      <c r="D83">
        <v>1</v>
      </c>
      <c r="E83">
        <v>2</v>
      </c>
      <c r="F83">
        <v>3.8692621960000002</v>
      </c>
      <c r="G83">
        <v>10.25354482</v>
      </c>
      <c r="H83">
        <v>1.6099999997556</v>
      </c>
      <c r="I83">
        <v>1.6099999997555999E-3</v>
      </c>
      <c r="J83">
        <v>1.6099999997555999E-6</v>
      </c>
      <c r="K83">
        <v>3.54943819946119E-3</v>
      </c>
      <c r="L83" s="3">
        <v>1.0999999999999999E-2</v>
      </c>
      <c r="M83" s="3">
        <v>3.01</v>
      </c>
      <c r="N83">
        <v>5.2409862486962604</v>
      </c>
      <c r="O83" s="2">
        <v>5.4532752310419399</v>
      </c>
      <c r="P83" s="2">
        <v>1.81439362626141</v>
      </c>
      <c r="Q83" s="2">
        <v>4.3604749489579602</v>
      </c>
      <c r="R83" s="2">
        <v>11.5552586147386</v>
      </c>
      <c r="S83">
        <v>9</v>
      </c>
      <c r="T83">
        <v>0.32</v>
      </c>
      <c r="U83">
        <v>-0.91</v>
      </c>
    </row>
    <row r="84" spans="1:21" x14ac:dyDescent="0.25">
      <c r="A84" s="2" t="s">
        <v>49</v>
      </c>
      <c r="B84" t="s">
        <v>50</v>
      </c>
      <c r="C84">
        <v>2</v>
      </c>
      <c r="D84">
        <v>1</v>
      </c>
      <c r="E84">
        <v>2</v>
      </c>
      <c r="F84">
        <v>347.4885845</v>
      </c>
      <c r="G84">
        <v>920.84474890000001</v>
      </c>
      <c r="H84">
        <v>144.59000001045001</v>
      </c>
      <c r="I84">
        <v>0.14459000001045</v>
      </c>
      <c r="J84">
        <v>1.4459000001045E-4</v>
      </c>
      <c r="K84">
        <v>0.31876600582303799</v>
      </c>
      <c r="L84" s="3">
        <v>1.2E-2</v>
      </c>
      <c r="M84" s="3">
        <v>3.1</v>
      </c>
      <c r="N84">
        <v>20.722289929778999</v>
      </c>
      <c r="O84" s="2">
        <v>19.676791366937699</v>
      </c>
      <c r="P84" s="2">
        <v>123.151446299805</v>
      </c>
      <c r="Q84" s="2">
        <v>295.96598485893901</v>
      </c>
      <c r="R84" s="2">
        <v>784.30985987618999</v>
      </c>
      <c r="S84" s="2">
        <v>54.3</v>
      </c>
      <c r="T84" s="2">
        <v>0.22500000000000001</v>
      </c>
      <c r="U84" s="2">
        <v>0</v>
      </c>
    </row>
    <row r="85" spans="1:21" x14ac:dyDescent="0.25">
      <c r="A85" t="s">
        <v>55</v>
      </c>
      <c r="B85" t="s">
        <v>56</v>
      </c>
      <c r="C85">
        <v>2</v>
      </c>
      <c r="D85">
        <v>1</v>
      </c>
      <c r="E85">
        <v>2</v>
      </c>
      <c r="F85">
        <v>155.0108147</v>
      </c>
      <c r="G85">
        <v>410.778659</v>
      </c>
      <c r="H85">
        <v>64.5</v>
      </c>
      <c r="I85">
        <v>6.4500000000000002E-2</v>
      </c>
      <c r="J85">
        <v>6.4499999999999996E-5</v>
      </c>
      <c r="K85">
        <v>0.14219799</v>
      </c>
      <c r="L85">
        <v>1.2999999999999999E-2</v>
      </c>
      <c r="M85">
        <v>3</v>
      </c>
      <c r="N85">
        <v>17.055801020000001</v>
      </c>
      <c r="O85">
        <v>25.464801199995101</v>
      </c>
      <c r="P85">
        <v>214.66647380591499</v>
      </c>
      <c r="Q85">
        <v>515.90116271548902</v>
      </c>
      <c r="R85">
        <v>1367.1380811960501</v>
      </c>
      <c r="S85">
        <v>152</v>
      </c>
      <c r="T85">
        <v>9.6000000000000002E-2</v>
      </c>
      <c r="U85">
        <v>0.09</v>
      </c>
    </row>
    <row r="86" spans="1:21" x14ac:dyDescent="0.25">
      <c r="A86" t="s">
        <v>75</v>
      </c>
      <c r="B86" t="s">
        <v>76</v>
      </c>
      <c r="C86">
        <v>2</v>
      </c>
      <c r="D86">
        <v>2</v>
      </c>
      <c r="E86">
        <v>4</v>
      </c>
      <c r="F86">
        <v>347.4885845</v>
      </c>
      <c r="G86">
        <v>920.84474890000001</v>
      </c>
      <c r="H86">
        <v>144.59</v>
      </c>
      <c r="I86">
        <v>0.14459</v>
      </c>
      <c r="J86">
        <v>1.4459E-4</v>
      </c>
      <c r="K86">
        <v>0.31876600599999999</v>
      </c>
      <c r="L86">
        <v>2.5000000000000001E-3</v>
      </c>
      <c r="M86">
        <v>3.1</v>
      </c>
      <c r="N86">
        <v>34.371064560000001</v>
      </c>
      <c r="O86">
        <v>42.479007394554699</v>
      </c>
      <c r="P86">
        <v>278.792139555956</v>
      </c>
      <c r="Q86">
        <v>670.01235173265104</v>
      </c>
      <c r="R86">
        <v>1775.5327320915301</v>
      </c>
      <c r="S86">
        <v>122</v>
      </c>
      <c r="T86">
        <v>0.107</v>
      </c>
      <c r="U86">
        <v>0</v>
      </c>
    </row>
    <row r="87" spans="1:21" x14ac:dyDescent="0.25">
      <c r="A87" t="s">
        <v>73</v>
      </c>
      <c r="B87" t="s">
        <v>74</v>
      </c>
      <c r="C87">
        <v>2</v>
      </c>
      <c r="D87">
        <v>2</v>
      </c>
      <c r="E87">
        <v>4</v>
      </c>
      <c r="F87">
        <v>347.4885845</v>
      </c>
      <c r="G87">
        <v>920.84474890000001</v>
      </c>
      <c r="H87">
        <v>144.59</v>
      </c>
      <c r="I87">
        <v>0.14459</v>
      </c>
      <c r="J87">
        <v>1.4459E-4</v>
      </c>
      <c r="K87">
        <v>0.31876600599999999</v>
      </c>
      <c r="L87">
        <v>1.4E-2</v>
      </c>
      <c r="M87">
        <v>2.8</v>
      </c>
      <c r="N87">
        <v>27.137827609999999</v>
      </c>
      <c r="O87">
        <v>36.695900628394902</v>
      </c>
      <c r="P87">
        <v>336.55587698181699</v>
      </c>
      <c r="Q87">
        <v>808.834119158416</v>
      </c>
      <c r="R87">
        <v>2143.4104157697998</v>
      </c>
      <c r="S87">
        <v>43</v>
      </c>
      <c r="T87">
        <v>0.48</v>
      </c>
      <c r="U87">
        <v>0</v>
      </c>
    </row>
    <row r="88" spans="1:21" x14ac:dyDescent="0.25">
      <c r="A88" s="2" t="s">
        <v>51</v>
      </c>
      <c r="B88" t="s">
        <v>52</v>
      </c>
      <c r="C88">
        <v>2</v>
      </c>
      <c r="D88">
        <v>1</v>
      </c>
      <c r="E88">
        <v>2</v>
      </c>
      <c r="F88">
        <v>1129.488104</v>
      </c>
      <c r="G88">
        <v>2993.143474</v>
      </c>
      <c r="H88">
        <v>469.98000007439998</v>
      </c>
      <c r="I88">
        <v>0.4699800000744</v>
      </c>
      <c r="J88">
        <v>4.6998000007440001E-4</v>
      </c>
      <c r="K88">
        <v>1.0361273077640201</v>
      </c>
      <c r="L88" s="3">
        <v>1.24E-2</v>
      </c>
      <c r="M88" s="3">
        <v>3.2</v>
      </c>
      <c r="N88">
        <v>26.9668692028389</v>
      </c>
      <c r="O88" s="2">
        <v>7.6830623947311398</v>
      </c>
      <c r="P88" s="2">
        <v>8.4553509376347797</v>
      </c>
      <c r="Q88" s="2">
        <v>20.3204781005402</v>
      </c>
      <c r="R88" s="2">
        <v>53.8492669664316</v>
      </c>
      <c r="S88">
        <v>20.9</v>
      </c>
      <c r="T88">
        <v>0.19500000000000001</v>
      </c>
      <c r="U88">
        <v>-0.35</v>
      </c>
    </row>
    <row r="89" spans="1:21" x14ac:dyDescent="0.25">
      <c r="A89" t="s">
        <v>85</v>
      </c>
      <c r="B89" t="s">
        <v>86</v>
      </c>
      <c r="C89">
        <v>2</v>
      </c>
      <c r="D89">
        <v>7</v>
      </c>
      <c r="E89">
        <v>14</v>
      </c>
      <c r="F89">
        <v>9019.2820400000001</v>
      </c>
      <c r="G89">
        <v>23901.197400000001</v>
      </c>
      <c r="H89">
        <v>3752.9232569999999</v>
      </c>
      <c r="I89">
        <v>3.752923257</v>
      </c>
      <c r="J89">
        <v>3.752923E-3</v>
      </c>
      <c r="K89">
        <v>8.2737696710000002</v>
      </c>
      <c r="L89">
        <v>5.2399999999999999E-3</v>
      </c>
      <c r="M89">
        <v>3.141</v>
      </c>
      <c r="N89">
        <v>73.125400459999994</v>
      </c>
      <c r="O89" s="2">
        <v>256.84427503747003</v>
      </c>
      <c r="P89" s="2">
        <v>194135.25529926401</v>
      </c>
      <c r="Q89" s="2">
        <v>466559.13313930202</v>
      </c>
      <c r="R89" s="2">
        <v>1236381.7028191499</v>
      </c>
      <c r="S89">
        <v>309.24444444444401</v>
      </c>
      <c r="T89">
        <v>0.13655555555555601</v>
      </c>
      <c r="U89">
        <v>1</v>
      </c>
    </row>
    <row r="90" spans="1:21" x14ac:dyDescent="0.25">
      <c r="A90" t="s">
        <v>77</v>
      </c>
      <c r="B90" t="s">
        <v>78</v>
      </c>
      <c r="C90">
        <v>2</v>
      </c>
      <c r="D90">
        <v>3</v>
      </c>
      <c r="E90">
        <v>6</v>
      </c>
      <c r="F90">
        <v>68782.88609</v>
      </c>
      <c r="G90">
        <v>182274.6482</v>
      </c>
      <c r="H90">
        <v>28620.5589</v>
      </c>
      <c r="I90">
        <v>28.620558899999999</v>
      </c>
      <c r="J90">
        <v>2.8620559E-2</v>
      </c>
      <c r="K90">
        <v>63.097456569999999</v>
      </c>
      <c r="L90">
        <v>3.5000000000000003E-2</v>
      </c>
      <c r="M90">
        <v>2.9</v>
      </c>
      <c r="N90">
        <v>109.3530894</v>
      </c>
      <c r="O90" s="2">
        <v>198.031026442659</v>
      </c>
      <c r="P90" s="2">
        <v>160174.89061800399</v>
      </c>
      <c r="Q90" s="2">
        <v>384943.26031724003</v>
      </c>
      <c r="R90" s="2">
        <v>1020099.63984069</v>
      </c>
      <c r="S90">
        <v>208.40700000000001</v>
      </c>
      <c r="T90">
        <v>0.5</v>
      </c>
      <c r="U90">
        <v>0</v>
      </c>
    </row>
    <row r="91" spans="1:21" x14ac:dyDescent="0.25">
      <c r="A91" t="s">
        <v>79</v>
      </c>
      <c r="B91" t="s">
        <v>80</v>
      </c>
      <c r="C91">
        <v>2</v>
      </c>
      <c r="D91">
        <v>2</v>
      </c>
      <c r="E91">
        <v>4</v>
      </c>
      <c r="F91">
        <v>1129.488104</v>
      </c>
      <c r="G91">
        <v>2993.143474</v>
      </c>
      <c r="H91">
        <v>469.98000009999998</v>
      </c>
      <c r="I91">
        <v>0.46998000000000001</v>
      </c>
      <c r="J91">
        <v>4.6998E-4</v>
      </c>
      <c r="K91">
        <v>1.036127308</v>
      </c>
      <c r="L91">
        <v>3.3999999999999998E-3</v>
      </c>
      <c r="M91">
        <v>3.2850000000000001</v>
      </c>
      <c r="N91">
        <v>26.966869200000001</v>
      </c>
      <c r="O91">
        <v>29.553642157301201</v>
      </c>
      <c r="P91">
        <v>630.05276044964899</v>
      </c>
      <c r="Q91">
        <v>1514.18591792754</v>
      </c>
      <c r="R91">
        <v>4012.59268250798</v>
      </c>
      <c r="S91">
        <v>59.9</v>
      </c>
      <c r="T91">
        <v>0.17</v>
      </c>
      <c r="U91">
        <v>0</v>
      </c>
    </row>
    <row r="92" spans="1:21" x14ac:dyDescent="0.25">
      <c r="A92" t="s">
        <v>81</v>
      </c>
      <c r="B92" t="s">
        <v>82</v>
      </c>
      <c r="C92">
        <v>2</v>
      </c>
      <c r="D92">
        <v>2</v>
      </c>
      <c r="E92">
        <v>4</v>
      </c>
      <c r="F92">
        <v>347.4885845</v>
      </c>
      <c r="G92">
        <v>920.84474890000001</v>
      </c>
      <c r="H92">
        <v>144.59</v>
      </c>
      <c r="I92">
        <v>0.14459</v>
      </c>
      <c r="J92">
        <v>1.4459E-4</v>
      </c>
      <c r="K92">
        <v>0.31876600599999999</v>
      </c>
      <c r="L92">
        <v>1.4999999999999999E-2</v>
      </c>
      <c r="M92">
        <v>3</v>
      </c>
      <c r="N92">
        <v>21.282158150000001</v>
      </c>
      <c r="O92">
        <v>52.298598809247501</v>
      </c>
      <c r="P92">
        <v>2145.6625397832699</v>
      </c>
      <c r="Q92">
        <v>5156.6030756627397</v>
      </c>
      <c r="R92">
        <v>13664.998150506301</v>
      </c>
      <c r="S92">
        <v>106</v>
      </c>
      <c r="T92">
        <v>0.17</v>
      </c>
      <c r="U92">
        <v>0</v>
      </c>
    </row>
    <row r="93" spans="1:21" x14ac:dyDescent="0.25">
      <c r="A93" t="s">
        <v>83</v>
      </c>
      <c r="B93" t="s">
        <v>84</v>
      </c>
      <c r="C93">
        <v>2</v>
      </c>
      <c r="D93">
        <v>7</v>
      </c>
      <c r="E93">
        <v>14</v>
      </c>
      <c r="F93">
        <v>9019.2820400000001</v>
      </c>
      <c r="G93">
        <v>23901.197400000001</v>
      </c>
      <c r="H93">
        <v>3752.9232569999999</v>
      </c>
      <c r="I93">
        <v>3.752923257</v>
      </c>
      <c r="J93">
        <v>3.752923E-3</v>
      </c>
      <c r="K93">
        <v>8.2737696710000002</v>
      </c>
      <c r="L93">
        <v>5.4000000000000003E-3</v>
      </c>
      <c r="M93">
        <v>3</v>
      </c>
      <c r="N93">
        <v>88.577885339999995</v>
      </c>
      <c r="O93">
        <v>224.809568096942</v>
      </c>
      <c r="P93">
        <v>61353.329181622103</v>
      </c>
      <c r="Q93">
        <v>147448.520023124</v>
      </c>
      <c r="R93">
        <v>390738.57806128002</v>
      </c>
      <c r="S93">
        <v>280</v>
      </c>
      <c r="T93">
        <v>0.11600000000000001</v>
      </c>
      <c r="U93">
        <v>0</v>
      </c>
    </row>
    <row r="94" spans="1:21" x14ac:dyDescent="0.25">
      <c r="A94" t="s">
        <v>91</v>
      </c>
      <c r="B94" t="s">
        <v>92</v>
      </c>
      <c r="C94">
        <v>2</v>
      </c>
      <c r="D94">
        <v>2</v>
      </c>
      <c r="E94">
        <v>4</v>
      </c>
      <c r="F94">
        <v>347.4885845</v>
      </c>
      <c r="G94">
        <v>920.84474890000001</v>
      </c>
      <c r="H94">
        <v>144.59</v>
      </c>
      <c r="I94">
        <v>0.14459</v>
      </c>
      <c r="J94">
        <v>1.4459E-4</v>
      </c>
      <c r="K94">
        <v>0.31876600599999999</v>
      </c>
      <c r="L94">
        <v>1.2999999999999999E-2</v>
      </c>
      <c r="M94">
        <v>3</v>
      </c>
      <c r="N94">
        <v>22.321924509999999</v>
      </c>
      <c r="O94">
        <v>32.046481094003497</v>
      </c>
      <c r="P94">
        <v>427.84296656974999</v>
      </c>
      <c r="Q94">
        <v>1028.22150100877</v>
      </c>
      <c r="R94">
        <v>2724.78697767324</v>
      </c>
      <c r="S94">
        <v>60.2</v>
      </c>
      <c r="T94">
        <v>0.19</v>
      </c>
      <c r="U94">
        <v>0</v>
      </c>
    </row>
    <row r="95" spans="1:21" x14ac:dyDescent="0.25">
      <c r="A95" t="s">
        <v>87</v>
      </c>
      <c r="B95" t="s">
        <v>88</v>
      </c>
      <c r="C95">
        <v>2</v>
      </c>
      <c r="D95">
        <v>2</v>
      </c>
      <c r="E95">
        <v>4</v>
      </c>
      <c r="F95">
        <v>347.4885845</v>
      </c>
      <c r="G95">
        <v>920.84474890000001</v>
      </c>
      <c r="H95">
        <v>144.59</v>
      </c>
      <c r="I95">
        <v>0.14459</v>
      </c>
      <c r="J95">
        <v>1.4459E-4</v>
      </c>
      <c r="K95">
        <v>0.31876600599999999</v>
      </c>
      <c r="L95">
        <v>6.0000000000000001E-3</v>
      </c>
      <c r="M95">
        <v>3.1</v>
      </c>
      <c r="N95">
        <v>25.914581269999999</v>
      </c>
      <c r="O95">
        <v>18.785992624935801</v>
      </c>
      <c r="P95">
        <v>53.338046744098101</v>
      </c>
      <c r="Q95">
        <v>128.18564466257601</v>
      </c>
      <c r="R95">
        <v>339.69195835582798</v>
      </c>
      <c r="S95">
        <v>31.4</v>
      </c>
      <c r="T95">
        <v>0.19</v>
      </c>
      <c r="U95">
        <v>-0.8</v>
      </c>
    </row>
    <row r="96" spans="1:21" x14ac:dyDescent="0.25">
      <c r="A96" t="s">
        <v>93</v>
      </c>
      <c r="B96" t="s">
        <v>94</v>
      </c>
      <c r="C96">
        <v>2</v>
      </c>
      <c r="D96">
        <v>9</v>
      </c>
      <c r="E96">
        <v>18</v>
      </c>
      <c r="F96">
        <v>1762470683</v>
      </c>
      <c r="G96">
        <v>4670547309</v>
      </c>
      <c r="H96">
        <v>733364051.20000005</v>
      </c>
      <c r="I96">
        <v>733364.05119999999</v>
      </c>
      <c r="J96">
        <v>733.36405119999995</v>
      </c>
      <c r="K96">
        <v>1616789.0549999999</v>
      </c>
      <c r="L96" s="2">
        <v>1.7000000000000001E-2</v>
      </c>
      <c r="M96">
        <v>3</v>
      </c>
      <c r="N96">
        <v>1542.0432000000001</v>
      </c>
      <c r="O96" s="2">
        <v>1567.35268484675</v>
      </c>
      <c r="P96" s="2">
        <v>65455948.114194199</v>
      </c>
      <c r="Q96" s="2">
        <v>157308214.64598501</v>
      </c>
      <c r="R96" s="2">
        <v>416866768.81185901</v>
      </c>
      <c r="S96">
        <v>1584.96</v>
      </c>
      <c r="T96" s="2">
        <v>0.25</v>
      </c>
      <c r="U96">
        <v>0</v>
      </c>
    </row>
    <row r="97" spans="1:21" x14ac:dyDescent="0.25">
      <c r="A97" t="s">
        <v>109</v>
      </c>
      <c r="B97" t="s">
        <v>110</v>
      </c>
      <c r="C97">
        <v>2</v>
      </c>
      <c r="D97">
        <v>5</v>
      </c>
      <c r="E97">
        <v>10</v>
      </c>
      <c r="F97">
        <v>3110.5273029999998</v>
      </c>
      <c r="G97">
        <v>8242.8973540000006</v>
      </c>
      <c r="H97">
        <v>1294.2904109999999</v>
      </c>
      <c r="I97">
        <v>1.294290411</v>
      </c>
      <c r="J97">
        <v>1.29429E-3</v>
      </c>
      <c r="K97">
        <v>2.8534185249999999</v>
      </c>
      <c r="L97">
        <v>4.3E-3</v>
      </c>
      <c r="M97">
        <v>3.1</v>
      </c>
      <c r="N97">
        <v>58.516518140000002</v>
      </c>
      <c r="O97">
        <v>99.087082098658797</v>
      </c>
      <c r="P97">
        <v>6624.0145574934404</v>
      </c>
      <c r="Q97">
        <v>15919.285165809801</v>
      </c>
      <c r="R97">
        <v>42186.105689395801</v>
      </c>
      <c r="S97">
        <v>186</v>
      </c>
      <c r="T97">
        <v>4.5999999999999999E-2</v>
      </c>
      <c r="U97">
        <v>-6.54</v>
      </c>
    </row>
    <row r="98" spans="1:21" x14ac:dyDescent="0.25">
      <c r="A98" t="s">
        <v>99</v>
      </c>
      <c r="B98" t="s">
        <v>100</v>
      </c>
      <c r="C98">
        <v>2</v>
      </c>
      <c r="D98">
        <v>2</v>
      </c>
      <c r="E98">
        <v>4</v>
      </c>
      <c r="F98">
        <v>347.4885845</v>
      </c>
      <c r="G98">
        <v>920.84474890000001</v>
      </c>
      <c r="H98">
        <v>144.59</v>
      </c>
      <c r="I98">
        <v>0.14459</v>
      </c>
      <c r="J98">
        <v>1.4459E-4</v>
      </c>
      <c r="K98">
        <v>0.31876600599999999</v>
      </c>
      <c r="L98">
        <v>1.4999999999999999E-2</v>
      </c>
      <c r="M98">
        <v>3.1</v>
      </c>
      <c r="N98">
        <v>19.283082140000001</v>
      </c>
      <c r="O98">
        <v>20.919439523699001</v>
      </c>
      <c r="P98">
        <v>186.121437255704</v>
      </c>
      <c r="Q98">
        <v>447.29977711055898</v>
      </c>
      <c r="R98">
        <v>1185.34440934298</v>
      </c>
      <c r="S98">
        <v>42.4</v>
      </c>
      <c r="T98">
        <v>0.17</v>
      </c>
      <c r="U98">
        <v>0</v>
      </c>
    </row>
    <row r="99" spans="1:21" x14ac:dyDescent="0.25">
      <c r="A99" t="s">
        <v>97</v>
      </c>
      <c r="B99" t="s">
        <v>98</v>
      </c>
      <c r="C99">
        <v>2</v>
      </c>
      <c r="D99">
        <v>2</v>
      </c>
      <c r="E99">
        <v>4</v>
      </c>
      <c r="F99">
        <v>23420.529180000001</v>
      </c>
      <c r="G99">
        <v>62064.402329999997</v>
      </c>
      <c r="H99">
        <v>9745.2821920000006</v>
      </c>
      <c r="I99">
        <v>9.7452821919999995</v>
      </c>
      <c r="J99">
        <v>9.7452819999999992E-3</v>
      </c>
      <c r="K99">
        <v>21.484644029999998</v>
      </c>
      <c r="L99" s="2">
        <v>6.5000000000000002E-2</v>
      </c>
      <c r="M99">
        <v>3</v>
      </c>
      <c r="N99">
        <v>78.690349569999995</v>
      </c>
      <c r="O99">
        <v>22.4250251865184</v>
      </c>
      <c r="P99">
        <v>733.01384085176198</v>
      </c>
      <c r="Q99">
        <v>1761.6290335298299</v>
      </c>
      <c r="R99">
        <v>4668.31693885405</v>
      </c>
      <c r="S99">
        <v>23.6</v>
      </c>
      <c r="T99">
        <v>0.75</v>
      </c>
      <c r="U99">
        <v>0</v>
      </c>
    </row>
    <row r="100" spans="1:21" x14ac:dyDescent="0.25">
      <c r="A100" s="2" t="s">
        <v>47</v>
      </c>
      <c r="B100" t="s">
        <v>48</v>
      </c>
      <c r="C100">
        <v>2</v>
      </c>
      <c r="D100">
        <v>1</v>
      </c>
      <c r="E100">
        <v>2</v>
      </c>
      <c r="F100">
        <v>120.16342229999999</v>
      </c>
      <c r="G100">
        <v>318.43306899999999</v>
      </c>
      <c r="H100">
        <v>50.000000019029997</v>
      </c>
      <c r="I100">
        <v>5.0000000019030003E-2</v>
      </c>
      <c r="J100">
        <v>5.000000001903E-5</v>
      </c>
      <c r="K100">
        <v>0.11023100004195401</v>
      </c>
      <c r="L100" s="3">
        <v>1.23E-2</v>
      </c>
      <c r="M100" s="3">
        <v>3.2</v>
      </c>
      <c r="N100">
        <v>13.422480419128</v>
      </c>
      <c r="O100" s="2">
        <v>27.050984042335799</v>
      </c>
      <c r="P100" s="2">
        <v>470.85905826241498</v>
      </c>
      <c r="Q100" s="2">
        <v>1131.6007168046499</v>
      </c>
      <c r="R100" s="2">
        <v>2998.7418995323201</v>
      </c>
      <c r="S100" s="2">
        <v>39.200000000000003</v>
      </c>
      <c r="T100" s="2">
        <v>0.58571428571428596</v>
      </c>
      <c r="U100" s="2">
        <v>0</v>
      </c>
    </row>
    <row r="101" spans="1:21" x14ac:dyDescent="0.25">
      <c r="A101" t="s">
        <v>103</v>
      </c>
      <c r="B101" t="s">
        <v>104</v>
      </c>
      <c r="C101">
        <v>2</v>
      </c>
      <c r="D101">
        <v>1</v>
      </c>
      <c r="E101">
        <v>2</v>
      </c>
      <c r="F101">
        <v>101.2496996</v>
      </c>
      <c r="G101">
        <v>268.31170400000002</v>
      </c>
      <c r="H101">
        <v>42.13</v>
      </c>
      <c r="I101">
        <v>4.2130000000000001E-2</v>
      </c>
      <c r="J101">
        <v>4.21E-5</v>
      </c>
      <c r="K101">
        <v>9.2880641E-2</v>
      </c>
      <c r="L101">
        <v>1.2999999999999999E-2</v>
      </c>
      <c r="M101">
        <v>2.8</v>
      </c>
      <c r="N101">
        <v>17.93919271</v>
      </c>
      <c r="O101">
        <v>19.771968274954599</v>
      </c>
      <c r="P101">
        <v>55.320116515163498</v>
      </c>
      <c r="Q101">
        <v>132.949090399336</v>
      </c>
      <c r="R101">
        <v>352.31508955823898</v>
      </c>
      <c r="S101">
        <v>65.400000000000006</v>
      </c>
      <c r="T101">
        <v>0.18</v>
      </c>
      <c r="U101">
        <v>0</v>
      </c>
    </row>
    <row r="102" spans="1:21" x14ac:dyDescent="0.25">
      <c r="A102" s="2" t="s">
        <v>105</v>
      </c>
      <c r="B102" t="s">
        <v>106</v>
      </c>
      <c r="C102">
        <v>2</v>
      </c>
      <c r="D102">
        <v>3</v>
      </c>
      <c r="E102">
        <v>6</v>
      </c>
      <c r="F102">
        <v>1200</v>
      </c>
      <c r="G102">
        <v>3180</v>
      </c>
      <c r="H102">
        <v>499.32</v>
      </c>
      <c r="I102">
        <v>0.49931999999999999</v>
      </c>
      <c r="J102">
        <v>4.9932000000000004E-4</v>
      </c>
      <c r="K102">
        <v>1.10050128</v>
      </c>
      <c r="L102" s="3">
        <v>1.2699999999999999E-2</v>
      </c>
      <c r="M102" s="3">
        <v>3.1</v>
      </c>
      <c r="N102">
        <v>30.347369004339502</v>
      </c>
      <c r="O102" s="2">
        <v>71.705825304169807</v>
      </c>
      <c r="P102" s="2">
        <v>7178.31448404197</v>
      </c>
      <c r="Q102" s="2">
        <v>17251.416688396999</v>
      </c>
      <c r="R102" s="2">
        <v>45716.254224251898</v>
      </c>
      <c r="S102">
        <v>109.97499999999999</v>
      </c>
      <c r="T102">
        <v>0.14749999999999999</v>
      </c>
      <c r="U102">
        <v>-1.1566666666666701</v>
      </c>
    </row>
    <row r="103" spans="1:21" x14ac:dyDescent="0.25">
      <c r="A103" t="s">
        <v>115</v>
      </c>
      <c r="B103" t="s">
        <v>116</v>
      </c>
      <c r="C103">
        <v>2</v>
      </c>
      <c r="D103">
        <v>7</v>
      </c>
      <c r="E103">
        <v>14</v>
      </c>
      <c r="F103">
        <v>9222421.4670000002</v>
      </c>
      <c r="G103">
        <v>24439416.890000001</v>
      </c>
      <c r="H103">
        <v>3837449.5720000002</v>
      </c>
      <c r="I103">
        <v>3837.449572</v>
      </c>
      <c r="J103">
        <v>3.8374495720000001</v>
      </c>
      <c r="K103">
        <v>8460.1180760000007</v>
      </c>
      <c r="L103" s="2">
        <v>1.4999999999999999E-2</v>
      </c>
      <c r="M103">
        <v>3</v>
      </c>
      <c r="N103">
        <v>726.6872836</v>
      </c>
      <c r="O103" s="2">
        <v>263.57295513348203</v>
      </c>
      <c r="P103" s="2">
        <v>274658.97599979601</v>
      </c>
      <c r="Q103" s="2">
        <v>660079.25017975504</v>
      </c>
      <c r="R103" s="2">
        <v>1749210.01297635</v>
      </c>
      <c r="S103">
        <v>271.77999999999997</v>
      </c>
      <c r="T103">
        <v>0.25</v>
      </c>
      <c r="U103">
        <v>0</v>
      </c>
    </row>
    <row r="104" spans="1:21" x14ac:dyDescent="0.25">
      <c r="A104" t="s">
        <v>107</v>
      </c>
      <c r="B104" t="s">
        <v>108</v>
      </c>
      <c r="C104">
        <v>2</v>
      </c>
      <c r="D104">
        <v>5</v>
      </c>
      <c r="E104">
        <v>10</v>
      </c>
      <c r="F104">
        <v>3110.5273029999998</v>
      </c>
      <c r="G104">
        <v>8242.8973540000006</v>
      </c>
      <c r="H104">
        <v>1294.2904109999999</v>
      </c>
      <c r="I104">
        <v>1.294290411</v>
      </c>
      <c r="J104">
        <v>1.29429E-3</v>
      </c>
      <c r="K104">
        <v>2.8534185249999999</v>
      </c>
      <c r="L104">
        <v>3.5999999999999999E-3</v>
      </c>
      <c r="M104">
        <v>3</v>
      </c>
      <c r="N104">
        <v>71.106572349999993</v>
      </c>
      <c r="O104">
        <v>70.222995872705098</v>
      </c>
      <c r="P104">
        <v>1246.63857523617</v>
      </c>
      <c r="Q104">
        <v>2996.0071502912001</v>
      </c>
      <c r="R104">
        <v>7939.4189482716802</v>
      </c>
      <c r="S104">
        <v>150</v>
      </c>
      <c r="T104">
        <v>4.1000000000000002E-2</v>
      </c>
      <c r="U104">
        <v>-5.4</v>
      </c>
    </row>
    <row r="105" spans="1:21" x14ac:dyDescent="0.25">
      <c r="A105" t="s">
        <v>41</v>
      </c>
      <c r="B105" t="s">
        <v>42</v>
      </c>
      <c r="C105">
        <v>2</v>
      </c>
      <c r="D105">
        <v>4</v>
      </c>
      <c r="E105">
        <v>8</v>
      </c>
      <c r="F105">
        <v>1944.8301750000001</v>
      </c>
      <c r="G105">
        <v>5153.7999630000004</v>
      </c>
      <c r="H105">
        <v>809.24383580000006</v>
      </c>
      <c r="I105">
        <v>0.80924383600000005</v>
      </c>
      <c r="J105">
        <v>8.0924399999999998E-4</v>
      </c>
      <c r="K105">
        <v>1.7840751450000001</v>
      </c>
      <c r="L105">
        <v>1.34E-2</v>
      </c>
      <c r="M105">
        <v>3.1</v>
      </c>
      <c r="N105">
        <v>34.853778869999999</v>
      </c>
      <c r="O105">
        <v>58.346808971640797</v>
      </c>
      <c r="P105">
        <v>3997.2180213995698</v>
      </c>
      <c r="Q105">
        <v>9606.3879389559406</v>
      </c>
      <c r="R105">
        <v>25456.9280382332</v>
      </c>
      <c r="S105">
        <v>91.5</v>
      </c>
      <c r="T105">
        <v>0.12690000000000001</v>
      </c>
      <c r="U105">
        <v>0</v>
      </c>
    </row>
    <row r="106" spans="1:21" x14ac:dyDescent="0.25">
      <c r="A106" t="s">
        <v>111</v>
      </c>
      <c r="B106" t="s">
        <v>112</v>
      </c>
      <c r="C106">
        <v>2</v>
      </c>
      <c r="D106">
        <v>2</v>
      </c>
      <c r="E106">
        <v>4</v>
      </c>
      <c r="F106">
        <v>347.4885845</v>
      </c>
      <c r="G106">
        <v>920.84474890000001</v>
      </c>
      <c r="H106">
        <v>144.59</v>
      </c>
      <c r="I106">
        <v>0.14459</v>
      </c>
      <c r="J106">
        <v>1.4459E-4</v>
      </c>
      <c r="K106">
        <v>0.31876600599999999</v>
      </c>
      <c r="L106">
        <v>1.2200000000000001E-2</v>
      </c>
      <c r="M106">
        <v>2.9</v>
      </c>
      <c r="N106">
        <v>25.39517335</v>
      </c>
      <c r="O106">
        <v>65.835108956368501</v>
      </c>
      <c r="P106">
        <v>2290.2703502839599</v>
      </c>
      <c r="Q106">
        <v>5504.1344635519499</v>
      </c>
      <c r="R106">
        <v>14585.9563284127</v>
      </c>
      <c r="S106">
        <v>98.7</v>
      </c>
      <c r="T106">
        <v>0.158</v>
      </c>
      <c r="U106">
        <v>-2.96</v>
      </c>
    </row>
    <row r="107" spans="1:21" x14ac:dyDescent="0.25">
      <c r="A107" t="s">
        <v>113</v>
      </c>
      <c r="B107" t="s">
        <v>114</v>
      </c>
      <c r="C107">
        <v>2</v>
      </c>
      <c r="D107">
        <v>2</v>
      </c>
      <c r="E107">
        <v>4</v>
      </c>
      <c r="F107">
        <v>1129.488104</v>
      </c>
      <c r="G107">
        <v>2993.143474</v>
      </c>
      <c r="H107">
        <v>469.98000009999998</v>
      </c>
      <c r="I107">
        <v>0.46998000000000001</v>
      </c>
      <c r="J107">
        <v>4.6998E-4</v>
      </c>
      <c r="K107">
        <v>1.036127308</v>
      </c>
      <c r="L107">
        <v>1.2E-2</v>
      </c>
      <c r="M107">
        <v>3.05</v>
      </c>
      <c r="N107">
        <v>32.052967240000001</v>
      </c>
      <c r="O107">
        <v>49.550377128905403</v>
      </c>
      <c r="P107">
        <v>1774.4938030754399</v>
      </c>
      <c r="Q107">
        <v>4264.5849629306304</v>
      </c>
      <c r="R107">
        <v>11301.1501517662</v>
      </c>
      <c r="S107">
        <v>85.9</v>
      </c>
      <c r="T107">
        <v>0.215</v>
      </c>
      <c r="U107">
        <v>0</v>
      </c>
    </row>
    <row r="108" spans="1:21" x14ac:dyDescent="0.25">
      <c r="A108" t="s">
        <v>117</v>
      </c>
      <c r="B108" t="s">
        <v>118</v>
      </c>
      <c r="C108">
        <v>2</v>
      </c>
      <c r="D108">
        <v>2</v>
      </c>
      <c r="E108">
        <v>4</v>
      </c>
      <c r="F108">
        <v>347.4885845</v>
      </c>
      <c r="G108">
        <v>920.84474890000001</v>
      </c>
      <c r="H108">
        <v>144.59</v>
      </c>
      <c r="I108">
        <v>0.14459</v>
      </c>
      <c r="J108">
        <v>1.4459E-4</v>
      </c>
      <c r="K108">
        <v>0.31876600599999999</v>
      </c>
      <c r="L108">
        <v>1.4999999999999999E-2</v>
      </c>
      <c r="M108">
        <v>3</v>
      </c>
      <c r="N108">
        <v>21.282158150000001</v>
      </c>
      <c r="O108">
        <v>24.132572630191198</v>
      </c>
      <c r="P108">
        <v>210.81529906747201</v>
      </c>
      <c r="Q108">
        <v>506.64575599007998</v>
      </c>
      <c r="R108">
        <v>1342.61125337371</v>
      </c>
      <c r="S108">
        <v>73.2</v>
      </c>
      <c r="T108">
        <v>0.1</v>
      </c>
      <c r="U108">
        <v>0</v>
      </c>
    </row>
    <row r="109" spans="1:21" x14ac:dyDescent="0.25">
      <c r="A109" t="s">
        <v>123</v>
      </c>
      <c r="B109" t="s">
        <v>124</v>
      </c>
      <c r="C109">
        <v>2</v>
      </c>
      <c r="D109">
        <v>2</v>
      </c>
      <c r="E109">
        <v>4</v>
      </c>
      <c r="F109">
        <v>347.4885845</v>
      </c>
      <c r="G109">
        <v>920.84474890000001</v>
      </c>
      <c r="H109">
        <v>144.59</v>
      </c>
      <c r="I109">
        <v>0.14459</v>
      </c>
      <c r="J109">
        <v>1.4459E-4</v>
      </c>
      <c r="K109">
        <v>0.31876600599999999</v>
      </c>
      <c r="L109">
        <v>9.4999999999999998E-3</v>
      </c>
      <c r="M109">
        <v>3.1</v>
      </c>
      <c r="N109">
        <v>22.344262090000001</v>
      </c>
      <c r="O109">
        <v>43.093605776775398</v>
      </c>
      <c r="P109">
        <v>1107.6521425180999</v>
      </c>
      <c r="Q109">
        <v>2661.9854422448898</v>
      </c>
      <c r="R109">
        <v>7054.2614219489697</v>
      </c>
      <c r="S109">
        <v>111</v>
      </c>
      <c r="T109">
        <v>0.13</v>
      </c>
      <c r="U109">
        <v>0.22</v>
      </c>
    </row>
    <row r="110" spans="1:21" x14ac:dyDescent="0.25">
      <c r="A110" t="s">
        <v>121</v>
      </c>
      <c r="B110" t="s">
        <v>122</v>
      </c>
      <c r="C110">
        <v>2</v>
      </c>
      <c r="D110">
        <v>7</v>
      </c>
      <c r="E110">
        <v>14</v>
      </c>
      <c r="F110">
        <v>9222421.4670000002</v>
      </c>
      <c r="G110">
        <v>24439416.890000001</v>
      </c>
      <c r="H110">
        <v>3837449.5720000002</v>
      </c>
      <c r="I110">
        <v>3837.449572</v>
      </c>
      <c r="J110">
        <v>3.8374495720000001</v>
      </c>
      <c r="K110">
        <v>8460.1180760000007</v>
      </c>
      <c r="L110" s="2">
        <v>1E-3</v>
      </c>
      <c r="M110">
        <v>3</v>
      </c>
      <c r="N110">
        <v>726.6872836</v>
      </c>
      <c r="O110" s="2">
        <v>2536.7708923392402</v>
      </c>
      <c r="P110" s="2">
        <v>16324644.688155601</v>
      </c>
      <c r="Q110" s="2">
        <v>39232503.456274003</v>
      </c>
      <c r="R110" s="2">
        <v>103966134.159126</v>
      </c>
      <c r="S110">
        <v>2615.7600000000002</v>
      </c>
      <c r="T110">
        <v>0.25</v>
      </c>
      <c r="U110">
        <v>0</v>
      </c>
    </row>
    <row r="111" spans="1:21" x14ac:dyDescent="0.25">
      <c r="A111" t="s">
        <v>119</v>
      </c>
      <c r="B111" t="s">
        <v>120</v>
      </c>
      <c r="C111">
        <v>2</v>
      </c>
      <c r="D111">
        <v>3</v>
      </c>
      <c r="E111">
        <v>6</v>
      </c>
      <c r="F111">
        <v>67705.010320000001</v>
      </c>
      <c r="G111">
        <v>179418.27739999999</v>
      </c>
      <c r="H111">
        <v>28172.054789999998</v>
      </c>
      <c r="I111">
        <v>28.172054790000001</v>
      </c>
      <c r="J111">
        <v>2.8172055000000001E-2</v>
      </c>
      <c r="K111">
        <v>62.108675439999999</v>
      </c>
      <c r="L111">
        <v>2.1399999999999999E-2</v>
      </c>
      <c r="M111">
        <v>2.96</v>
      </c>
      <c r="N111">
        <v>116.779462</v>
      </c>
      <c r="O111" s="2">
        <v>103.919288910812</v>
      </c>
      <c r="P111" s="2">
        <v>19945.0176823855</v>
      </c>
      <c r="Q111" s="2">
        <v>47933.231632745599</v>
      </c>
      <c r="R111" s="2">
        <v>127023.06382677599</v>
      </c>
      <c r="S111">
        <v>133.76666666666699</v>
      </c>
      <c r="T111">
        <v>0.3</v>
      </c>
      <c r="U111">
        <v>1</v>
      </c>
    </row>
    <row r="112" spans="1:21" x14ac:dyDescent="0.25">
      <c r="A112" t="s">
        <v>89</v>
      </c>
      <c r="B112" t="s">
        <v>90</v>
      </c>
      <c r="C112">
        <v>2</v>
      </c>
      <c r="D112">
        <v>8</v>
      </c>
      <c r="E112">
        <v>16</v>
      </c>
      <c r="F112">
        <v>12000</v>
      </c>
      <c r="G112">
        <v>32000</v>
      </c>
      <c r="H112">
        <v>4993.2</v>
      </c>
      <c r="I112">
        <v>4.9931999999999999</v>
      </c>
      <c r="J112">
        <v>4.9931999999999997E-3</v>
      </c>
      <c r="K112">
        <v>11.00810858</v>
      </c>
      <c r="L112" s="2">
        <v>0.05</v>
      </c>
      <c r="M112" s="2">
        <v>3.2</v>
      </c>
      <c r="N112">
        <v>107.3627072</v>
      </c>
      <c r="O112">
        <v>108.832472130813</v>
      </c>
      <c r="P112">
        <v>2578.1339538074799</v>
      </c>
      <c r="Q112">
        <v>6195.9479783885499</v>
      </c>
      <c r="R112">
        <v>16419.262142729702</v>
      </c>
      <c r="S112">
        <v>114.3</v>
      </c>
      <c r="T112">
        <v>0.19</v>
      </c>
      <c r="U112">
        <v>0</v>
      </c>
    </row>
    <row r="113" spans="1:21" x14ac:dyDescent="0.25">
      <c r="A113" t="s">
        <v>125</v>
      </c>
      <c r="B113" t="s">
        <v>126</v>
      </c>
      <c r="C113">
        <v>2</v>
      </c>
      <c r="D113">
        <v>1</v>
      </c>
      <c r="E113">
        <v>2</v>
      </c>
      <c r="F113">
        <v>253.3044941</v>
      </c>
      <c r="G113">
        <v>671.25690940000004</v>
      </c>
      <c r="H113">
        <v>105.4</v>
      </c>
      <c r="I113">
        <v>0.10539999999999999</v>
      </c>
      <c r="J113">
        <v>1.054E-4</v>
      </c>
      <c r="K113">
        <v>0.23236694799999999</v>
      </c>
      <c r="L113">
        <v>1.4999999999999999E-2</v>
      </c>
      <c r="M113">
        <v>2.9</v>
      </c>
      <c r="N113">
        <v>21.206319180000001</v>
      </c>
      <c r="O113">
        <v>24.652617581394502</v>
      </c>
      <c r="P113">
        <v>163.11506433652201</v>
      </c>
      <c r="Q113">
        <v>392.00928703802498</v>
      </c>
      <c r="R113">
        <v>1038.82461065077</v>
      </c>
      <c r="S113">
        <v>136</v>
      </c>
      <c r="T113">
        <v>0.1</v>
      </c>
      <c r="U113">
        <v>0</v>
      </c>
    </row>
    <row r="114" spans="1:21" x14ac:dyDescent="0.25">
      <c r="A114" t="s">
        <v>131</v>
      </c>
      <c r="B114" t="s">
        <v>132</v>
      </c>
      <c r="C114">
        <v>2</v>
      </c>
      <c r="D114">
        <v>2</v>
      </c>
      <c r="E114">
        <v>4</v>
      </c>
      <c r="F114">
        <v>1129.488104</v>
      </c>
      <c r="G114">
        <v>2993.143474</v>
      </c>
      <c r="H114">
        <v>469.98000009999998</v>
      </c>
      <c r="I114">
        <v>0.46998000000000001</v>
      </c>
      <c r="J114">
        <v>4.6998E-4</v>
      </c>
      <c r="K114">
        <v>1.036127308</v>
      </c>
      <c r="L114">
        <v>1.4E-2</v>
      </c>
      <c r="M114">
        <v>2.9</v>
      </c>
      <c r="N114">
        <v>36.364102760000002</v>
      </c>
      <c r="O114">
        <v>25.165666339843</v>
      </c>
      <c r="P114">
        <v>161.61158694284299</v>
      </c>
      <c r="Q114">
        <v>388.39602725989698</v>
      </c>
      <c r="R114">
        <v>1029.24947223873</v>
      </c>
      <c r="S114">
        <v>45.7</v>
      </c>
      <c r="T114">
        <v>0.2</v>
      </c>
      <c r="U114">
        <v>0</v>
      </c>
    </row>
    <row r="115" spans="1:21" x14ac:dyDescent="0.25">
      <c r="A115" t="s">
        <v>133</v>
      </c>
      <c r="B115" t="s">
        <v>134</v>
      </c>
      <c r="C115">
        <v>2</v>
      </c>
      <c r="D115">
        <v>3</v>
      </c>
      <c r="E115">
        <v>6</v>
      </c>
      <c r="F115">
        <v>1200</v>
      </c>
      <c r="G115">
        <v>3180</v>
      </c>
      <c r="H115">
        <v>499.32</v>
      </c>
      <c r="I115">
        <v>0.49931999999999999</v>
      </c>
      <c r="J115">
        <v>4.9932000000000004E-4</v>
      </c>
      <c r="K115">
        <v>1.100810858</v>
      </c>
      <c r="L115">
        <v>1.2699999999999999E-2</v>
      </c>
      <c r="M115">
        <v>3.1</v>
      </c>
      <c r="N115">
        <v>30.347369</v>
      </c>
      <c r="O115">
        <v>51.435473485281001</v>
      </c>
      <c r="P115">
        <v>2562.8206892267699</v>
      </c>
      <c r="Q115">
        <v>6159.1460928305096</v>
      </c>
      <c r="R115">
        <v>16321.7371460008</v>
      </c>
      <c r="S115">
        <v>114</v>
      </c>
      <c r="T115">
        <v>0.1</v>
      </c>
      <c r="U115">
        <v>0</v>
      </c>
    </row>
    <row r="116" spans="1:21" x14ac:dyDescent="0.25">
      <c r="A116" t="s">
        <v>127</v>
      </c>
      <c r="B116" t="s">
        <v>128</v>
      </c>
      <c r="C116">
        <v>2</v>
      </c>
      <c r="D116">
        <v>2</v>
      </c>
      <c r="E116">
        <v>4</v>
      </c>
      <c r="F116">
        <v>1129.488104</v>
      </c>
      <c r="G116">
        <v>2993.143474</v>
      </c>
      <c r="H116">
        <v>469.98000009999998</v>
      </c>
      <c r="I116">
        <v>0.46998000000000001</v>
      </c>
      <c r="J116">
        <v>4.6998E-4</v>
      </c>
      <c r="K116">
        <v>1.036127308</v>
      </c>
      <c r="L116">
        <v>1.4E-2</v>
      </c>
      <c r="M116">
        <v>3</v>
      </c>
      <c r="N116">
        <v>32.258966319999999</v>
      </c>
      <c r="O116">
        <v>44.4771458832234</v>
      </c>
      <c r="P116">
        <v>1231.7959377121299</v>
      </c>
      <c r="Q116">
        <v>2960.3363078878301</v>
      </c>
      <c r="R116">
        <v>7844.8912159027605</v>
      </c>
      <c r="S116">
        <v>62.2</v>
      </c>
      <c r="T116">
        <v>0.31</v>
      </c>
      <c r="U116">
        <v>-0.05</v>
      </c>
    </row>
    <row r="117" spans="1:21" x14ac:dyDescent="0.25">
      <c r="A117" t="s">
        <v>135</v>
      </c>
      <c r="B117" t="s">
        <v>136</v>
      </c>
      <c r="C117">
        <v>2</v>
      </c>
      <c r="D117">
        <v>2</v>
      </c>
      <c r="E117">
        <v>4</v>
      </c>
      <c r="F117">
        <v>1129.488104</v>
      </c>
      <c r="G117">
        <v>2993.143474</v>
      </c>
      <c r="H117">
        <v>469.98000009999998</v>
      </c>
      <c r="I117">
        <v>0.46998000000000001</v>
      </c>
      <c r="J117">
        <v>4.6998E-4</v>
      </c>
      <c r="K117">
        <v>1.036127308</v>
      </c>
      <c r="L117">
        <v>1.2E-2</v>
      </c>
      <c r="M117">
        <v>3</v>
      </c>
      <c r="N117">
        <v>33.959871919999998</v>
      </c>
      <c r="O117">
        <v>19.7830948957881</v>
      </c>
      <c r="P117">
        <v>92.910318473838302</v>
      </c>
      <c r="Q117">
        <v>223.28843661100299</v>
      </c>
      <c r="R117">
        <v>591.71435701915698</v>
      </c>
      <c r="S117">
        <v>60.5</v>
      </c>
      <c r="T117">
        <v>9.9000000000000005E-2</v>
      </c>
      <c r="U117">
        <v>0</v>
      </c>
    </row>
    <row r="118" spans="1:21" x14ac:dyDescent="0.25">
      <c r="A118" t="s">
        <v>129</v>
      </c>
      <c r="B118" t="s">
        <v>130</v>
      </c>
      <c r="C118">
        <v>2</v>
      </c>
      <c r="D118">
        <v>2</v>
      </c>
      <c r="E118">
        <v>4</v>
      </c>
      <c r="F118">
        <v>347.4885845</v>
      </c>
      <c r="G118">
        <v>920.84474890000001</v>
      </c>
      <c r="H118">
        <v>144.59</v>
      </c>
      <c r="I118">
        <v>0.14459</v>
      </c>
      <c r="J118">
        <v>1.4459E-4</v>
      </c>
      <c r="K118">
        <v>0.31876600599999999</v>
      </c>
      <c r="L118">
        <v>1.2500000000000001E-2</v>
      </c>
      <c r="M118">
        <v>2.88</v>
      </c>
      <c r="N118">
        <v>25.753908039999999</v>
      </c>
      <c r="O118">
        <v>24.967290639377001</v>
      </c>
      <c r="P118">
        <v>132.232952044819</v>
      </c>
      <c r="Q118">
        <v>317.79128104979299</v>
      </c>
      <c r="R118">
        <v>842.14689478195305</v>
      </c>
      <c r="S118">
        <v>158</v>
      </c>
      <c r="T118">
        <v>4.2999999999999997E-2</v>
      </c>
      <c r="U118">
        <v>0</v>
      </c>
    </row>
    <row r="119" spans="1:21" x14ac:dyDescent="0.25">
      <c r="A119" t="s">
        <v>137</v>
      </c>
      <c r="B119" t="s">
        <v>138</v>
      </c>
      <c r="C119">
        <v>2</v>
      </c>
      <c r="D119">
        <v>1</v>
      </c>
      <c r="E119">
        <v>2</v>
      </c>
      <c r="F119">
        <v>236.0009613</v>
      </c>
      <c r="G119">
        <v>625.40254749999997</v>
      </c>
      <c r="H119">
        <v>98.2</v>
      </c>
      <c r="I119">
        <v>9.8199999999999996E-2</v>
      </c>
      <c r="J119">
        <v>9.8200000000000002E-5</v>
      </c>
      <c r="K119">
        <v>0.21649368399999999</v>
      </c>
      <c r="L119">
        <v>1.2500000000000001E-2</v>
      </c>
      <c r="M119">
        <v>2.82</v>
      </c>
      <c r="N119">
        <v>24.058974880000001</v>
      </c>
      <c r="O119">
        <v>24.414571110672899</v>
      </c>
      <c r="P119">
        <v>102.348262303053</v>
      </c>
      <c r="Q119">
        <v>245.970349202243</v>
      </c>
      <c r="R119">
        <v>651.82142538594405</v>
      </c>
      <c r="S119">
        <v>50</v>
      </c>
      <c r="T119">
        <v>0.33500000000000002</v>
      </c>
      <c r="U119">
        <v>0</v>
      </c>
    </row>
    <row r="120" spans="1:21" x14ac:dyDescent="0.25">
      <c r="A120" t="s">
        <v>21</v>
      </c>
      <c r="B120" t="s">
        <v>22</v>
      </c>
      <c r="C120">
        <v>3</v>
      </c>
      <c r="D120">
        <v>1</v>
      </c>
      <c r="E120">
        <v>3</v>
      </c>
      <c r="F120">
        <v>123.02331169999999</v>
      </c>
      <c r="G120">
        <v>326.011776</v>
      </c>
      <c r="H120">
        <v>51.19</v>
      </c>
      <c r="I120">
        <v>5.1189999999999999E-2</v>
      </c>
      <c r="J120">
        <v>5.1199999999999998E-5</v>
      </c>
      <c r="K120">
        <v>0.112854498</v>
      </c>
      <c r="L120">
        <v>1.6E-2</v>
      </c>
      <c r="M120">
        <v>3</v>
      </c>
      <c r="N120">
        <v>14.735166550000001</v>
      </c>
      <c r="O120">
        <v>8.2529370351460702</v>
      </c>
      <c r="P120">
        <v>8.9938487101930598</v>
      </c>
      <c r="Q120">
        <v>21.614632805078202</v>
      </c>
      <c r="R120">
        <v>57.278776933457301</v>
      </c>
      <c r="S120">
        <v>13.8</v>
      </c>
      <c r="T120">
        <v>0.21</v>
      </c>
      <c r="U120">
        <v>-1.34</v>
      </c>
    </row>
    <row r="121" spans="1:21" x14ac:dyDescent="0.25">
      <c r="A121" t="s">
        <v>95</v>
      </c>
      <c r="B121" s="2" t="s">
        <v>96</v>
      </c>
      <c r="C121">
        <v>3</v>
      </c>
      <c r="D121">
        <v>2</v>
      </c>
      <c r="E121">
        <v>6</v>
      </c>
      <c r="F121">
        <v>732.42009129999997</v>
      </c>
      <c r="G121">
        <v>1940.9132420000001</v>
      </c>
      <c r="H121">
        <v>304.76</v>
      </c>
      <c r="I121">
        <v>0.30475999999999998</v>
      </c>
      <c r="J121">
        <v>3.0476E-4</v>
      </c>
      <c r="K121">
        <v>0.67187999099999995</v>
      </c>
      <c r="L121">
        <v>0.01</v>
      </c>
      <c r="M121">
        <v>3</v>
      </c>
      <c r="N121">
        <v>28.262336659999999</v>
      </c>
      <c r="O121">
        <v>95.037587179940502</v>
      </c>
      <c r="P121">
        <v>11588.306520557901</v>
      </c>
      <c r="Q121">
        <v>27849.811392833199</v>
      </c>
      <c r="R121">
        <v>73802.000191007901</v>
      </c>
      <c r="S121">
        <v>136</v>
      </c>
      <c r="T121">
        <v>0.2</v>
      </c>
      <c r="U121">
        <v>0</v>
      </c>
    </row>
    <row r="122" spans="1:21" x14ac:dyDescent="0.25">
      <c r="A122" t="s">
        <v>101</v>
      </c>
      <c r="B122" t="s">
        <v>102</v>
      </c>
      <c r="C122">
        <v>3</v>
      </c>
      <c r="D122">
        <v>2</v>
      </c>
      <c r="E122">
        <v>6</v>
      </c>
      <c r="F122">
        <v>732.42009129999997</v>
      </c>
      <c r="G122">
        <v>1940.9132420000001</v>
      </c>
      <c r="H122">
        <v>304.76</v>
      </c>
      <c r="I122">
        <v>0.30475999999999998</v>
      </c>
      <c r="J122">
        <v>3.0476E-4</v>
      </c>
      <c r="K122">
        <v>0.67187999099999995</v>
      </c>
      <c r="L122">
        <v>1.2E-2</v>
      </c>
      <c r="M122">
        <v>3.1</v>
      </c>
      <c r="N122">
        <v>26.35698417</v>
      </c>
      <c r="O122" s="2">
        <v>54.686210356893497</v>
      </c>
      <c r="P122" s="2">
        <v>2928.2119927871399</v>
      </c>
      <c r="Q122" s="2">
        <v>7037.2794827857397</v>
      </c>
      <c r="R122" s="2">
        <v>18648.790629382202</v>
      </c>
      <c r="S122">
        <v>150.03333333333299</v>
      </c>
      <c r="T122">
        <v>0.11333333333333299</v>
      </c>
      <c r="U122">
        <v>2</v>
      </c>
    </row>
    <row r="123" spans="1:21" x14ac:dyDescent="0.25">
      <c r="A123" t="s">
        <v>37</v>
      </c>
      <c r="B123" t="s">
        <v>38</v>
      </c>
      <c r="C123">
        <v>3</v>
      </c>
      <c r="D123">
        <v>9</v>
      </c>
      <c r="E123">
        <v>27</v>
      </c>
      <c r="F123">
        <v>1772157205</v>
      </c>
      <c r="G123">
        <v>4696216593</v>
      </c>
      <c r="H123">
        <v>737394613</v>
      </c>
      <c r="I123">
        <v>737394.61300000001</v>
      </c>
      <c r="J123">
        <v>737.39461300000005</v>
      </c>
      <c r="K123">
        <v>1625674.912</v>
      </c>
      <c r="L123" s="2">
        <v>6.0000000000000001E-3</v>
      </c>
      <c r="M123">
        <v>3</v>
      </c>
      <c r="N123">
        <v>1544.863059</v>
      </c>
      <c r="O123" s="2">
        <v>2097.35722336443</v>
      </c>
      <c r="P123" s="2">
        <v>55356480.285264499</v>
      </c>
      <c r="Q123" s="2">
        <v>133036482.30056401</v>
      </c>
      <c r="R123" s="2">
        <v>352546678.09649402</v>
      </c>
      <c r="S123" s="2">
        <v>2097.36</v>
      </c>
      <c r="T123" s="2">
        <v>0.5</v>
      </c>
      <c r="U123" s="2">
        <v>0</v>
      </c>
    </row>
    <row r="124" spans="1:21" x14ac:dyDescent="0.25">
      <c r="A124" s="2" t="s">
        <v>31</v>
      </c>
      <c r="B124" t="s">
        <v>32</v>
      </c>
      <c r="C124">
        <v>3</v>
      </c>
      <c r="D124">
        <v>1</v>
      </c>
      <c r="E124">
        <v>3</v>
      </c>
      <c r="F124">
        <v>123.02331169999999</v>
      </c>
      <c r="G124">
        <v>326.011776</v>
      </c>
      <c r="H124">
        <v>51.189999998369998</v>
      </c>
      <c r="I124">
        <v>5.1189999998369998E-2</v>
      </c>
      <c r="J124">
        <v>5.118999999837E-5</v>
      </c>
      <c r="K124">
        <v>0.11285449779640599</v>
      </c>
      <c r="L124" s="3">
        <v>1.1599999999999999E-2</v>
      </c>
      <c r="M124" s="3">
        <v>3</v>
      </c>
      <c r="N124">
        <v>16.402462244751302</v>
      </c>
      <c r="O124" s="2">
        <v>27.361751747397399</v>
      </c>
      <c r="P124" s="2">
        <v>237.62366170011001</v>
      </c>
      <c r="Q124" s="2">
        <v>571.07344796950395</v>
      </c>
      <c r="R124" s="2">
        <v>1513.3446371191801</v>
      </c>
      <c r="S124" s="2">
        <v>29.1726666666667</v>
      </c>
      <c r="T124" s="2">
        <v>0.92646666666666699</v>
      </c>
      <c r="U124" s="2">
        <v>0</v>
      </c>
    </row>
    <row r="125" spans="1:21" x14ac:dyDescent="0.25">
      <c r="A125" t="s">
        <v>25</v>
      </c>
      <c r="B125" t="s">
        <v>26</v>
      </c>
      <c r="C125">
        <v>3</v>
      </c>
      <c r="D125">
        <v>3</v>
      </c>
      <c r="E125">
        <v>9</v>
      </c>
      <c r="F125">
        <v>124433.10189999999</v>
      </c>
      <c r="G125">
        <v>329747.71999999997</v>
      </c>
      <c r="H125">
        <v>51776.613700000002</v>
      </c>
      <c r="I125">
        <v>51.776613699999999</v>
      </c>
      <c r="J125">
        <v>5.1776613999999999E-2</v>
      </c>
      <c r="K125">
        <v>114.1477581</v>
      </c>
      <c r="L125">
        <v>2.1399999999999999E-2</v>
      </c>
      <c r="M125">
        <v>2.96</v>
      </c>
      <c r="N125">
        <v>143.43730550000001</v>
      </c>
      <c r="O125">
        <v>171.54177454160001</v>
      </c>
      <c r="P125">
        <v>87932.348526784801</v>
      </c>
      <c r="Q125">
        <v>211325.03851666601</v>
      </c>
      <c r="R125">
        <v>560011.35206916498</v>
      </c>
      <c r="S125">
        <v>358.7</v>
      </c>
      <c r="T125">
        <v>9.1999999999999998E-2</v>
      </c>
      <c r="U125">
        <v>-1.929</v>
      </c>
    </row>
    <row r="126" spans="1:21" x14ac:dyDescent="0.25">
      <c r="A126" t="s">
        <v>33</v>
      </c>
      <c r="B126" t="s">
        <v>34</v>
      </c>
      <c r="C126">
        <v>3</v>
      </c>
      <c r="D126">
        <v>2</v>
      </c>
      <c r="E126">
        <v>6</v>
      </c>
      <c r="F126">
        <v>732.42009129999997</v>
      </c>
      <c r="G126">
        <v>1940.9132420000001</v>
      </c>
      <c r="H126">
        <v>304.76</v>
      </c>
      <c r="I126">
        <v>0.30475999999999998</v>
      </c>
      <c r="J126">
        <v>3.0476E-4</v>
      </c>
      <c r="K126">
        <v>0.67187999099999995</v>
      </c>
      <c r="L126">
        <v>1.4999999999999999E-2</v>
      </c>
      <c r="M126">
        <v>3</v>
      </c>
      <c r="N126">
        <v>27.286986030000001</v>
      </c>
      <c r="O126">
        <v>42.432625990304899</v>
      </c>
      <c r="P126">
        <v>1146.0168080164101</v>
      </c>
      <c r="Q126">
        <v>2754.1860322432399</v>
      </c>
      <c r="R126">
        <v>7298.5929854445803</v>
      </c>
      <c r="S126" s="4">
        <v>58.9</v>
      </c>
      <c r="T126" s="4">
        <v>0.22</v>
      </c>
      <c r="U126" s="4">
        <v>0.20699999999999999</v>
      </c>
    </row>
    <row r="127" spans="1:21" x14ac:dyDescent="0.25">
      <c r="A127" t="s">
        <v>29</v>
      </c>
      <c r="B127" t="s">
        <v>30</v>
      </c>
      <c r="C127">
        <v>3</v>
      </c>
      <c r="D127">
        <v>7</v>
      </c>
      <c r="E127" s="2">
        <v>21</v>
      </c>
      <c r="F127">
        <v>20847.385399999999</v>
      </c>
      <c r="G127">
        <v>55245.121400000004</v>
      </c>
      <c r="H127">
        <v>8674.5970649999999</v>
      </c>
      <c r="I127">
        <v>8.6745970650000004</v>
      </c>
      <c r="J127">
        <v>8.6745969999999992E-3</v>
      </c>
      <c r="K127">
        <v>19.124190179999999</v>
      </c>
      <c r="L127">
        <v>3.2499999999999999E-3</v>
      </c>
      <c r="M127">
        <v>3</v>
      </c>
      <c r="N127">
        <v>138.7145391</v>
      </c>
      <c r="O127">
        <v>276.952429335852</v>
      </c>
      <c r="P127">
        <v>69039.700378839203</v>
      </c>
      <c r="Q127">
        <v>165920.93337860901</v>
      </c>
      <c r="R127">
        <v>439690.47345331399</v>
      </c>
      <c r="S127">
        <v>282</v>
      </c>
      <c r="T127">
        <v>0.18</v>
      </c>
      <c r="U127">
        <v>-1.35</v>
      </c>
    </row>
    <row r="128" spans="1:21" x14ac:dyDescent="0.25">
      <c r="A128" t="s">
        <v>23</v>
      </c>
      <c r="B128" t="s">
        <v>24</v>
      </c>
      <c r="C128">
        <v>3</v>
      </c>
      <c r="D128">
        <v>3</v>
      </c>
      <c r="E128">
        <v>9</v>
      </c>
      <c r="F128">
        <v>124433.10189999999</v>
      </c>
      <c r="G128">
        <v>329747.71999999997</v>
      </c>
      <c r="H128">
        <v>51776.613700000002</v>
      </c>
      <c r="I128">
        <v>51.776613699999999</v>
      </c>
      <c r="J128">
        <v>5.1776613999999999E-2</v>
      </c>
      <c r="K128">
        <v>114.1477581</v>
      </c>
      <c r="L128">
        <v>2.5999999999999999E-2</v>
      </c>
      <c r="M128">
        <v>3</v>
      </c>
      <c r="N128">
        <v>181.035417</v>
      </c>
      <c r="O128">
        <v>158.59251450754499</v>
      </c>
      <c r="P128">
        <v>35790.028072359702</v>
      </c>
      <c r="Q128">
        <v>86013.045115019704</v>
      </c>
      <c r="R128">
        <v>227934.569554802</v>
      </c>
      <c r="S128">
        <v>314.89999999999998</v>
      </c>
      <c r="T128">
        <v>8.8999999999999996E-2</v>
      </c>
      <c r="U128">
        <v>-1.1299999999999999</v>
      </c>
    </row>
    <row r="129" spans="1:21" x14ac:dyDescent="0.25">
      <c r="A129" t="s">
        <v>27</v>
      </c>
      <c r="B129" t="s">
        <v>28</v>
      </c>
      <c r="C129">
        <v>3</v>
      </c>
      <c r="D129">
        <v>1</v>
      </c>
      <c r="E129">
        <v>3</v>
      </c>
      <c r="F129">
        <v>3106.2244649999998</v>
      </c>
      <c r="G129">
        <v>8231.4948330000007</v>
      </c>
      <c r="H129">
        <v>1292.5</v>
      </c>
      <c r="I129">
        <v>1.2925</v>
      </c>
      <c r="J129">
        <v>1.2925E-3</v>
      </c>
      <c r="K129">
        <v>2.84947135</v>
      </c>
      <c r="L129">
        <v>1.0999999999999999E-2</v>
      </c>
      <c r="M129">
        <v>2.9</v>
      </c>
      <c r="N129">
        <v>56.013011069999997</v>
      </c>
      <c r="O129">
        <v>52.218760279428999</v>
      </c>
      <c r="P129">
        <v>1054.6046955131501</v>
      </c>
      <c r="Q129">
        <v>2534.4981867655702</v>
      </c>
      <c r="R129">
        <v>6716.4201949287599</v>
      </c>
      <c r="S129">
        <v>81.53</v>
      </c>
      <c r="T129">
        <v>0.31</v>
      </c>
      <c r="U129">
        <v>-0.3</v>
      </c>
    </row>
    <row r="130" spans="1:21" x14ac:dyDescent="0.25">
      <c r="A130" t="s">
        <v>35</v>
      </c>
      <c r="B130" t="s">
        <v>36</v>
      </c>
      <c r="C130">
        <v>3</v>
      </c>
      <c r="D130">
        <v>1</v>
      </c>
      <c r="E130">
        <v>3</v>
      </c>
      <c r="F130">
        <v>123.02331169999999</v>
      </c>
      <c r="G130">
        <v>326.011776</v>
      </c>
      <c r="H130">
        <v>51.19</v>
      </c>
      <c r="I130">
        <v>5.1189999999999999E-2</v>
      </c>
      <c r="J130">
        <v>5.1199999999999998E-5</v>
      </c>
      <c r="K130">
        <v>0.112854498</v>
      </c>
      <c r="L130">
        <v>2.1000000000000001E-2</v>
      </c>
      <c r="M130">
        <v>3</v>
      </c>
      <c r="N130">
        <v>13.458250619999999</v>
      </c>
      <c r="O130">
        <v>19.520157105761101</v>
      </c>
      <c r="P130">
        <v>156.195752908825</v>
      </c>
      <c r="Q130">
        <v>375.380324222122</v>
      </c>
      <c r="R130">
        <v>994.757859188623</v>
      </c>
      <c r="S130" s="4">
        <v>21.02</v>
      </c>
      <c r="T130" s="4">
        <v>0.86</v>
      </c>
      <c r="U130" s="4">
        <v>-6.9989999999999997E-2</v>
      </c>
    </row>
    <row r="131" spans="1:21" x14ac:dyDescent="0.25">
      <c r="A131" t="s">
        <v>39</v>
      </c>
      <c r="B131" t="s">
        <v>40</v>
      </c>
      <c r="C131">
        <v>3</v>
      </c>
      <c r="D131">
        <v>2</v>
      </c>
      <c r="E131">
        <v>6</v>
      </c>
      <c r="F131">
        <v>7922.1341039999998</v>
      </c>
      <c r="G131">
        <v>20993.65538</v>
      </c>
      <c r="H131">
        <v>3296.400001</v>
      </c>
      <c r="I131">
        <v>3.2964000009999999</v>
      </c>
      <c r="J131">
        <v>3.2964000000000001E-3</v>
      </c>
      <c r="K131">
        <v>7.2673093690000004</v>
      </c>
      <c r="L131">
        <v>1.2E-2</v>
      </c>
      <c r="M131">
        <v>3</v>
      </c>
      <c r="N131">
        <v>65.005916630000002</v>
      </c>
      <c r="O131">
        <v>71.798094245721302</v>
      </c>
      <c r="P131">
        <v>4441.4011070428996</v>
      </c>
      <c r="Q131">
        <v>10673.8791325232</v>
      </c>
      <c r="R131">
        <v>28285.7797011865</v>
      </c>
      <c r="S131">
        <v>150.93</v>
      </c>
      <c r="T131">
        <v>0.11</v>
      </c>
      <c r="U131">
        <v>0.13</v>
      </c>
    </row>
    <row r="132" spans="1:21" x14ac:dyDescent="0.25">
      <c r="A132" t="s">
        <v>45</v>
      </c>
      <c r="B132" t="s">
        <v>46</v>
      </c>
      <c r="C132">
        <v>3</v>
      </c>
      <c r="D132">
        <v>5</v>
      </c>
      <c r="E132">
        <v>15</v>
      </c>
      <c r="F132">
        <v>5086.8830930000004</v>
      </c>
      <c r="G132">
        <v>13480.2402</v>
      </c>
      <c r="H132">
        <v>2116.652055</v>
      </c>
      <c r="I132">
        <v>2.1166520549999999</v>
      </c>
      <c r="J132">
        <v>2.1166520000000001E-3</v>
      </c>
      <c r="K132">
        <v>4.6664134529999997</v>
      </c>
      <c r="L132">
        <v>3.96E-3</v>
      </c>
      <c r="M132">
        <v>3.2</v>
      </c>
      <c r="N132">
        <v>61.657472030000001</v>
      </c>
      <c r="O132" s="2">
        <v>287.52851223592398</v>
      </c>
      <c r="P132" s="2">
        <v>292061.37189564598</v>
      </c>
      <c r="Q132" s="2">
        <v>701901.87910513405</v>
      </c>
      <c r="R132" s="2">
        <v>1860039.9796285999</v>
      </c>
      <c r="S132" s="2">
        <v>300.78571428571399</v>
      </c>
      <c r="T132" s="2">
        <v>0.24014285714285699</v>
      </c>
      <c r="U132" s="2">
        <v>2</v>
      </c>
    </row>
    <row r="133" spans="1:21" x14ac:dyDescent="0.25">
      <c r="A133" t="s">
        <v>43</v>
      </c>
      <c r="B133" t="s">
        <v>44</v>
      </c>
      <c r="C133">
        <v>3</v>
      </c>
      <c r="D133">
        <v>2</v>
      </c>
      <c r="E133">
        <v>6</v>
      </c>
      <c r="F133">
        <v>732.42009129999997</v>
      </c>
      <c r="G133">
        <v>1940.9132420000001</v>
      </c>
      <c r="H133">
        <v>304.76</v>
      </c>
      <c r="I133">
        <v>0.30475999999999998</v>
      </c>
      <c r="J133">
        <v>3.0476E-4</v>
      </c>
      <c r="K133">
        <v>0.67187999099999995</v>
      </c>
      <c r="L133">
        <v>1.44E-2</v>
      </c>
      <c r="M133">
        <v>3</v>
      </c>
      <c r="N133">
        <v>27.66082682</v>
      </c>
      <c r="O133" s="2">
        <v>44.3934646593301</v>
      </c>
      <c r="P133" s="2">
        <v>1259.85224392177</v>
      </c>
      <c r="Q133" s="2">
        <v>3027.7631432871199</v>
      </c>
      <c r="R133" s="2">
        <v>8023.5723297108698</v>
      </c>
      <c r="S133" s="2">
        <v>47.633333333333297</v>
      </c>
      <c r="T133" s="2">
        <v>0.44800000000000001</v>
      </c>
      <c r="U133" s="2">
        <v>0</v>
      </c>
    </row>
    <row r="134" spans="1:21" x14ac:dyDescent="0.25">
      <c r="A134" t="s">
        <v>53</v>
      </c>
      <c r="B134" t="s">
        <v>54</v>
      </c>
      <c r="C134">
        <v>3</v>
      </c>
      <c r="D134">
        <v>2</v>
      </c>
      <c r="E134">
        <v>6</v>
      </c>
      <c r="F134">
        <v>1548.9065129999999</v>
      </c>
      <c r="G134">
        <v>4104.6022599999997</v>
      </c>
      <c r="H134">
        <v>644.50000009999997</v>
      </c>
      <c r="I134">
        <v>0.64449999999999996</v>
      </c>
      <c r="J134">
        <v>6.445E-4</v>
      </c>
      <c r="K134">
        <v>1.4208775899999999</v>
      </c>
      <c r="L134">
        <v>1.2E-2</v>
      </c>
      <c r="M134">
        <v>2.95</v>
      </c>
      <c r="N134">
        <v>40.123975620000003</v>
      </c>
      <c r="O134">
        <v>26.2156074529038</v>
      </c>
      <c r="P134">
        <v>183.62551462282201</v>
      </c>
      <c r="Q134">
        <v>441.30140500558002</v>
      </c>
      <c r="R134">
        <v>1169.44872326479</v>
      </c>
      <c r="S134">
        <v>41</v>
      </c>
      <c r="T134">
        <v>0.17</v>
      </c>
      <c r="U134">
        <v>0</v>
      </c>
    </row>
    <row r="135" spans="1:21" x14ac:dyDescent="0.25">
      <c r="A135" t="s">
        <v>57</v>
      </c>
      <c r="B135" t="s">
        <v>58</v>
      </c>
      <c r="C135">
        <v>3</v>
      </c>
      <c r="D135">
        <v>2</v>
      </c>
      <c r="E135">
        <v>6</v>
      </c>
      <c r="F135">
        <v>3981.7351600000002</v>
      </c>
      <c r="G135">
        <v>10551.598169999999</v>
      </c>
      <c r="H135">
        <v>1656.8</v>
      </c>
      <c r="I135">
        <v>1.6568000000000001</v>
      </c>
      <c r="J135">
        <v>1.6567999999999999E-3</v>
      </c>
      <c r="K135">
        <v>3.652614416</v>
      </c>
      <c r="L135">
        <v>4.0000000000000001E-3</v>
      </c>
      <c r="M135">
        <v>3.1</v>
      </c>
      <c r="N135">
        <v>51.975182889999999</v>
      </c>
      <c r="O135">
        <v>66.286661205201796</v>
      </c>
      <c r="P135">
        <v>3436.8489166374002</v>
      </c>
      <c r="Q135">
        <v>8259.6705518803192</v>
      </c>
      <c r="R135">
        <v>21888.126962482798</v>
      </c>
      <c r="S135">
        <v>72.900000000000006</v>
      </c>
      <c r="T135">
        <v>0.4</v>
      </c>
      <c r="U135">
        <v>0</v>
      </c>
    </row>
    <row r="136" spans="1:21" x14ac:dyDescent="0.25">
      <c r="A136" t="s">
        <v>59</v>
      </c>
      <c r="B136" t="s">
        <v>60</v>
      </c>
      <c r="C136">
        <v>3</v>
      </c>
      <c r="D136">
        <v>2</v>
      </c>
      <c r="E136">
        <v>6</v>
      </c>
      <c r="F136">
        <v>1548.9065129999999</v>
      </c>
      <c r="G136">
        <v>4104.6022599999997</v>
      </c>
      <c r="H136">
        <v>644.50000009999997</v>
      </c>
      <c r="I136">
        <v>0.64449999999999996</v>
      </c>
      <c r="J136">
        <v>6.445E-4</v>
      </c>
      <c r="K136">
        <v>1.4208775899999999</v>
      </c>
      <c r="L136">
        <v>1.6799999999999999E-2</v>
      </c>
      <c r="M136">
        <v>3.1</v>
      </c>
      <c r="N136">
        <v>30.1079939</v>
      </c>
      <c r="O136">
        <v>86.965728243192004</v>
      </c>
      <c r="P136">
        <v>17269.847782593501</v>
      </c>
      <c r="Q136">
        <v>41504.080227333601</v>
      </c>
      <c r="R136">
        <v>109985.812602434</v>
      </c>
      <c r="S136">
        <v>263.2</v>
      </c>
      <c r="T136">
        <v>7.0000000000000007E-2</v>
      </c>
      <c r="U136">
        <v>0.27</v>
      </c>
    </row>
    <row r="137" spans="1:21" x14ac:dyDescent="0.25">
      <c r="A137" t="s">
        <v>61</v>
      </c>
      <c r="B137" t="s">
        <v>62</v>
      </c>
      <c r="C137">
        <v>3</v>
      </c>
      <c r="D137">
        <v>1</v>
      </c>
      <c r="E137">
        <v>3</v>
      </c>
      <c r="F137">
        <v>91.492429720000004</v>
      </c>
      <c r="G137">
        <v>242.45493880000001</v>
      </c>
      <c r="H137">
        <v>38.070000010000001</v>
      </c>
      <c r="I137">
        <v>3.807E-2</v>
      </c>
      <c r="J137">
        <v>3.8099999999999998E-5</v>
      </c>
      <c r="K137">
        <v>8.3929882999999997E-2</v>
      </c>
      <c r="L137">
        <v>1.2500000000000001E-2</v>
      </c>
      <c r="M137">
        <v>3</v>
      </c>
      <c r="N137">
        <v>14.495202539999999</v>
      </c>
      <c r="O137">
        <v>18.313387127694298</v>
      </c>
      <c r="P137">
        <v>76.774331086170307</v>
      </c>
      <c r="Q137">
        <v>184.50932729192601</v>
      </c>
      <c r="R137">
        <v>488.94971732360301</v>
      </c>
      <c r="S137">
        <v>33.700000000000003</v>
      </c>
      <c r="T137">
        <v>0.32</v>
      </c>
      <c r="U137">
        <v>0.55000000000000004</v>
      </c>
    </row>
    <row r="138" spans="1:21" x14ac:dyDescent="0.25">
      <c r="A138" t="s">
        <v>63</v>
      </c>
      <c r="B138" t="s">
        <v>64</v>
      </c>
      <c r="C138">
        <v>3</v>
      </c>
      <c r="D138">
        <v>2</v>
      </c>
      <c r="E138">
        <v>6</v>
      </c>
      <c r="F138">
        <v>732.42009129999997</v>
      </c>
      <c r="G138">
        <v>1940.9132420000001</v>
      </c>
      <c r="H138">
        <v>304.76</v>
      </c>
      <c r="I138">
        <v>0.30475999999999998</v>
      </c>
      <c r="J138">
        <v>3.0476E-4</v>
      </c>
      <c r="K138">
        <v>0.67187999099999995</v>
      </c>
      <c r="L138">
        <v>1.2E-2</v>
      </c>
      <c r="M138">
        <v>3.1</v>
      </c>
      <c r="N138">
        <v>26.35698417</v>
      </c>
      <c r="O138">
        <v>40.025584823118002</v>
      </c>
      <c r="P138">
        <v>1112.8280739437701</v>
      </c>
      <c r="Q138">
        <v>2674.42459491413</v>
      </c>
      <c r="R138">
        <v>7087.2251765224501</v>
      </c>
      <c r="S138">
        <v>42.5</v>
      </c>
      <c r="T138">
        <v>0.47</v>
      </c>
      <c r="U138">
        <v>0.05</v>
      </c>
    </row>
    <row r="139" spans="1:21" x14ac:dyDescent="0.25">
      <c r="A139" t="s">
        <v>65</v>
      </c>
      <c r="B139" t="s">
        <v>66</v>
      </c>
      <c r="C139">
        <v>3</v>
      </c>
      <c r="D139">
        <v>3</v>
      </c>
      <c r="E139">
        <v>9</v>
      </c>
      <c r="F139">
        <v>1800</v>
      </c>
      <c r="G139">
        <v>4770</v>
      </c>
      <c r="H139">
        <v>748.98</v>
      </c>
      <c r="I139">
        <v>0.74897999999999998</v>
      </c>
      <c r="J139">
        <v>7.4898E-4</v>
      </c>
      <c r="K139">
        <v>1.6512162880000001</v>
      </c>
      <c r="L139">
        <v>1.2699999999999999E-2</v>
      </c>
      <c r="M139">
        <v>3.1</v>
      </c>
      <c r="N139">
        <v>34.587938440000002</v>
      </c>
      <c r="O139">
        <v>50.804248261694298</v>
      </c>
      <c r="P139">
        <v>2466.5720882083501</v>
      </c>
      <c r="Q139">
        <v>5927.8348671193098</v>
      </c>
      <c r="R139">
        <v>15708.7623978662</v>
      </c>
      <c r="S139">
        <v>52.7</v>
      </c>
      <c r="T139">
        <v>0.35</v>
      </c>
      <c r="U139">
        <v>-0.5</v>
      </c>
    </row>
    <row r="140" spans="1:21" x14ac:dyDescent="0.25">
      <c r="A140" t="s">
        <v>67</v>
      </c>
      <c r="B140" t="s">
        <v>68</v>
      </c>
      <c r="C140">
        <v>3</v>
      </c>
      <c r="D140">
        <v>1</v>
      </c>
      <c r="E140">
        <v>3</v>
      </c>
      <c r="F140">
        <v>60.65</v>
      </c>
      <c r="G140">
        <v>160.72999999999999</v>
      </c>
      <c r="H140">
        <v>25.236464999999999</v>
      </c>
      <c r="I140">
        <v>2.5236465E-2</v>
      </c>
      <c r="J140">
        <v>2.5199999999999999E-5</v>
      </c>
      <c r="K140">
        <v>5.5636814999999999E-2</v>
      </c>
      <c r="L140">
        <v>1.29E-2</v>
      </c>
      <c r="M140">
        <v>3.05</v>
      </c>
      <c r="N140">
        <v>11.99942031</v>
      </c>
      <c r="O140">
        <v>29.031706155287299</v>
      </c>
      <c r="P140">
        <v>373.55195768406401</v>
      </c>
      <c r="Q140">
        <v>897.74563250195604</v>
      </c>
      <c r="R140">
        <v>2379.0259261301799</v>
      </c>
      <c r="S140">
        <v>40.6</v>
      </c>
      <c r="T140">
        <v>0.27</v>
      </c>
      <c r="U140">
        <v>-1.65</v>
      </c>
    </row>
    <row r="141" spans="1:21" x14ac:dyDescent="0.25">
      <c r="A141" t="s">
        <v>69</v>
      </c>
      <c r="B141" t="s">
        <v>70</v>
      </c>
      <c r="C141">
        <v>3</v>
      </c>
      <c r="D141">
        <v>1</v>
      </c>
      <c r="E141">
        <v>3</v>
      </c>
      <c r="F141">
        <v>192.26147560000001</v>
      </c>
      <c r="G141">
        <v>509.49291040000003</v>
      </c>
      <c r="H141">
        <v>80</v>
      </c>
      <c r="I141">
        <v>0.08</v>
      </c>
      <c r="J141">
        <v>8.0000000000000007E-5</v>
      </c>
      <c r="K141">
        <v>0.17636959999999999</v>
      </c>
      <c r="L141">
        <v>0.01</v>
      </c>
      <c r="M141">
        <v>2.9</v>
      </c>
      <c r="N141">
        <v>22.176504810000001</v>
      </c>
      <c r="O141">
        <v>19.459213660156699</v>
      </c>
      <c r="P141">
        <v>54.759986342720197</v>
      </c>
      <c r="Q141">
        <v>131.602947230762</v>
      </c>
      <c r="R141">
        <v>348.74781016152002</v>
      </c>
      <c r="S141">
        <v>37.700000000000003</v>
      </c>
      <c r="T141">
        <v>0.24199999999999999</v>
      </c>
      <c r="U141">
        <v>0</v>
      </c>
    </row>
    <row r="142" spans="1:21" x14ac:dyDescent="0.25">
      <c r="A142" s="2" t="s">
        <v>71</v>
      </c>
      <c r="B142" t="s">
        <v>72</v>
      </c>
      <c r="C142">
        <v>3</v>
      </c>
      <c r="D142">
        <v>1</v>
      </c>
      <c r="E142">
        <v>3</v>
      </c>
      <c r="F142">
        <v>5.0708964190000003</v>
      </c>
      <c r="G142">
        <v>13.43787551</v>
      </c>
      <c r="H142">
        <v>2.1099999999459</v>
      </c>
      <c r="I142">
        <v>2.1099999999458999E-3</v>
      </c>
      <c r="J142">
        <v>2.1099999999459001E-6</v>
      </c>
      <c r="K142">
        <v>4.6517481998807298E-3</v>
      </c>
      <c r="L142" s="3">
        <v>1.0999999999999999E-2</v>
      </c>
      <c r="M142" s="3">
        <v>3.01</v>
      </c>
      <c r="N142">
        <v>5.7337022923298298</v>
      </c>
      <c r="O142" s="2">
        <v>6.4245492242556903</v>
      </c>
      <c r="P142" s="2">
        <v>2.9716598373956198</v>
      </c>
      <c r="Q142" s="2">
        <v>7.1416963167402496</v>
      </c>
      <c r="R142" s="2">
        <v>18.925495239361702</v>
      </c>
      <c r="S142">
        <v>9</v>
      </c>
      <c r="T142">
        <v>0.32</v>
      </c>
      <c r="U142">
        <v>-0.91</v>
      </c>
    </row>
    <row r="143" spans="1:21" x14ac:dyDescent="0.25">
      <c r="A143" s="2" t="s">
        <v>49</v>
      </c>
      <c r="B143" t="s">
        <v>50</v>
      </c>
      <c r="C143">
        <v>3</v>
      </c>
      <c r="D143">
        <v>1</v>
      </c>
      <c r="E143">
        <v>3</v>
      </c>
      <c r="F143">
        <v>732.42009129999997</v>
      </c>
      <c r="G143">
        <v>1940.9132420000001</v>
      </c>
      <c r="H143">
        <v>304.75999998993001</v>
      </c>
      <c r="I143">
        <v>0.30475999998992997</v>
      </c>
      <c r="J143">
        <v>3.0475999998992999E-4</v>
      </c>
      <c r="K143">
        <v>0.67187999117779895</v>
      </c>
      <c r="L143" s="3">
        <v>1.2E-2</v>
      </c>
      <c r="M143" s="3">
        <v>3.1</v>
      </c>
      <c r="N143">
        <v>26.3569841710204</v>
      </c>
      <c r="O143" s="2">
        <v>26.6528063610101</v>
      </c>
      <c r="P143" s="2">
        <v>315.48910976816597</v>
      </c>
      <c r="Q143" s="2">
        <v>758.20502227389102</v>
      </c>
      <c r="R143" s="2">
        <v>2009.24330902581</v>
      </c>
      <c r="S143" s="2">
        <v>54.3</v>
      </c>
      <c r="T143" s="2">
        <v>0.22500000000000001</v>
      </c>
      <c r="U143" s="2">
        <v>0</v>
      </c>
    </row>
    <row r="144" spans="1:21" x14ac:dyDescent="0.25">
      <c r="A144" t="s">
        <v>55</v>
      </c>
      <c r="B144" t="s">
        <v>56</v>
      </c>
      <c r="C144">
        <v>3</v>
      </c>
      <c r="D144">
        <v>1</v>
      </c>
      <c r="E144">
        <v>3</v>
      </c>
      <c r="F144">
        <v>455.65969719999998</v>
      </c>
      <c r="G144">
        <v>1207.498198</v>
      </c>
      <c r="H144">
        <v>189.6</v>
      </c>
      <c r="I144">
        <v>0.18959999999999999</v>
      </c>
      <c r="J144">
        <v>1.896E-4</v>
      </c>
      <c r="K144">
        <v>0.417995952</v>
      </c>
      <c r="L144">
        <v>1.2999999999999999E-2</v>
      </c>
      <c r="M144">
        <v>3</v>
      </c>
      <c r="N144">
        <v>24.432336070000002</v>
      </c>
      <c r="O144">
        <v>37.047325124095401</v>
      </c>
      <c r="P144">
        <v>661.01896891849594</v>
      </c>
      <c r="Q144">
        <v>1588.6060296046501</v>
      </c>
      <c r="R144">
        <v>4209.8059784523302</v>
      </c>
      <c r="S144">
        <v>152</v>
      </c>
      <c r="T144">
        <v>9.6000000000000002E-2</v>
      </c>
      <c r="U144">
        <v>0.09</v>
      </c>
    </row>
    <row r="145" spans="1:21" x14ac:dyDescent="0.25">
      <c r="A145" t="s">
        <v>75</v>
      </c>
      <c r="B145" t="s">
        <v>76</v>
      </c>
      <c r="C145">
        <v>3</v>
      </c>
      <c r="D145">
        <v>2</v>
      </c>
      <c r="E145">
        <v>6</v>
      </c>
      <c r="F145">
        <v>732.42009129999997</v>
      </c>
      <c r="G145">
        <v>1940.9132420000001</v>
      </c>
      <c r="H145">
        <v>304.76</v>
      </c>
      <c r="I145">
        <v>0.30475999999999998</v>
      </c>
      <c r="J145">
        <v>3.0476E-4</v>
      </c>
      <c r="K145">
        <v>0.67187999099999995</v>
      </c>
      <c r="L145">
        <v>2.5000000000000001E-3</v>
      </c>
      <c r="M145">
        <v>3.1</v>
      </c>
      <c r="N145">
        <v>43.717060600000003</v>
      </c>
      <c r="O145">
        <v>57.798855044593097</v>
      </c>
      <c r="P145">
        <v>724.25189217385002</v>
      </c>
      <c r="Q145">
        <v>1740.57171875475</v>
      </c>
      <c r="R145">
        <v>4612.5150547000803</v>
      </c>
      <c r="S145">
        <v>122</v>
      </c>
      <c r="T145">
        <v>0.107</v>
      </c>
      <c r="U145">
        <v>0</v>
      </c>
    </row>
    <row r="146" spans="1:21" x14ac:dyDescent="0.25">
      <c r="A146" t="s">
        <v>73</v>
      </c>
      <c r="B146" t="s">
        <v>74</v>
      </c>
      <c r="C146">
        <v>3</v>
      </c>
      <c r="D146">
        <v>2</v>
      </c>
      <c r="E146">
        <v>6</v>
      </c>
      <c r="F146">
        <v>732.42009129999997</v>
      </c>
      <c r="G146">
        <v>1940.9132420000001</v>
      </c>
      <c r="H146">
        <v>304.76</v>
      </c>
      <c r="I146">
        <v>0.30475999999999998</v>
      </c>
      <c r="J146">
        <v>3.0476E-4</v>
      </c>
      <c r="K146">
        <v>0.67187999099999995</v>
      </c>
      <c r="L146">
        <v>1.4E-2</v>
      </c>
      <c r="M146">
        <v>2.8</v>
      </c>
      <c r="N146">
        <v>35.418076749999997</v>
      </c>
      <c r="O146">
        <v>40.586205198132298</v>
      </c>
      <c r="P146">
        <v>446.25971797324098</v>
      </c>
      <c r="Q146">
        <v>1072.4818985177601</v>
      </c>
      <c r="R146">
        <v>2842.07703107207</v>
      </c>
      <c r="S146">
        <v>43</v>
      </c>
      <c r="T146">
        <v>0.48</v>
      </c>
      <c r="U146">
        <v>0</v>
      </c>
    </row>
    <row r="147" spans="1:21" x14ac:dyDescent="0.25">
      <c r="A147" s="2" t="s">
        <v>51</v>
      </c>
      <c r="B147" t="s">
        <v>52</v>
      </c>
      <c r="C147">
        <v>3</v>
      </c>
      <c r="D147">
        <v>1</v>
      </c>
      <c r="E147">
        <v>3</v>
      </c>
      <c r="F147">
        <v>1548.9065129999999</v>
      </c>
      <c r="G147">
        <v>4104.6022599999997</v>
      </c>
      <c r="H147">
        <v>644.50000005929996</v>
      </c>
      <c r="I147">
        <v>0.64450000005929997</v>
      </c>
      <c r="J147">
        <v>6.445000000593E-4</v>
      </c>
      <c r="K147">
        <v>1.42087759013073</v>
      </c>
      <c r="L147" s="3">
        <v>1.24E-2</v>
      </c>
      <c r="M147" s="3">
        <v>3.2</v>
      </c>
      <c r="N147">
        <v>29.763766337987398</v>
      </c>
      <c r="O147" s="2">
        <v>10.0246456650209</v>
      </c>
      <c r="P147" s="2">
        <v>19.8080892334971</v>
      </c>
      <c r="Q147" s="2">
        <v>47.604155812297797</v>
      </c>
      <c r="R147" s="2">
        <v>126.151012902589</v>
      </c>
      <c r="S147">
        <v>20.9</v>
      </c>
      <c r="T147">
        <v>0.19500000000000001</v>
      </c>
      <c r="U147">
        <v>-0.35</v>
      </c>
    </row>
    <row r="148" spans="1:21" x14ac:dyDescent="0.25">
      <c r="A148" t="s">
        <v>85</v>
      </c>
      <c r="B148" t="s">
        <v>86</v>
      </c>
      <c r="C148">
        <v>3</v>
      </c>
      <c r="D148">
        <v>7</v>
      </c>
      <c r="E148">
        <v>21</v>
      </c>
      <c r="F148">
        <v>20847.385399999999</v>
      </c>
      <c r="G148">
        <v>55245.121400000004</v>
      </c>
      <c r="H148">
        <v>8674.5970649999999</v>
      </c>
      <c r="I148">
        <v>8.6745970650000004</v>
      </c>
      <c r="J148">
        <v>8.6745969999999992E-3</v>
      </c>
      <c r="K148">
        <v>19.124190179999999</v>
      </c>
      <c r="L148">
        <v>5.2399999999999999E-3</v>
      </c>
      <c r="M148">
        <v>3.141</v>
      </c>
      <c r="N148">
        <v>95.480919940000007</v>
      </c>
      <c r="O148" s="2">
        <v>286.15036021085899</v>
      </c>
      <c r="P148" s="2">
        <v>272579.99151432101</v>
      </c>
      <c r="Q148" s="2">
        <v>655082.89236798999</v>
      </c>
      <c r="R148" s="2">
        <v>1735969.6647751699</v>
      </c>
      <c r="S148">
        <v>309.24444444444401</v>
      </c>
      <c r="T148">
        <v>0.13655555555555601</v>
      </c>
      <c r="U148">
        <v>2</v>
      </c>
    </row>
    <row r="149" spans="1:21" x14ac:dyDescent="0.25">
      <c r="A149" t="s">
        <v>77</v>
      </c>
      <c r="B149" t="s">
        <v>78</v>
      </c>
      <c r="C149">
        <v>3</v>
      </c>
      <c r="D149">
        <v>3</v>
      </c>
      <c r="E149">
        <v>9</v>
      </c>
      <c r="F149">
        <v>123834.1152</v>
      </c>
      <c r="G149">
        <v>328160.40529999998</v>
      </c>
      <c r="H149">
        <v>51527.375330000003</v>
      </c>
      <c r="I149">
        <v>51.527375329999998</v>
      </c>
      <c r="J149">
        <v>5.1527375E-2</v>
      </c>
      <c r="K149">
        <v>113.5982822</v>
      </c>
      <c r="L149">
        <v>3.5000000000000003E-2</v>
      </c>
      <c r="M149">
        <v>2.9</v>
      </c>
      <c r="N149">
        <v>133.93256890000001</v>
      </c>
      <c r="O149" s="2">
        <v>206.09180735845499</v>
      </c>
      <c r="P149" s="2">
        <v>179822.55134623501</v>
      </c>
      <c r="Q149" s="2">
        <v>432161.86336514098</v>
      </c>
      <c r="R149" s="2">
        <v>1145228.9379176199</v>
      </c>
      <c r="S149">
        <v>208.40700000000001</v>
      </c>
      <c r="T149">
        <v>0.5</v>
      </c>
      <c r="U149">
        <v>0</v>
      </c>
    </row>
    <row r="150" spans="1:21" x14ac:dyDescent="0.25">
      <c r="A150" t="s">
        <v>79</v>
      </c>
      <c r="B150" t="s">
        <v>80</v>
      </c>
      <c r="C150">
        <v>3</v>
      </c>
      <c r="D150">
        <v>2</v>
      </c>
      <c r="E150">
        <v>6</v>
      </c>
      <c r="F150">
        <v>1548.9065129999999</v>
      </c>
      <c r="G150">
        <v>4104.6022599999997</v>
      </c>
      <c r="H150">
        <v>644.50000009999997</v>
      </c>
      <c r="I150">
        <v>0.64449999999999996</v>
      </c>
      <c r="J150">
        <v>6.445E-4</v>
      </c>
      <c r="K150">
        <v>1.4208775899999999</v>
      </c>
      <c r="L150">
        <v>3.3999999999999998E-3</v>
      </c>
      <c r="M150">
        <v>3.2850000000000001</v>
      </c>
      <c r="N150">
        <v>29.76376634</v>
      </c>
      <c r="O150">
        <v>38.300363083632597</v>
      </c>
      <c r="P150">
        <v>1444.3449807438301</v>
      </c>
      <c r="Q150">
        <v>3471.1487160390002</v>
      </c>
      <c r="R150">
        <v>9198.5440975033398</v>
      </c>
      <c r="S150">
        <v>59.9</v>
      </c>
      <c r="T150">
        <v>0.17</v>
      </c>
      <c r="U150">
        <v>0</v>
      </c>
    </row>
    <row r="151" spans="1:21" x14ac:dyDescent="0.25">
      <c r="A151" t="s">
        <v>81</v>
      </c>
      <c r="B151" t="s">
        <v>82</v>
      </c>
      <c r="C151">
        <v>3</v>
      </c>
      <c r="D151">
        <v>2</v>
      </c>
      <c r="E151">
        <v>6</v>
      </c>
      <c r="F151">
        <v>732.42009129999997</v>
      </c>
      <c r="G151">
        <v>1940.9132420000001</v>
      </c>
      <c r="H151">
        <v>304.76</v>
      </c>
      <c r="I151">
        <v>0.30475999999999998</v>
      </c>
      <c r="J151">
        <v>3.0476E-4</v>
      </c>
      <c r="K151">
        <v>0.67187999099999995</v>
      </c>
      <c r="L151">
        <v>1.4999999999999999E-2</v>
      </c>
      <c r="M151">
        <v>3</v>
      </c>
      <c r="N151">
        <v>27.286986030000001</v>
      </c>
      <c r="O151">
        <v>67.776936341653695</v>
      </c>
      <c r="P151">
        <v>4670.2170051160701</v>
      </c>
      <c r="Q151">
        <v>11223.7851600963</v>
      </c>
      <c r="R151">
        <v>29743.030674255198</v>
      </c>
      <c r="S151">
        <v>106</v>
      </c>
      <c r="T151">
        <v>0.17</v>
      </c>
      <c r="U151">
        <v>0</v>
      </c>
    </row>
    <row r="152" spans="1:21" x14ac:dyDescent="0.25">
      <c r="A152" t="s">
        <v>83</v>
      </c>
      <c r="B152" t="s">
        <v>84</v>
      </c>
      <c r="C152">
        <v>3</v>
      </c>
      <c r="D152">
        <v>7</v>
      </c>
      <c r="E152">
        <v>21</v>
      </c>
      <c r="F152">
        <v>20847.385399999999</v>
      </c>
      <c r="G152">
        <v>55245.121400000004</v>
      </c>
      <c r="H152">
        <v>8674.5970649999999</v>
      </c>
      <c r="I152">
        <v>8.6745970650000004</v>
      </c>
      <c r="J152">
        <v>8.6745969999999992E-3</v>
      </c>
      <c r="K152">
        <v>19.124190179999999</v>
      </c>
      <c r="L152">
        <v>5.4000000000000003E-3</v>
      </c>
      <c r="M152">
        <v>3</v>
      </c>
      <c r="N152">
        <v>117.11661650000001</v>
      </c>
      <c r="O152">
        <v>255.49714593612001</v>
      </c>
      <c r="P152">
        <v>90064.142671856898</v>
      </c>
      <c r="Q152">
        <v>216448.31211693599</v>
      </c>
      <c r="R152">
        <v>573588.02710987895</v>
      </c>
      <c r="S152">
        <v>280</v>
      </c>
      <c r="T152">
        <v>0.11600000000000001</v>
      </c>
      <c r="U152">
        <v>0</v>
      </c>
    </row>
    <row r="153" spans="1:21" x14ac:dyDescent="0.25">
      <c r="A153" t="s">
        <v>91</v>
      </c>
      <c r="B153" t="s">
        <v>92</v>
      </c>
      <c r="C153">
        <v>3</v>
      </c>
      <c r="D153">
        <v>2</v>
      </c>
      <c r="E153">
        <v>6</v>
      </c>
      <c r="F153">
        <v>732.42009129999997</v>
      </c>
      <c r="G153">
        <v>1940.9132420000001</v>
      </c>
      <c r="H153">
        <v>304.76</v>
      </c>
      <c r="I153">
        <v>0.30475999999999998</v>
      </c>
      <c r="J153">
        <v>3.0476E-4</v>
      </c>
      <c r="K153">
        <v>0.67187999099999995</v>
      </c>
      <c r="L153">
        <v>1.2999999999999999E-2</v>
      </c>
      <c r="M153">
        <v>3</v>
      </c>
      <c r="N153">
        <v>28.620125739999999</v>
      </c>
      <c r="O153">
        <v>40.946894886658498</v>
      </c>
      <c r="P153">
        <v>892.49598935225401</v>
      </c>
      <c r="Q153">
        <v>2144.90744857547</v>
      </c>
      <c r="R153">
        <v>5684.0047387249997</v>
      </c>
      <c r="S153">
        <v>60.2</v>
      </c>
      <c r="T153">
        <v>0.19</v>
      </c>
      <c r="U153">
        <v>0</v>
      </c>
    </row>
    <row r="154" spans="1:21" x14ac:dyDescent="0.25">
      <c r="A154" t="s">
        <v>87</v>
      </c>
      <c r="B154" t="s">
        <v>88</v>
      </c>
      <c r="C154">
        <v>3</v>
      </c>
      <c r="D154">
        <v>2</v>
      </c>
      <c r="E154">
        <v>6</v>
      </c>
      <c r="F154">
        <v>732.42009129999997</v>
      </c>
      <c r="G154">
        <v>1940.9132420000001</v>
      </c>
      <c r="H154">
        <v>304.76</v>
      </c>
      <c r="I154">
        <v>0.30475999999999998</v>
      </c>
      <c r="J154">
        <v>3.0476E-4</v>
      </c>
      <c r="K154">
        <v>0.67187999099999995</v>
      </c>
      <c r="L154">
        <v>6.0000000000000001E-3</v>
      </c>
      <c r="M154">
        <v>3.1</v>
      </c>
      <c r="N154">
        <v>32.961135609999999</v>
      </c>
      <c r="O154">
        <v>22.773767140673499</v>
      </c>
      <c r="P154">
        <v>96.872245124489197</v>
      </c>
      <c r="Q154">
        <v>232.810009912255</v>
      </c>
      <c r="R154">
        <v>616.94652626747495</v>
      </c>
      <c r="S154">
        <v>31.4</v>
      </c>
      <c r="T154">
        <v>0.19</v>
      </c>
      <c r="U154">
        <v>-0.8</v>
      </c>
    </row>
    <row r="155" spans="1:21" x14ac:dyDescent="0.25">
      <c r="A155" t="s">
        <v>93</v>
      </c>
      <c r="B155" t="s">
        <v>94</v>
      </c>
      <c r="C155">
        <v>3</v>
      </c>
      <c r="D155">
        <v>9</v>
      </c>
      <c r="E155">
        <v>27</v>
      </c>
      <c r="F155">
        <v>1772157205</v>
      </c>
      <c r="G155">
        <v>4696216593</v>
      </c>
      <c r="H155">
        <v>737394613</v>
      </c>
      <c r="I155">
        <v>737394.61300000001</v>
      </c>
      <c r="J155">
        <v>737.39461300000005</v>
      </c>
      <c r="K155">
        <v>1625674.912</v>
      </c>
      <c r="L155" s="2">
        <v>1.7000000000000001E-2</v>
      </c>
      <c r="M155">
        <v>3</v>
      </c>
      <c r="N155">
        <v>1544.863059</v>
      </c>
      <c r="O155" s="2">
        <v>1583.10420263623</v>
      </c>
      <c r="P155" s="2">
        <v>67449296.887868494</v>
      </c>
      <c r="Q155" s="2">
        <v>162098766.85380501</v>
      </c>
      <c r="R155" s="2">
        <v>429561732.16258401</v>
      </c>
      <c r="S155">
        <v>1584.96</v>
      </c>
      <c r="T155" s="2">
        <v>0.25</v>
      </c>
      <c r="U155">
        <v>0</v>
      </c>
    </row>
    <row r="156" spans="1:21" x14ac:dyDescent="0.25">
      <c r="A156" t="s">
        <v>109</v>
      </c>
      <c r="B156" t="s">
        <v>110</v>
      </c>
      <c r="C156">
        <v>3</v>
      </c>
      <c r="D156">
        <v>5</v>
      </c>
      <c r="E156">
        <v>15</v>
      </c>
      <c r="F156">
        <v>5086.8830930000004</v>
      </c>
      <c r="G156">
        <v>13480.2402</v>
      </c>
      <c r="H156">
        <v>2116.652055</v>
      </c>
      <c r="I156">
        <v>2.1166520549999999</v>
      </c>
      <c r="J156">
        <v>2.1166520000000001E-3</v>
      </c>
      <c r="K156">
        <v>4.6664134529999997</v>
      </c>
      <c r="L156">
        <v>4.3E-3</v>
      </c>
      <c r="M156">
        <v>3.1</v>
      </c>
      <c r="N156">
        <v>68.578412069999999</v>
      </c>
      <c r="O156">
        <v>116.944766235771</v>
      </c>
      <c r="P156">
        <v>11071.5622159796</v>
      </c>
      <c r="Q156">
        <v>26607.936111462499</v>
      </c>
      <c r="R156">
        <v>70511.030695375695</v>
      </c>
      <c r="S156">
        <v>186</v>
      </c>
      <c r="T156">
        <v>4.5999999999999999E-2</v>
      </c>
      <c r="U156">
        <v>-6.54</v>
      </c>
    </row>
    <row r="157" spans="1:21" x14ac:dyDescent="0.25">
      <c r="A157" t="s">
        <v>99</v>
      </c>
      <c r="B157" t="s">
        <v>100</v>
      </c>
      <c r="C157">
        <v>3</v>
      </c>
      <c r="D157">
        <v>2</v>
      </c>
      <c r="E157">
        <v>6</v>
      </c>
      <c r="F157">
        <v>732.42009129999997</v>
      </c>
      <c r="G157">
        <v>1940.9132420000001</v>
      </c>
      <c r="H157">
        <v>304.76</v>
      </c>
      <c r="I157">
        <v>0.30475999999999998</v>
      </c>
      <c r="J157">
        <v>3.0476E-4</v>
      </c>
      <c r="K157">
        <v>0.67187999099999995</v>
      </c>
      <c r="L157">
        <v>1.4999999999999999E-2</v>
      </c>
      <c r="M157">
        <v>3.1</v>
      </c>
      <c r="N157">
        <v>24.526434699999999</v>
      </c>
      <c r="O157">
        <v>27.110774536661499</v>
      </c>
      <c r="P157">
        <v>415.74901347532898</v>
      </c>
      <c r="Q157">
        <v>999.15648516060696</v>
      </c>
      <c r="R157">
        <v>2647.7646856756101</v>
      </c>
      <c r="S157">
        <v>42.4</v>
      </c>
      <c r="T157">
        <v>0.17</v>
      </c>
      <c r="U157">
        <v>0</v>
      </c>
    </row>
    <row r="158" spans="1:21" x14ac:dyDescent="0.25">
      <c r="A158" t="s">
        <v>97</v>
      </c>
      <c r="B158" t="s">
        <v>98</v>
      </c>
      <c r="C158">
        <v>3</v>
      </c>
      <c r="D158">
        <v>2</v>
      </c>
      <c r="E158">
        <v>6</v>
      </c>
      <c r="F158">
        <v>26457.496719999999</v>
      </c>
      <c r="G158">
        <v>70112.366299999994</v>
      </c>
      <c r="H158">
        <v>11008.964389999999</v>
      </c>
      <c r="I158">
        <v>11.008964389999999</v>
      </c>
      <c r="J158">
        <v>1.1008964E-2</v>
      </c>
      <c r="K158">
        <v>24.27058306</v>
      </c>
      <c r="L158" s="2">
        <v>6.5000000000000002E-2</v>
      </c>
      <c r="M158">
        <v>3</v>
      </c>
      <c r="N158">
        <v>81.954377719999997</v>
      </c>
      <c r="O158">
        <v>23.337827681697501</v>
      </c>
      <c r="P158">
        <v>826.21798263751305</v>
      </c>
      <c r="Q158">
        <v>1985.62360643478</v>
      </c>
      <c r="R158">
        <v>5261.9025570521699</v>
      </c>
      <c r="S158">
        <v>23.6</v>
      </c>
      <c r="T158">
        <v>0.75</v>
      </c>
      <c r="U158">
        <v>0</v>
      </c>
    </row>
    <row r="159" spans="1:21" x14ac:dyDescent="0.25">
      <c r="A159" s="2" t="s">
        <v>47</v>
      </c>
      <c r="B159" t="s">
        <v>48</v>
      </c>
      <c r="C159">
        <v>3</v>
      </c>
      <c r="D159">
        <v>1</v>
      </c>
      <c r="E159">
        <v>3</v>
      </c>
      <c r="F159">
        <v>192.26147560000001</v>
      </c>
      <c r="G159">
        <v>509.49291040000003</v>
      </c>
      <c r="H159">
        <v>79.999999997160003</v>
      </c>
      <c r="I159">
        <v>7.9999999997159996E-2</v>
      </c>
      <c r="J159">
        <v>7.9999999997160007E-5</v>
      </c>
      <c r="K159">
        <v>0.176369599993739</v>
      </c>
      <c r="L159" s="3">
        <v>1.23E-2</v>
      </c>
      <c r="M159" s="3">
        <v>3.2</v>
      </c>
      <c r="N159">
        <v>15.546057640091</v>
      </c>
      <c r="O159" s="2">
        <v>32.4365447599749</v>
      </c>
      <c r="P159" s="2">
        <v>841.813304763318</v>
      </c>
      <c r="Q159" s="2">
        <v>2023.10335199067</v>
      </c>
      <c r="R159" s="2">
        <v>5361.2238827752699</v>
      </c>
      <c r="S159" s="2">
        <v>39.200000000000003</v>
      </c>
      <c r="T159" s="2">
        <v>0.58571428571428596</v>
      </c>
      <c r="U159" s="2">
        <v>0</v>
      </c>
    </row>
    <row r="160" spans="1:21" x14ac:dyDescent="0.25">
      <c r="A160" t="s">
        <v>103</v>
      </c>
      <c r="B160" t="s">
        <v>104</v>
      </c>
      <c r="C160">
        <v>3</v>
      </c>
      <c r="D160">
        <v>1</v>
      </c>
      <c r="E160">
        <v>3</v>
      </c>
      <c r="F160">
        <v>233.91011779999999</v>
      </c>
      <c r="G160">
        <v>619.86181209999995</v>
      </c>
      <c r="H160">
        <v>97.33000002</v>
      </c>
      <c r="I160">
        <v>9.733E-2</v>
      </c>
      <c r="J160">
        <v>9.7299999999999993E-5</v>
      </c>
      <c r="K160">
        <v>0.214575665</v>
      </c>
      <c r="L160">
        <v>1.2999999999999999E-2</v>
      </c>
      <c r="M160">
        <v>2.8</v>
      </c>
      <c r="N160">
        <v>24.192445729999999</v>
      </c>
      <c r="O160">
        <v>27.288264294741101</v>
      </c>
      <c r="P160">
        <v>136.356519656892</v>
      </c>
      <c r="Q160">
        <v>327.70132097306498</v>
      </c>
      <c r="R160">
        <v>868.40850057862201</v>
      </c>
      <c r="S160">
        <v>65.400000000000006</v>
      </c>
      <c r="T160">
        <v>0.18</v>
      </c>
      <c r="U160">
        <v>0</v>
      </c>
    </row>
    <row r="161" spans="1:21" x14ac:dyDescent="0.25">
      <c r="A161" s="2" t="s">
        <v>105</v>
      </c>
      <c r="B161" t="s">
        <v>106</v>
      </c>
      <c r="C161">
        <v>3</v>
      </c>
      <c r="D161">
        <v>3</v>
      </c>
      <c r="E161">
        <v>9</v>
      </c>
      <c r="F161">
        <v>1800</v>
      </c>
      <c r="G161">
        <v>4770</v>
      </c>
      <c r="H161">
        <v>748.98</v>
      </c>
      <c r="I161">
        <v>0.74897999999999998</v>
      </c>
      <c r="J161">
        <v>7.4898E-4</v>
      </c>
      <c r="K161">
        <v>1.65075192</v>
      </c>
      <c r="L161" s="3">
        <v>1.2699999999999999E-2</v>
      </c>
      <c r="M161" s="3">
        <v>3.1</v>
      </c>
      <c r="N161">
        <v>34.587938444619503</v>
      </c>
      <c r="O161" s="2">
        <v>85.389797589938695</v>
      </c>
      <c r="P161" s="2">
        <v>12335.6566189309</v>
      </c>
      <c r="Q161" s="2">
        <v>29645.894301684599</v>
      </c>
      <c r="R161" s="2">
        <v>78561.619899464102</v>
      </c>
      <c r="S161">
        <v>109.97499999999999</v>
      </c>
      <c r="T161">
        <v>0.14749999999999999</v>
      </c>
      <c r="U161">
        <v>-1.1566666666666701</v>
      </c>
    </row>
    <row r="162" spans="1:21" x14ac:dyDescent="0.25">
      <c r="A162" t="s">
        <v>115</v>
      </c>
      <c r="B162" t="s">
        <v>116</v>
      </c>
      <c r="C162">
        <v>3</v>
      </c>
      <c r="D162">
        <v>7</v>
      </c>
      <c r="E162">
        <v>21</v>
      </c>
      <c r="F162">
        <v>9235805.5920000002</v>
      </c>
      <c r="G162">
        <v>24474884.82</v>
      </c>
      <c r="H162">
        <v>3843018.7069999999</v>
      </c>
      <c r="I162">
        <v>3843.0187070000002</v>
      </c>
      <c r="J162">
        <v>3.8430187070000001</v>
      </c>
      <c r="K162">
        <v>8472.3959009999999</v>
      </c>
      <c r="L162" s="2">
        <v>1.4999999999999999E-2</v>
      </c>
      <c r="M162">
        <v>3</v>
      </c>
      <c r="N162">
        <v>727.03865089999999</v>
      </c>
      <c r="O162" s="2">
        <v>270.35382944947099</v>
      </c>
      <c r="P162" s="2">
        <v>296407.25929609803</v>
      </c>
      <c r="Q162" s="2">
        <v>712346.21316053404</v>
      </c>
      <c r="R162" s="2">
        <v>1887717.4648754201</v>
      </c>
      <c r="S162">
        <v>271.77999999999997</v>
      </c>
      <c r="T162">
        <v>0.25</v>
      </c>
      <c r="U162">
        <v>0</v>
      </c>
    </row>
    <row r="163" spans="1:21" x14ac:dyDescent="0.25">
      <c r="A163" t="s">
        <v>107</v>
      </c>
      <c r="B163" t="s">
        <v>108</v>
      </c>
      <c r="C163">
        <v>3</v>
      </c>
      <c r="D163">
        <v>5</v>
      </c>
      <c r="E163">
        <v>15</v>
      </c>
      <c r="F163">
        <v>5086.8830930000004</v>
      </c>
      <c r="G163">
        <v>13480.2402</v>
      </c>
      <c r="H163">
        <v>2116.652055</v>
      </c>
      <c r="I163">
        <v>2.1166520549999999</v>
      </c>
      <c r="J163">
        <v>2.1166520000000001E-3</v>
      </c>
      <c r="K163">
        <v>4.6664134529999997</v>
      </c>
      <c r="L163">
        <v>3.5999999999999999E-3</v>
      </c>
      <c r="M163">
        <v>3</v>
      </c>
      <c r="N163">
        <v>83.775235480000006</v>
      </c>
      <c r="O163">
        <v>85.009877676356894</v>
      </c>
      <c r="P163">
        <v>2211.6208446574701</v>
      </c>
      <c r="Q163">
        <v>5315.1185884582401</v>
      </c>
      <c r="R163">
        <v>14085.064259414299</v>
      </c>
      <c r="S163">
        <v>150</v>
      </c>
      <c r="T163">
        <v>4.1000000000000002E-2</v>
      </c>
      <c r="U163">
        <v>-5.4</v>
      </c>
    </row>
    <row r="164" spans="1:21" x14ac:dyDescent="0.25">
      <c r="A164" t="s">
        <v>41</v>
      </c>
      <c r="B164" t="s">
        <v>42</v>
      </c>
      <c r="C164">
        <v>3</v>
      </c>
      <c r="D164">
        <v>4</v>
      </c>
      <c r="E164">
        <v>12</v>
      </c>
      <c r="F164">
        <v>4816.6635390000001</v>
      </c>
      <c r="G164">
        <v>12764.158380000001</v>
      </c>
      <c r="H164">
        <v>2004.2136989999999</v>
      </c>
      <c r="I164">
        <v>2.0042136990000001</v>
      </c>
      <c r="J164">
        <v>2.0042139999999998E-3</v>
      </c>
      <c r="K164">
        <v>4.4185296039999997</v>
      </c>
      <c r="L164">
        <v>1.34E-2</v>
      </c>
      <c r="M164">
        <v>3.1</v>
      </c>
      <c r="N164">
        <v>46.698504929999999</v>
      </c>
      <c r="O164">
        <v>71.543817954896397</v>
      </c>
      <c r="P164">
        <v>7521.0477792886604</v>
      </c>
      <c r="Q164">
        <v>18075.0968019434</v>
      </c>
      <c r="R164">
        <v>47899.0065251501</v>
      </c>
      <c r="S164">
        <v>91.5</v>
      </c>
      <c r="T164">
        <v>0.12690000000000001</v>
      </c>
      <c r="U164">
        <v>0</v>
      </c>
    </row>
    <row r="165" spans="1:21" x14ac:dyDescent="0.25">
      <c r="A165" t="s">
        <v>111</v>
      </c>
      <c r="B165" t="s">
        <v>112</v>
      </c>
      <c r="C165">
        <v>3</v>
      </c>
      <c r="D165">
        <v>2</v>
      </c>
      <c r="E165">
        <v>6</v>
      </c>
      <c r="F165">
        <v>732.42009129999997</v>
      </c>
      <c r="G165">
        <v>1940.9132420000001</v>
      </c>
      <c r="H165">
        <v>304.76</v>
      </c>
      <c r="I165">
        <v>0.30475999999999998</v>
      </c>
      <c r="J165">
        <v>3.0476E-4</v>
      </c>
      <c r="K165">
        <v>0.67187999099999995</v>
      </c>
      <c r="L165">
        <v>1.2200000000000001E-2</v>
      </c>
      <c r="M165">
        <v>2.9</v>
      </c>
      <c r="N165">
        <v>32.84075627</v>
      </c>
      <c r="O165">
        <v>74.739540605911202</v>
      </c>
      <c r="P165">
        <v>3308.68986036151</v>
      </c>
      <c r="Q165">
        <v>7951.6699359805498</v>
      </c>
      <c r="R165">
        <v>21071.925330348498</v>
      </c>
      <c r="S165">
        <v>98.7</v>
      </c>
      <c r="T165">
        <v>0.158</v>
      </c>
      <c r="U165">
        <v>-2.96</v>
      </c>
    </row>
    <row r="166" spans="1:21" x14ac:dyDescent="0.25">
      <c r="A166" t="s">
        <v>113</v>
      </c>
      <c r="B166" t="s">
        <v>114</v>
      </c>
      <c r="C166">
        <v>3</v>
      </c>
      <c r="D166">
        <v>2</v>
      </c>
      <c r="E166">
        <v>6</v>
      </c>
      <c r="F166">
        <v>1548.9065129999999</v>
      </c>
      <c r="G166">
        <v>4104.6022599999997</v>
      </c>
      <c r="H166">
        <v>644.50000009999997</v>
      </c>
      <c r="I166">
        <v>0.64449999999999996</v>
      </c>
      <c r="J166">
        <v>6.445E-4</v>
      </c>
      <c r="K166">
        <v>1.4208775899999999</v>
      </c>
      <c r="L166">
        <v>1.2E-2</v>
      </c>
      <c r="M166">
        <v>3.05</v>
      </c>
      <c r="N166">
        <v>35.549486860000002</v>
      </c>
      <c r="O166">
        <v>62.2542397325903</v>
      </c>
      <c r="P166">
        <v>3559.5614441202201</v>
      </c>
      <c r="Q166">
        <v>8554.5816969964508</v>
      </c>
      <c r="R166">
        <v>22669.6414970406</v>
      </c>
      <c r="S166">
        <v>85.9</v>
      </c>
      <c r="T166">
        <v>0.215</v>
      </c>
      <c r="U166">
        <v>0</v>
      </c>
    </row>
    <row r="167" spans="1:21" x14ac:dyDescent="0.25">
      <c r="A167" t="s">
        <v>117</v>
      </c>
      <c r="B167" t="s">
        <v>118</v>
      </c>
      <c r="C167">
        <v>3</v>
      </c>
      <c r="D167">
        <v>2</v>
      </c>
      <c r="E167">
        <v>6</v>
      </c>
      <c r="F167">
        <v>732.42009129999997</v>
      </c>
      <c r="G167">
        <v>1940.9132420000001</v>
      </c>
      <c r="H167">
        <v>304.76</v>
      </c>
      <c r="I167">
        <v>0.30475999999999998</v>
      </c>
      <c r="J167">
        <v>3.0476E-4</v>
      </c>
      <c r="K167">
        <v>0.67187999099999995</v>
      </c>
      <c r="L167">
        <v>1.4999999999999999E-2</v>
      </c>
      <c r="M167">
        <v>3</v>
      </c>
      <c r="N167">
        <v>27.286986030000001</v>
      </c>
      <c r="O167">
        <v>33.026988237917301</v>
      </c>
      <c r="P167">
        <v>540.378640515999</v>
      </c>
      <c r="Q167">
        <v>1298.6749351502001</v>
      </c>
      <c r="R167">
        <v>3441.4885781480398</v>
      </c>
      <c r="S167">
        <v>73.2</v>
      </c>
      <c r="T167">
        <v>0.1</v>
      </c>
      <c r="U167">
        <v>0</v>
      </c>
    </row>
    <row r="168" spans="1:21" x14ac:dyDescent="0.25">
      <c r="A168" t="s">
        <v>123</v>
      </c>
      <c r="B168" t="s">
        <v>124</v>
      </c>
      <c r="C168">
        <v>3</v>
      </c>
      <c r="D168">
        <v>2</v>
      </c>
      <c r="E168">
        <v>6</v>
      </c>
      <c r="F168">
        <v>732.42009129999997</v>
      </c>
      <c r="G168">
        <v>1940.9132420000001</v>
      </c>
      <c r="H168">
        <v>304.76</v>
      </c>
      <c r="I168">
        <v>0.30475999999999998</v>
      </c>
      <c r="J168">
        <v>3.0476E-4</v>
      </c>
      <c r="K168">
        <v>0.67187999099999995</v>
      </c>
      <c r="L168">
        <v>9.4999999999999998E-3</v>
      </c>
      <c r="M168">
        <v>3.1</v>
      </c>
      <c r="N168">
        <v>28.419994330000002</v>
      </c>
      <c r="O168">
        <v>58.6406670479805</v>
      </c>
      <c r="P168">
        <v>2878.3274599697502</v>
      </c>
      <c r="Q168">
        <v>6917.3935591678601</v>
      </c>
      <c r="R168">
        <v>18331.092931794799</v>
      </c>
      <c r="S168">
        <v>111</v>
      </c>
      <c r="T168">
        <v>0.13</v>
      </c>
      <c r="U168">
        <v>0.22</v>
      </c>
    </row>
    <row r="169" spans="1:21" x14ac:dyDescent="0.25">
      <c r="A169" t="s">
        <v>121</v>
      </c>
      <c r="B169" t="s">
        <v>122</v>
      </c>
      <c r="C169">
        <v>3</v>
      </c>
      <c r="D169">
        <v>7</v>
      </c>
      <c r="E169">
        <v>21</v>
      </c>
      <c r="F169">
        <v>9235805.5920000002</v>
      </c>
      <c r="G169">
        <v>24474884.82</v>
      </c>
      <c r="H169">
        <v>3843018.7069999999</v>
      </c>
      <c r="I169">
        <v>3843.0187070000002</v>
      </c>
      <c r="J169">
        <v>3.8430187070000001</v>
      </c>
      <c r="K169">
        <v>8472.3959009999999</v>
      </c>
      <c r="L169" s="2">
        <v>1E-3</v>
      </c>
      <c r="M169">
        <v>3</v>
      </c>
      <c r="N169">
        <v>727.03865089999999</v>
      </c>
      <c r="O169" s="2">
        <v>2602.0337512721599</v>
      </c>
      <c r="P169" s="2">
        <v>17617276.7461363</v>
      </c>
      <c r="Q169" s="2">
        <v>42339045.292324699</v>
      </c>
      <c r="R169" s="2">
        <v>112198470.02466001</v>
      </c>
      <c r="S169">
        <v>2615.7600000000002</v>
      </c>
      <c r="T169">
        <v>0.25</v>
      </c>
      <c r="U169">
        <v>0</v>
      </c>
    </row>
    <row r="170" spans="1:21" x14ac:dyDescent="0.25">
      <c r="A170" t="s">
        <v>119</v>
      </c>
      <c r="B170" t="s">
        <v>120</v>
      </c>
      <c r="C170">
        <v>3</v>
      </c>
      <c r="D170">
        <v>3</v>
      </c>
      <c r="E170">
        <v>9</v>
      </c>
      <c r="F170">
        <v>124433.10189999999</v>
      </c>
      <c r="G170">
        <v>329747.71999999997</v>
      </c>
      <c r="H170">
        <v>51776.613700000002</v>
      </c>
      <c r="I170">
        <v>51.776613699999999</v>
      </c>
      <c r="J170">
        <v>5.1776613999999999E-2</v>
      </c>
      <c r="K170">
        <v>114.1477581</v>
      </c>
      <c r="L170">
        <v>2.1399999999999999E-2</v>
      </c>
      <c r="M170">
        <v>2.96</v>
      </c>
      <c r="N170">
        <v>143.43730550000001</v>
      </c>
      <c r="O170" s="2">
        <v>117.386078447359</v>
      </c>
      <c r="P170" s="2">
        <v>28607.4331888491</v>
      </c>
      <c r="Q170" s="2">
        <v>68751.341477647395</v>
      </c>
      <c r="R170" s="2">
        <v>182191.054915766</v>
      </c>
      <c r="S170">
        <v>133.76666666666699</v>
      </c>
      <c r="T170">
        <v>0.3</v>
      </c>
      <c r="U170">
        <v>2</v>
      </c>
    </row>
    <row r="171" spans="1:21" x14ac:dyDescent="0.25">
      <c r="A171" t="s">
        <v>89</v>
      </c>
      <c r="B171" t="s">
        <v>90</v>
      </c>
      <c r="C171">
        <v>3</v>
      </c>
      <c r="D171">
        <v>8</v>
      </c>
      <c r="E171">
        <v>24</v>
      </c>
      <c r="F171">
        <v>23420.529180000001</v>
      </c>
      <c r="G171">
        <v>62064.402329999997</v>
      </c>
      <c r="H171">
        <v>9745.2821920000006</v>
      </c>
      <c r="I171">
        <v>9.7452821919999995</v>
      </c>
      <c r="J171">
        <v>9.7452819999999992E-3</v>
      </c>
      <c r="K171">
        <v>21.484644029999998</v>
      </c>
      <c r="L171" s="2">
        <v>0.05</v>
      </c>
      <c r="M171" s="2">
        <v>3.2</v>
      </c>
      <c r="N171">
        <v>134.1311675</v>
      </c>
      <c r="O171">
        <v>113.104186662766</v>
      </c>
      <c r="P171">
        <v>2893.7835188385902</v>
      </c>
      <c r="Q171">
        <v>6954.53861773275</v>
      </c>
      <c r="R171">
        <v>18429.5273369918</v>
      </c>
      <c r="S171">
        <v>114.3</v>
      </c>
      <c r="T171">
        <v>0.19</v>
      </c>
      <c r="U171">
        <v>0</v>
      </c>
    </row>
    <row r="172" spans="1:21" x14ac:dyDescent="0.25">
      <c r="A172" t="s">
        <v>125</v>
      </c>
      <c r="B172" t="s">
        <v>126</v>
      </c>
      <c r="C172">
        <v>3</v>
      </c>
      <c r="D172">
        <v>1</v>
      </c>
      <c r="E172">
        <v>3</v>
      </c>
      <c r="F172">
        <v>789.95433809999997</v>
      </c>
      <c r="G172">
        <v>2093.3789959999999</v>
      </c>
      <c r="H172">
        <v>328.70000010000001</v>
      </c>
      <c r="I172">
        <v>0.32869999999999999</v>
      </c>
      <c r="J172">
        <v>3.2870000000000002E-4</v>
      </c>
      <c r="K172">
        <v>0.72465859399999999</v>
      </c>
      <c r="L172">
        <v>1.4999999999999999E-2</v>
      </c>
      <c r="M172">
        <v>2.9</v>
      </c>
      <c r="N172">
        <v>31.390339699999998</v>
      </c>
      <c r="O172">
        <v>35.248721987286402</v>
      </c>
      <c r="P172">
        <v>460.05213204372899</v>
      </c>
      <c r="Q172">
        <v>1105.6287720349201</v>
      </c>
      <c r="R172">
        <v>2929.9162458925298</v>
      </c>
      <c r="S172">
        <v>136</v>
      </c>
      <c r="T172">
        <v>0.1</v>
      </c>
      <c r="U172">
        <v>0</v>
      </c>
    </row>
    <row r="173" spans="1:21" x14ac:dyDescent="0.25">
      <c r="A173" t="s">
        <v>131</v>
      </c>
      <c r="B173" t="s">
        <v>132</v>
      </c>
      <c r="C173">
        <v>3</v>
      </c>
      <c r="D173">
        <v>2</v>
      </c>
      <c r="E173">
        <v>6</v>
      </c>
      <c r="F173">
        <v>1548.9065129999999</v>
      </c>
      <c r="G173">
        <v>4104.6022599999997</v>
      </c>
      <c r="H173">
        <v>644.50000009999997</v>
      </c>
      <c r="I173">
        <v>0.64449999999999996</v>
      </c>
      <c r="J173">
        <v>6.445E-4</v>
      </c>
      <c r="K173">
        <v>1.4208775899999999</v>
      </c>
      <c r="L173">
        <v>1.4E-2</v>
      </c>
      <c r="M173">
        <v>2.9</v>
      </c>
      <c r="N173">
        <v>40.547469309999997</v>
      </c>
      <c r="O173">
        <v>31.9354245156124</v>
      </c>
      <c r="P173">
        <v>322.49192680133098</v>
      </c>
      <c r="Q173">
        <v>775.03467147640299</v>
      </c>
      <c r="R173">
        <v>2053.84187941247</v>
      </c>
      <c r="S173">
        <v>45.7</v>
      </c>
      <c r="T173">
        <v>0.2</v>
      </c>
      <c r="U173">
        <v>0</v>
      </c>
    </row>
    <row r="174" spans="1:21" x14ac:dyDescent="0.25">
      <c r="A174" t="s">
        <v>133</v>
      </c>
      <c r="B174" t="s">
        <v>134</v>
      </c>
      <c r="C174">
        <v>3</v>
      </c>
      <c r="D174">
        <v>3</v>
      </c>
      <c r="E174">
        <v>9</v>
      </c>
      <c r="F174">
        <v>1800</v>
      </c>
      <c r="G174">
        <v>4770</v>
      </c>
      <c r="H174">
        <v>748.98</v>
      </c>
      <c r="I174">
        <v>0.74897999999999998</v>
      </c>
      <c r="J174">
        <v>7.4898E-4</v>
      </c>
      <c r="K174">
        <v>1.6512162880000001</v>
      </c>
      <c r="L174">
        <v>1.2699999999999999E-2</v>
      </c>
      <c r="M174">
        <v>3.1</v>
      </c>
      <c r="N174">
        <v>34.587938440000002</v>
      </c>
      <c r="O174">
        <v>67.651058789571707</v>
      </c>
      <c r="P174">
        <v>5993.1476155814598</v>
      </c>
      <c r="Q174">
        <v>14403.1425512652</v>
      </c>
      <c r="R174">
        <v>38168.327760852902</v>
      </c>
      <c r="S174">
        <v>114</v>
      </c>
      <c r="T174">
        <v>0.1</v>
      </c>
      <c r="U174">
        <v>0</v>
      </c>
    </row>
    <row r="175" spans="1:21" x14ac:dyDescent="0.25">
      <c r="A175" t="s">
        <v>127</v>
      </c>
      <c r="B175" t="s">
        <v>128</v>
      </c>
      <c r="C175">
        <v>3</v>
      </c>
      <c r="D175">
        <v>2</v>
      </c>
      <c r="E175">
        <v>6</v>
      </c>
      <c r="F175">
        <v>1548.9065129999999</v>
      </c>
      <c r="G175">
        <v>4104.6022599999997</v>
      </c>
      <c r="H175">
        <v>644.50000009999997</v>
      </c>
      <c r="I175">
        <v>0.64449999999999996</v>
      </c>
      <c r="J175">
        <v>6.445E-4</v>
      </c>
      <c r="K175">
        <v>1.4208775899999999</v>
      </c>
      <c r="L175">
        <v>1.4E-2</v>
      </c>
      <c r="M175">
        <v>3</v>
      </c>
      <c r="N175">
        <v>35.839749210000001</v>
      </c>
      <c r="O175">
        <v>52.666089209578203</v>
      </c>
      <c r="P175">
        <v>2045.13154257155</v>
      </c>
      <c r="Q175">
        <v>4915.0001023108598</v>
      </c>
      <c r="R175">
        <v>13024.750271123799</v>
      </c>
      <c r="S175">
        <v>62.2</v>
      </c>
      <c r="T175">
        <v>0.31</v>
      </c>
      <c r="U175">
        <v>-0.05</v>
      </c>
    </row>
    <row r="176" spans="1:21" x14ac:dyDescent="0.25">
      <c r="A176" t="s">
        <v>135</v>
      </c>
      <c r="B176" t="s">
        <v>136</v>
      </c>
      <c r="C176">
        <v>3</v>
      </c>
      <c r="D176">
        <v>2</v>
      </c>
      <c r="E176">
        <v>6</v>
      </c>
      <c r="F176">
        <v>1548.9065129999999</v>
      </c>
      <c r="G176">
        <v>4104.6022599999997</v>
      </c>
      <c r="H176">
        <v>644.50000009999997</v>
      </c>
      <c r="I176">
        <v>0.64449999999999996</v>
      </c>
      <c r="J176">
        <v>6.445E-4</v>
      </c>
      <c r="K176">
        <v>1.4208775899999999</v>
      </c>
      <c r="L176">
        <v>1.2E-2</v>
      </c>
      <c r="M176">
        <v>3</v>
      </c>
      <c r="N176">
        <v>37.729457320000002</v>
      </c>
      <c r="O176">
        <v>27.097078539430701</v>
      </c>
      <c r="P176">
        <v>238.75290053153901</v>
      </c>
      <c r="Q176">
        <v>573.78731202004099</v>
      </c>
      <c r="R176">
        <v>1520.5363768531099</v>
      </c>
      <c r="S176">
        <v>60.5</v>
      </c>
      <c r="T176">
        <v>9.9000000000000005E-2</v>
      </c>
      <c r="U176">
        <v>0</v>
      </c>
    </row>
    <row r="177" spans="1:21" x14ac:dyDescent="0.25">
      <c r="A177" t="s">
        <v>129</v>
      </c>
      <c r="B177" t="s">
        <v>130</v>
      </c>
      <c r="C177">
        <v>3</v>
      </c>
      <c r="D177">
        <v>2</v>
      </c>
      <c r="E177">
        <v>6</v>
      </c>
      <c r="F177">
        <v>732.42009129999997</v>
      </c>
      <c r="G177">
        <v>1940.9132420000001</v>
      </c>
      <c r="H177">
        <v>304.76</v>
      </c>
      <c r="I177">
        <v>0.30475999999999998</v>
      </c>
      <c r="J177">
        <v>3.0476E-4</v>
      </c>
      <c r="K177">
        <v>0.67187999099999995</v>
      </c>
      <c r="L177">
        <v>1.2500000000000001E-2</v>
      </c>
      <c r="M177">
        <v>2.88</v>
      </c>
      <c r="N177">
        <v>33.364186400000001</v>
      </c>
      <c r="O177">
        <v>35.929953327105402</v>
      </c>
      <c r="P177">
        <v>377.24646058580998</v>
      </c>
      <c r="Q177">
        <v>906.624514745998</v>
      </c>
      <c r="R177">
        <v>2402.55496407689</v>
      </c>
      <c r="S177">
        <v>158</v>
      </c>
      <c r="T177">
        <v>4.2999999999999997E-2</v>
      </c>
      <c r="U177">
        <v>0</v>
      </c>
    </row>
    <row r="178" spans="1:21" x14ac:dyDescent="0.25">
      <c r="A178" t="s">
        <v>137</v>
      </c>
      <c r="B178" t="s">
        <v>138</v>
      </c>
      <c r="C178">
        <v>3</v>
      </c>
      <c r="D178">
        <v>1</v>
      </c>
      <c r="E178">
        <v>3</v>
      </c>
      <c r="F178">
        <v>518.3850036</v>
      </c>
      <c r="G178">
        <v>1373.7202600000001</v>
      </c>
      <c r="H178">
        <v>215.7</v>
      </c>
      <c r="I178">
        <v>0.2157</v>
      </c>
      <c r="J178">
        <v>2.1570000000000001E-4</v>
      </c>
      <c r="K178">
        <v>0.47553653400000001</v>
      </c>
      <c r="L178">
        <v>1.2500000000000001E-2</v>
      </c>
      <c r="M178">
        <v>2.82</v>
      </c>
      <c r="N178">
        <v>31.802483779999999</v>
      </c>
      <c r="O178">
        <v>31.697768259799201</v>
      </c>
      <c r="P178">
        <v>213.70314200022801</v>
      </c>
      <c r="Q178">
        <v>513.58601778473405</v>
      </c>
      <c r="R178">
        <v>1361.00294712954</v>
      </c>
      <c r="S178">
        <v>50</v>
      </c>
      <c r="T178">
        <v>0.33500000000000002</v>
      </c>
      <c r="U178">
        <v>0</v>
      </c>
    </row>
    <row r="179" spans="1:21" x14ac:dyDescent="0.25">
      <c r="A179" t="s">
        <v>21</v>
      </c>
      <c r="B179" t="s">
        <v>22</v>
      </c>
      <c r="C179">
        <v>4</v>
      </c>
      <c r="D179">
        <v>1</v>
      </c>
      <c r="E179">
        <v>4</v>
      </c>
      <c r="F179">
        <v>164.56380680000001</v>
      </c>
      <c r="G179">
        <v>436.094088</v>
      </c>
      <c r="H179">
        <v>68.475000010000002</v>
      </c>
      <c r="I179">
        <v>6.8474999999999994E-2</v>
      </c>
      <c r="J179">
        <v>6.8499999999999998E-5</v>
      </c>
      <c r="K179">
        <v>0.15096135499999999</v>
      </c>
      <c r="L179">
        <v>1.6E-2</v>
      </c>
      <c r="M179">
        <v>3</v>
      </c>
      <c r="N179">
        <v>16.235687599999999</v>
      </c>
      <c r="O179">
        <v>9.3036381492847298</v>
      </c>
      <c r="P179">
        <v>12.8848217588975</v>
      </c>
      <c r="Q179">
        <v>30.9656855537071</v>
      </c>
      <c r="R179">
        <v>82.059066717323901</v>
      </c>
      <c r="S179">
        <v>13.8</v>
      </c>
      <c r="T179">
        <v>0.21</v>
      </c>
      <c r="U179">
        <v>-1.34</v>
      </c>
    </row>
    <row r="180" spans="1:21" x14ac:dyDescent="0.25">
      <c r="A180" t="s">
        <v>95</v>
      </c>
      <c r="B180" s="2" t="s">
        <v>96</v>
      </c>
      <c r="C180">
        <v>4</v>
      </c>
      <c r="D180">
        <v>2</v>
      </c>
      <c r="E180">
        <v>8</v>
      </c>
      <c r="F180">
        <v>1115.2006730000001</v>
      </c>
      <c r="G180">
        <v>2955.281782</v>
      </c>
      <c r="H180">
        <v>464.03500000000003</v>
      </c>
      <c r="I180">
        <v>0.46403499999999998</v>
      </c>
      <c r="J180">
        <v>4.6403500000000001E-4</v>
      </c>
      <c r="K180">
        <v>1.023020842</v>
      </c>
      <c r="L180">
        <v>0.01</v>
      </c>
      <c r="M180">
        <v>3</v>
      </c>
      <c r="N180">
        <v>32.51414389</v>
      </c>
      <c r="O180">
        <v>108.542073552727</v>
      </c>
      <c r="P180">
        <v>17263.470632569901</v>
      </c>
      <c r="Q180">
        <v>41488.754223912299</v>
      </c>
      <c r="R180">
        <v>109945.198693367</v>
      </c>
      <c r="S180">
        <v>136</v>
      </c>
      <c r="T180">
        <v>0.2</v>
      </c>
      <c r="U180">
        <v>0</v>
      </c>
    </row>
    <row r="181" spans="1:21" x14ac:dyDescent="0.25">
      <c r="A181" t="s">
        <v>101</v>
      </c>
      <c r="B181" t="s">
        <v>102</v>
      </c>
      <c r="C181">
        <v>4</v>
      </c>
      <c r="D181">
        <v>2</v>
      </c>
      <c r="E181">
        <v>8</v>
      </c>
      <c r="F181">
        <v>1115.2006730000001</v>
      </c>
      <c r="G181">
        <v>2955.281782</v>
      </c>
      <c r="H181">
        <v>464.03500000000003</v>
      </c>
      <c r="I181">
        <v>0.46403499999999998</v>
      </c>
      <c r="J181">
        <v>4.6403500000000001E-4</v>
      </c>
      <c r="K181">
        <v>1.023020842</v>
      </c>
      <c r="L181">
        <v>1.2E-2</v>
      </c>
      <c r="M181">
        <v>3.1</v>
      </c>
      <c r="N181">
        <v>30.185377429999999</v>
      </c>
      <c r="O181" s="2">
        <v>64.902369224822905</v>
      </c>
      <c r="P181" s="2">
        <v>4979.5368821648699</v>
      </c>
      <c r="Q181" s="2">
        <v>11967.163860045401</v>
      </c>
      <c r="R181" s="2">
        <v>31712.9842291202</v>
      </c>
      <c r="S181">
        <v>150.03333333333299</v>
      </c>
      <c r="T181">
        <v>0.11333333333333299</v>
      </c>
      <c r="U181">
        <v>3</v>
      </c>
    </row>
    <row r="182" spans="1:21" x14ac:dyDescent="0.25">
      <c r="A182" t="s">
        <v>37</v>
      </c>
      <c r="B182" t="s">
        <v>38</v>
      </c>
      <c r="C182">
        <v>4</v>
      </c>
      <c r="D182">
        <v>9</v>
      </c>
      <c r="E182">
        <v>36</v>
      </c>
      <c r="F182">
        <v>1772515152</v>
      </c>
      <c r="G182">
        <v>4697165152</v>
      </c>
      <c r="H182">
        <v>737543554.70000005</v>
      </c>
      <c r="I182">
        <v>737543.55469999998</v>
      </c>
      <c r="J182">
        <v>737.54355469999996</v>
      </c>
      <c r="K182">
        <v>1626003.2720000001</v>
      </c>
      <c r="L182" s="2">
        <v>6.0000000000000001E-3</v>
      </c>
      <c r="M182">
        <v>3</v>
      </c>
      <c r="N182">
        <v>1544.9670639999999</v>
      </c>
      <c r="O182" s="2">
        <v>2097.35996915436</v>
      </c>
      <c r="P182" s="2">
        <v>55356697.698107503</v>
      </c>
      <c r="Q182" s="2">
        <v>133037004.801989</v>
      </c>
      <c r="R182" s="2">
        <v>352548062.72526997</v>
      </c>
      <c r="S182" s="2">
        <v>2097.36</v>
      </c>
      <c r="T182" s="2">
        <v>0.5</v>
      </c>
      <c r="U182" s="2">
        <v>0</v>
      </c>
    </row>
    <row r="183" spans="1:21" x14ac:dyDescent="0.25">
      <c r="A183" s="2" t="s">
        <v>31</v>
      </c>
      <c r="B183" t="s">
        <v>32</v>
      </c>
      <c r="C183">
        <v>4</v>
      </c>
      <c r="D183">
        <v>1</v>
      </c>
      <c r="E183">
        <v>4</v>
      </c>
      <c r="F183">
        <v>164.56380680000001</v>
      </c>
      <c r="G183">
        <v>436.094088</v>
      </c>
      <c r="H183">
        <v>68.475000009479999</v>
      </c>
      <c r="I183">
        <v>6.8475000009479994E-2</v>
      </c>
      <c r="J183">
        <v>6.8475000009480004E-5</v>
      </c>
      <c r="K183">
        <v>0.15096135452090001</v>
      </c>
      <c r="L183" s="3">
        <v>1.1599999999999999E-2</v>
      </c>
      <c r="M183" s="3">
        <v>3</v>
      </c>
      <c r="N183">
        <v>18.072768429706201</v>
      </c>
      <c r="O183" s="2">
        <v>28.455634422780999</v>
      </c>
      <c r="P183" s="2">
        <v>267.27775043602998</v>
      </c>
      <c r="Q183" s="2">
        <v>642.34018369629803</v>
      </c>
      <c r="R183" s="2">
        <v>1702.20148679519</v>
      </c>
      <c r="S183" s="2">
        <v>29.1726666666667</v>
      </c>
      <c r="T183" s="2">
        <v>0.92646666666666699</v>
      </c>
      <c r="U183" s="2">
        <v>0</v>
      </c>
    </row>
    <row r="184" spans="1:21" x14ac:dyDescent="0.25">
      <c r="A184" t="s">
        <v>25</v>
      </c>
      <c r="B184" t="s">
        <v>26</v>
      </c>
      <c r="C184">
        <v>4</v>
      </c>
      <c r="D184">
        <v>3</v>
      </c>
      <c r="E184">
        <v>12</v>
      </c>
      <c r="F184">
        <v>157775.1923</v>
      </c>
      <c r="G184">
        <v>418104.2597</v>
      </c>
      <c r="H184">
        <v>65650.257519999999</v>
      </c>
      <c r="I184">
        <v>65.650257519999997</v>
      </c>
      <c r="J184">
        <v>6.5650258000000003E-2</v>
      </c>
      <c r="K184">
        <v>144.73387070000001</v>
      </c>
      <c r="L184">
        <v>2.1399999999999999E-2</v>
      </c>
      <c r="M184">
        <v>2.96</v>
      </c>
      <c r="N184">
        <v>155.41543279999999</v>
      </c>
      <c r="O184">
        <v>216.681918423838</v>
      </c>
      <c r="P184">
        <v>175569.42327319901</v>
      </c>
      <c r="Q184">
        <v>421940.45487430599</v>
      </c>
      <c r="R184">
        <v>1118142.2054169099</v>
      </c>
      <c r="S184">
        <v>358.7</v>
      </c>
      <c r="T184">
        <v>9.1999999999999998E-2</v>
      </c>
      <c r="U184">
        <v>-1.929</v>
      </c>
    </row>
    <row r="185" spans="1:21" x14ac:dyDescent="0.25">
      <c r="A185" t="s">
        <v>33</v>
      </c>
      <c r="B185" t="s">
        <v>34</v>
      </c>
      <c r="C185">
        <v>4</v>
      </c>
      <c r="D185">
        <v>2</v>
      </c>
      <c r="E185">
        <v>8</v>
      </c>
      <c r="F185">
        <v>1115.2006730000001</v>
      </c>
      <c r="G185">
        <v>2955.281782</v>
      </c>
      <c r="H185">
        <v>464.03500000000003</v>
      </c>
      <c r="I185">
        <v>0.46403499999999998</v>
      </c>
      <c r="J185">
        <v>4.6403500000000001E-4</v>
      </c>
      <c r="K185">
        <v>1.023020842</v>
      </c>
      <c r="L185">
        <v>1.4999999999999999E-2</v>
      </c>
      <c r="M185">
        <v>3</v>
      </c>
      <c r="N185">
        <v>31.392060780000001</v>
      </c>
      <c r="O185">
        <v>48.294411378158401</v>
      </c>
      <c r="P185">
        <v>1689.5921790812799</v>
      </c>
      <c r="Q185">
        <v>4060.5435690489899</v>
      </c>
      <c r="R185">
        <v>10760.440457979799</v>
      </c>
      <c r="S185" s="4">
        <v>58.9</v>
      </c>
      <c r="T185" s="4">
        <v>0.22</v>
      </c>
      <c r="U185" s="4">
        <v>0.20699999999999999</v>
      </c>
    </row>
    <row r="186" spans="1:21" x14ac:dyDescent="0.25">
      <c r="A186" t="s">
        <v>29</v>
      </c>
      <c r="B186" t="s">
        <v>30</v>
      </c>
      <c r="C186">
        <v>4</v>
      </c>
      <c r="D186">
        <v>7</v>
      </c>
      <c r="E186" s="2">
        <v>28</v>
      </c>
      <c r="F186">
        <v>32899.059300000001</v>
      </c>
      <c r="G186">
        <v>87183.557100000005</v>
      </c>
      <c r="H186">
        <v>13689.298570000001</v>
      </c>
      <c r="I186">
        <v>13.68929857</v>
      </c>
      <c r="J186">
        <v>1.3689299E-2</v>
      </c>
      <c r="K186">
        <v>30.179701420000001</v>
      </c>
      <c r="L186">
        <v>3.2499999999999999E-3</v>
      </c>
      <c r="M186">
        <v>3</v>
      </c>
      <c r="N186">
        <v>161.49755250000001</v>
      </c>
      <c r="O186">
        <v>280.56823625707199</v>
      </c>
      <c r="P186">
        <v>71779.2418875851</v>
      </c>
      <c r="Q186">
        <v>172504.78704057899</v>
      </c>
      <c r="R186">
        <v>457137.68565753498</v>
      </c>
      <c r="S186">
        <v>282</v>
      </c>
      <c r="T186">
        <v>0.18</v>
      </c>
      <c r="U186">
        <v>-1.35</v>
      </c>
    </row>
    <row r="187" spans="1:21" x14ac:dyDescent="0.25">
      <c r="A187" t="s">
        <v>23</v>
      </c>
      <c r="B187" t="s">
        <v>24</v>
      </c>
      <c r="C187">
        <v>4</v>
      </c>
      <c r="D187">
        <v>3</v>
      </c>
      <c r="E187">
        <v>12</v>
      </c>
      <c r="F187">
        <v>157775.1923</v>
      </c>
      <c r="G187">
        <v>418104.2597</v>
      </c>
      <c r="H187">
        <v>65650.257519999999</v>
      </c>
      <c r="I187">
        <v>65.650257519999997</v>
      </c>
      <c r="J187">
        <v>6.5650258000000003E-2</v>
      </c>
      <c r="K187">
        <v>144.73387070000001</v>
      </c>
      <c r="L187">
        <v>2.5999999999999999E-2</v>
      </c>
      <c r="M187">
        <v>3</v>
      </c>
      <c r="N187">
        <v>197.1142183</v>
      </c>
      <c r="O187">
        <v>195.219567489963</v>
      </c>
      <c r="P187">
        <v>63904.800593289401</v>
      </c>
      <c r="Q187">
        <v>153580.39075532201</v>
      </c>
      <c r="R187">
        <v>406988.03550160298</v>
      </c>
      <c r="S187">
        <v>314.89999999999998</v>
      </c>
      <c r="T187">
        <v>8.8999999999999996E-2</v>
      </c>
      <c r="U187">
        <v>-1.1299999999999999</v>
      </c>
    </row>
    <row r="188" spans="1:21" x14ac:dyDescent="0.25">
      <c r="A188" t="s">
        <v>27</v>
      </c>
      <c r="B188" t="s">
        <v>28</v>
      </c>
      <c r="C188">
        <v>4</v>
      </c>
      <c r="D188">
        <v>1</v>
      </c>
      <c r="E188">
        <v>4</v>
      </c>
      <c r="F188">
        <v>5996.8757509999996</v>
      </c>
      <c r="G188">
        <v>15891.720740000001</v>
      </c>
      <c r="H188">
        <v>2495.3000000000002</v>
      </c>
      <c r="I188">
        <v>2.4952999999999999</v>
      </c>
      <c r="J188">
        <v>2.4953000000000002E-3</v>
      </c>
      <c r="K188">
        <v>5.5011882859999996</v>
      </c>
      <c r="L188">
        <v>1.0999999999999999E-2</v>
      </c>
      <c r="M188">
        <v>2.9</v>
      </c>
      <c r="N188">
        <v>70.275424290000004</v>
      </c>
      <c r="O188">
        <v>60.031760443786702</v>
      </c>
      <c r="P188">
        <v>1580.14817967457</v>
      </c>
      <c r="Q188">
        <v>3797.5202587709</v>
      </c>
      <c r="R188">
        <v>10063.4286857429</v>
      </c>
      <c r="S188">
        <v>81.53</v>
      </c>
      <c r="T188">
        <v>0.31</v>
      </c>
      <c r="U188">
        <v>-0.3</v>
      </c>
    </row>
    <row r="189" spans="1:21" x14ac:dyDescent="0.25">
      <c r="A189" t="s">
        <v>35</v>
      </c>
      <c r="B189" t="s">
        <v>36</v>
      </c>
      <c r="C189">
        <v>4</v>
      </c>
      <c r="D189">
        <v>1</v>
      </c>
      <c r="E189">
        <v>4</v>
      </c>
      <c r="F189">
        <v>164.56380680000001</v>
      </c>
      <c r="G189">
        <v>436.094088</v>
      </c>
      <c r="H189">
        <v>68.475000010000002</v>
      </c>
      <c r="I189">
        <v>6.8474999999999994E-2</v>
      </c>
      <c r="J189">
        <v>6.8499999999999998E-5</v>
      </c>
      <c r="K189">
        <v>0.15096135499999999</v>
      </c>
      <c r="L189">
        <v>2.1000000000000001E-2</v>
      </c>
      <c r="M189">
        <v>3</v>
      </c>
      <c r="N189">
        <v>14.82873994</v>
      </c>
      <c r="O189">
        <v>20.385323357724399</v>
      </c>
      <c r="P189">
        <v>177.89842738929701</v>
      </c>
      <c r="Q189">
        <v>427.53767697499899</v>
      </c>
      <c r="R189">
        <v>1132.9748439837499</v>
      </c>
      <c r="S189" s="4">
        <v>21.02</v>
      </c>
      <c r="T189" s="4">
        <v>0.86</v>
      </c>
      <c r="U189" s="4">
        <v>-6.9989999999999997E-2</v>
      </c>
    </row>
    <row r="190" spans="1:21" x14ac:dyDescent="0.25">
      <c r="A190" t="s">
        <v>39</v>
      </c>
      <c r="B190" t="s">
        <v>40</v>
      </c>
      <c r="C190">
        <v>4</v>
      </c>
      <c r="D190">
        <v>2</v>
      </c>
      <c r="E190">
        <v>8</v>
      </c>
      <c r="F190">
        <v>14625.69094</v>
      </c>
      <c r="G190">
        <v>38758.080979999999</v>
      </c>
      <c r="H190">
        <v>6085.75</v>
      </c>
      <c r="I190">
        <v>6.08575</v>
      </c>
      <c r="J190">
        <v>6.08575E-3</v>
      </c>
      <c r="K190">
        <v>13.416766170000001</v>
      </c>
      <c r="L190">
        <v>1.2E-2</v>
      </c>
      <c r="M190">
        <v>3</v>
      </c>
      <c r="N190">
        <v>79.746375599999993</v>
      </c>
      <c r="O190">
        <v>87.425158113596197</v>
      </c>
      <c r="P190">
        <v>8018.4518441494702</v>
      </c>
      <c r="Q190">
        <v>19270.492295480599</v>
      </c>
      <c r="R190">
        <v>51066.804583023499</v>
      </c>
      <c r="S190">
        <v>150.93</v>
      </c>
      <c r="T190">
        <v>0.11</v>
      </c>
      <c r="U190">
        <v>0.13</v>
      </c>
    </row>
    <row r="191" spans="1:21" x14ac:dyDescent="0.25">
      <c r="A191" t="s">
        <v>45</v>
      </c>
      <c r="B191" t="s">
        <v>46</v>
      </c>
      <c r="C191">
        <v>4</v>
      </c>
      <c r="D191">
        <v>5</v>
      </c>
      <c r="E191">
        <v>20</v>
      </c>
      <c r="F191">
        <v>6322.386939</v>
      </c>
      <c r="G191">
        <v>16754.325390000002</v>
      </c>
      <c r="H191">
        <v>2630.7452050000002</v>
      </c>
      <c r="I191">
        <v>2.6307452050000002</v>
      </c>
      <c r="J191">
        <v>2.6307449999999999E-3</v>
      </c>
      <c r="K191">
        <v>5.7997934950000003</v>
      </c>
      <c r="L191">
        <v>3.96E-3</v>
      </c>
      <c r="M191">
        <v>3.2</v>
      </c>
      <c r="N191">
        <v>65.99254474</v>
      </c>
      <c r="O191" s="2">
        <v>295.71252572623899</v>
      </c>
      <c r="P191" s="2">
        <v>319505.46579705598</v>
      </c>
      <c r="Q191" s="2">
        <v>767857.40398235095</v>
      </c>
      <c r="R191" s="2">
        <v>2034822.1205532299</v>
      </c>
      <c r="S191" s="2">
        <v>300.78571428571399</v>
      </c>
      <c r="T191" s="2">
        <v>0.24014285714285699</v>
      </c>
      <c r="U191" s="2">
        <v>3</v>
      </c>
    </row>
    <row r="192" spans="1:21" x14ac:dyDescent="0.25">
      <c r="A192" t="s">
        <v>43</v>
      </c>
      <c r="B192" t="s">
        <v>44</v>
      </c>
      <c r="C192">
        <v>4</v>
      </c>
      <c r="D192">
        <v>2</v>
      </c>
      <c r="E192">
        <v>8</v>
      </c>
      <c r="F192">
        <v>1115.2006730000001</v>
      </c>
      <c r="G192">
        <v>2955.281782</v>
      </c>
      <c r="H192">
        <v>464.03500000000003</v>
      </c>
      <c r="I192">
        <v>0.46403499999999998</v>
      </c>
      <c r="J192">
        <v>4.6403500000000001E-4</v>
      </c>
      <c r="K192">
        <v>1.023020842</v>
      </c>
      <c r="L192">
        <v>1.44E-2</v>
      </c>
      <c r="M192">
        <v>3</v>
      </c>
      <c r="N192">
        <v>31.822142450000001</v>
      </c>
      <c r="O192" s="2">
        <v>46.310821547799101</v>
      </c>
      <c r="P192" s="2">
        <v>1430.2433865410001</v>
      </c>
      <c r="Q192" s="2">
        <v>3437.2587996659399</v>
      </c>
      <c r="R192" s="2">
        <v>9108.7358191147505</v>
      </c>
      <c r="S192" s="2">
        <v>47.633333333333297</v>
      </c>
      <c r="T192" s="2">
        <v>0.44800000000000001</v>
      </c>
      <c r="U192" s="2">
        <v>0</v>
      </c>
    </row>
    <row r="193" spans="1:21" x14ac:dyDescent="0.25">
      <c r="A193" t="s">
        <v>53</v>
      </c>
      <c r="B193" t="s">
        <v>54</v>
      </c>
      <c r="C193">
        <v>4</v>
      </c>
      <c r="D193">
        <v>2</v>
      </c>
      <c r="E193">
        <v>8</v>
      </c>
      <c r="F193">
        <v>2095.4578219999999</v>
      </c>
      <c r="G193">
        <v>5552.9632300000003</v>
      </c>
      <c r="H193">
        <v>871.91999969999995</v>
      </c>
      <c r="I193">
        <v>0.87192000000000003</v>
      </c>
      <c r="J193">
        <v>8.7191999999999999E-4</v>
      </c>
      <c r="K193">
        <v>1.92225227</v>
      </c>
      <c r="L193">
        <v>1.2E-2</v>
      </c>
      <c r="M193">
        <v>2.95</v>
      </c>
      <c r="N193">
        <v>44.45255659</v>
      </c>
      <c r="O193">
        <v>30.476908144904201</v>
      </c>
      <c r="P193">
        <v>286.34883404136099</v>
      </c>
      <c r="Q193">
        <v>688.17311713857498</v>
      </c>
      <c r="R193">
        <v>1823.65876041722</v>
      </c>
      <c r="S193">
        <v>41</v>
      </c>
      <c r="T193">
        <v>0.17</v>
      </c>
      <c r="U193">
        <v>0</v>
      </c>
    </row>
    <row r="194" spans="1:21" x14ac:dyDescent="0.25">
      <c r="A194" t="s">
        <v>57</v>
      </c>
      <c r="B194" t="s">
        <v>58</v>
      </c>
      <c r="C194">
        <v>4</v>
      </c>
      <c r="D194">
        <v>2</v>
      </c>
      <c r="E194">
        <v>8</v>
      </c>
      <c r="F194">
        <v>5681.3266039999999</v>
      </c>
      <c r="G194">
        <v>15055.5155</v>
      </c>
      <c r="H194">
        <v>2364</v>
      </c>
      <c r="I194">
        <v>2.3639999999999999</v>
      </c>
      <c r="J194">
        <v>2.3640000000000002E-3</v>
      </c>
      <c r="K194">
        <v>5.2117216800000001</v>
      </c>
      <c r="L194">
        <v>4.0000000000000001E-3</v>
      </c>
      <c r="M194">
        <v>3.1</v>
      </c>
      <c r="N194">
        <v>58.513375859999996</v>
      </c>
      <c r="O194">
        <v>69.928435329977106</v>
      </c>
      <c r="P194">
        <v>4034.99907909485</v>
      </c>
      <c r="Q194">
        <v>9697.1859627369704</v>
      </c>
      <c r="R194">
        <v>25697.542801252999</v>
      </c>
      <c r="S194">
        <v>72.900000000000006</v>
      </c>
      <c r="T194">
        <v>0.4</v>
      </c>
      <c r="U194">
        <v>0</v>
      </c>
    </row>
    <row r="195" spans="1:21" x14ac:dyDescent="0.25">
      <c r="A195" t="s">
        <v>59</v>
      </c>
      <c r="B195" t="s">
        <v>60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61</v>
      </c>
      <c r="B196" t="s">
        <v>62</v>
      </c>
      <c r="C196">
        <v>4</v>
      </c>
      <c r="D196">
        <v>1</v>
      </c>
      <c r="E196">
        <v>4</v>
      </c>
      <c r="F196">
        <v>197.62076429999999</v>
      </c>
      <c r="G196">
        <v>523.6950253</v>
      </c>
      <c r="H196">
        <v>82.230000029999999</v>
      </c>
      <c r="I196">
        <v>8.2229999999999998E-2</v>
      </c>
      <c r="J196">
        <v>8.2200000000000006E-5</v>
      </c>
      <c r="K196">
        <v>0.181285903</v>
      </c>
      <c r="L196">
        <v>1.2500000000000001E-2</v>
      </c>
      <c r="M196">
        <v>3</v>
      </c>
      <c r="N196">
        <v>18.73728916</v>
      </c>
      <c r="O196">
        <v>22.527025878949601</v>
      </c>
      <c r="P196">
        <v>142.89649844085301</v>
      </c>
      <c r="Q196">
        <v>343.418645616086</v>
      </c>
      <c r="R196">
        <v>910.05941088262796</v>
      </c>
      <c r="S196">
        <v>33.700000000000003</v>
      </c>
      <c r="T196">
        <v>0.32</v>
      </c>
      <c r="U196">
        <v>0.55000000000000004</v>
      </c>
    </row>
    <row r="197" spans="1:21" x14ac:dyDescent="0.25">
      <c r="A197" t="s">
        <v>63</v>
      </c>
      <c r="B197" t="s">
        <v>64</v>
      </c>
      <c r="C197">
        <v>4</v>
      </c>
      <c r="D197">
        <v>2</v>
      </c>
      <c r="E197">
        <v>8</v>
      </c>
      <c r="F197">
        <v>1115.2006730000001</v>
      </c>
      <c r="G197">
        <v>2955.281782</v>
      </c>
      <c r="H197">
        <v>464.03500000000003</v>
      </c>
      <c r="I197">
        <v>0.46403499999999998</v>
      </c>
      <c r="J197">
        <v>4.6403500000000001E-4</v>
      </c>
      <c r="K197">
        <v>1.023020842</v>
      </c>
      <c r="L197">
        <v>1.2E-2</v>
      </c>
      <c r="M197">
        <v>3.1</v>
      </c>
      <c r="N197">
        <v>30.185377429999999</v>
      </c>
      <c r="O197">
        <v>41.533424555676298</v>
      </c>
      <c r="P197">
        <v>1247.9990208489401</v>
      </c>
      <c r="Q197">
        <v>2999.27666630363</v>
      </c>
      <c r="R197">
        <v>7948.0831657046101</v>
      </c>
      <c r="S197">
        <v>42.5</v>
      </c>
      <c r="T197">
        <v>0.47</v>
      </c>
      <c r="U197">
        <v>0.05</v>
      </c>
    </row>
    <row r="198" spans="1:21" x14ac:dyDescent="0.25">
      <c r="A198" t="s">
        <v>65</v>
      </c>
      <c r="B198" t="s">
        <v>66</v>
      </c>
      <c r="C198">
        <v>4</v>
      </c>
      <c r="D198">
        <v>3</v>
      </c>
      <c r="E198">
        <v>12</v>
      </c>
      <c r="F198">
        <v>3129.99</v>
      </c>
      <c r="G198">
        <v>8294.48</v>
      </c>
      <c r="H198">
        <v>1302.388839</v>
      </c>
      <c r="I198">
        <v>1.302388839</v>
      </c>
      <c r="J198">
        <v>1.3023889999999999E-3</v>
      </c>
      <c r="K198">
        <v>2.8712724820000002</v>
      </c>
      <c r="L198">
        <v>1.2699999999999999E-2</v>
      </c>
      <c r="M198">
        <v>3.1</v>
      </c>
      <c r="N198">
        <v>41.345787909999999</v>
      </c>
      <c r="O198">
        <v>52.036604903823701</v>
      </c>
      <c r="P198">
        <v>2656.8159932613798</v>
      </c>
      <c r="Q198">
        <v>6385.0420410030802</v>
      </c>
      <c r="R198">
        <v>16920.361408658198</v>
      </c>
      <c r="S198">
        <v>52.7</v>
      </c>
      <c r="T198">
        <v>0.35</v>
      </c>
      <c r="U198">
        <v>-0.5</v>
      </c>
    </row>
    <row r="199" spans="1:21" x14ac:dyDescent="0.25">
      <c r="A199" t="s">
        <v>67</v>
      </c>
      <c r="B199" t="s">
        <v>68</v>
      </c>
      <c r="C199">
        <v>4</v>
      </c>
      <c r="D199">
        <v>1</v>
      </c>
      <c r="E199">
        <v>4</v>
      </c>
      <c r="F199">
        <v>230.06</v>
      </c>
      <c r="G199">
        <v>609.66999999999996</v>
      </c>
      <c r="H199">
        <v>95.727965999999995</v>
      </c>
      <c r="I199">
        <v>9.5727965999999998E-2</v>
      </c>
      <c r="J199">
        <v>9.5699999999999995E-5</v>
      </c>
      <c r="K199">
        <v>0.21104378800000001</v>
      </c>
      <c r="L199">
        <v>1.29E-2</v>
      </c>
      <c r="M199">
        <v>3.05</v>
      </c>
      <c r="N199">
        <v>18.578032220000001</v>
      </c>
      <c r="O199">
        <v>31.769001694483102</v>
      </c>
      <c r="P199">
        <v>491.70043460235098</v>
      </c>
      <c r="Q199">
        <v>1181.6881389145699</v>
      </c>
      <c r="R199">
        <v>3131.4735681236002</v>
      </c>
      <c r="S199">
        <v>40.6</v>
      </c>
      <c r="T199">
        <v>0.27</v>
      </c>
      <c r="U199">
        <v>-1.65</v>
      </c>
    </row>
    <row r="200" spans="1:21" x14ac:dyDescent="0.25">
      <c r="A200" t="s">
        <v>69</v>
      </c>
      <c r="B200" t="s">
        <v>70</v>
      </c>
      <c r="C200">
        <v>4</v>
      </c>
      <c r="D200">
        <v>1</v>
      </c>
      <c r="E200">
        <v>4</v>
      </c>
      <c r="F200">
        <v>242.73011299999999</v>
      </c>
      <c r="G200">
        <v>643.23479940000004</v>
      </c>
      <c r="H200">
        <v>101</v>
      </c>
      <c r="I200">
        <v>0.10100000000000001</v>
      </c>
      <c r="J200">
        <v>1.01E-4</v>
      </c>
      <c r="K200">
        <v>0.22266662000000001</v>
      </c>
      <c r="L200">
        <v>0.01</v>
      </c>
      <c r="M200">
        <v>2.9</v>
      </c>
      <c r="N200">
        <v>24.032584270000001</v>
      </c>
      <c r="O200">
        <v>23.379958000502999</v>
      </c>
      <c r="P200">
        <v>93.249563450422599</v>
      </c>
      <c r="Q200">
        <v>224.10373335838199</v>
      </c>
      <c r="R200">
        <v>593.87489339971205</v>
      </c>
      <c r="S200">
        <v>37.700000000000003</v>
      </c>
      <c r="T200">
        <v>0.24199999999999999</v>
      </c>
      <c r="U200">
        <v>0</v>
      </c>
    </row>
    <row r="201" spans="1:21" x14ac:dyDescent="0.25">
      <c r="A201" s="2" t="s">
        <v>71</v>
      </c>
      <c r="B201" t="s">
        <v>72</v>
      </c>
      <c r="C201">
        <v>4</v>
      </c>
      <c r="D201">
        <v>1</v>
      </c>
      <c r="E201">
        <v>4</v>
      </c>
      <c r="F201">
        <v>5.0829127610000002</v>
      </c>
      <c r="G201">
        <v>13.469718820000001</v>
      </c>
      <c r="H201">
        <v>2.1149999998520999</v>
      </c>
      <c r="I201">
        <v>2.1149999998521002E-3</v>
      </c>
      <c r="J201">
        <v>2.1149999998521001E-6</v>
      </c>
      <c r="K201">
        <v>4.6627712996739398E-3</v>
      </c>
      <c r="L201" s="3">
        <v>1.0999999999999999E-2</v>
      </c>
      <c r="M201" s="3">
        <v>3.01</v>
      </c>
      <c r="N201">
        <v>5.7382126697745797</v>
      </c>
      <c r="O201" s="2">
        <v>7.1298388991625803</v>
      </c>
      <c r="P201" s="2">
        <v>4.0659556123430098</v>
      </c>
      <c r="Q201" s="2">
        <v>9.7715828222615002</v>
      </c>
      <c r="R201" s="2">
        <v>25.894694478992999</v>
      </c>
      <c r="S201">
        <v>9</v>
      </c>
      <c r="T201">
        <v>0.32</v>
      </c>
      <c r="U201">
        <v>-0.91</v>
      </c>
    </row>
    <row r="202" spans="1:21" x14ac:dyDescent="0.25">
      <c r="A202" s="2" t="s">
        <v>49</v>
      </c>
      <c r="B202" t="s">
        <v>50</v>
      </c>
      <c r="C202">
        <v>4</v>
      </c>
      <c r="D202">
        <v>1</v>
      </c>
      <c r="E202">
        <v>4</v>
      </c>
      <c r="F202">
        <v>1115.2006730000001</v>
      </c>
      <c r="G202">
        <v>2955.281782</v>
      </c>
      <c r="H202">
        <v>464.03500003530002</v>
      </c>
      <c r="I202">
        <v>0.46403500003530002</v>
      </c>
      <c r="J202">
        <v>4.6403500003530001E-4</v>
      </c>
      <c r="K202">
        <v>1.0230208417778199</v>
      </c>
      <c r="L202" s="3">
        <v>1.2E-2</v>
      </c>
      <c r="M202" s="3">
        <v>3.1</v>
      </c>
      <c r="N202">
        <v>30.185377428940999</v>
      </c>
      <c r="O202" s="2">
        <v>32.223267476085503</v>
      </c>
      <c r="P202" s="2">
        <v>568.20746158456905</v>
      </c>
      <c r="Q202" s="2">
        <v>1365.55506268822</v>
      </c>
      <c r="R202" s="2">
        <v>3618.7209161237902</v>
      </c>
      <c r="S202" s="2">
        <v>54.3</v>
      </c>
      <c r="T202" s="2">
        <v>0.22500000000000001</v>
      </c>
      <c r="U202" s="2">
        <v>0</v>
      </c>
    </row>
    <row r="203" spans="1:21" x14ac:dyDescent="0.25">
      <c r="A203" t="s">
        <v>55</v>
      </c>
      <c r="B203" t="s">
        <v>56</v>
      </c>
      <c r="C203">
        <v>4</v>
      </c>
      <c r="D203">
        <v>1</v>
      </c>
      <c r="E203">
        <v>4</v>
      </c>
      <c r="F203">
        <v>1113.4342710000001</v>
      </c>
      <c r="G203">
        <v>2950.600817</v>
      </c>
      <c r="H203">
        <v>463.3000002</v>
      </c>
      <c r="I203">
        <v>0.46329999999999999</v>
      </c>
      <c r="J203">
        <v>4.6329999999999999E-4</v>
      </c>
      <c r="K203">
        <v>1.0214004459999999</v>
      </c>
      <c r="L203">
        <v>1.2999999999999999E-2</v>
      </c>
      <c r="M203">
        <v>3</v>
      </c>
      <c r="N203">
        <v>32.908365789999998</v>
      </c>
      <c r="O203">
        <v>47.569631324395502</v>
      </c>
      <c r="P203">
        <v>1399.3704826257199</v>
      </c>
      <c r="Q203">
        <v>3363.0629238781898</v>
      </c>
      <c r="R203">
        <v>8912.1167482772107</v>
      </c>
      <c r="S203">
        <v>152</v>
      </c>
      <c r="T203">
        <v>9.6000000000000002E-2</v>
      </c>
      <c r="U203">
        <v>0.09</v>
      </c>
    </row>
    <row r="204" spans="1:21" x14ac:dyDescent="0.25">
      <c r="A204" t="s">
        <v>75</v>
      </c>
      <c r="B204" t="s">
        <v>76</v>
      </c>
      <c r="C204">
        <v>4</v>
      </c>
      <c r="D204">
        <v>2</v>
      </c>
      <c r="E204">
        <v>8</v>
      </c>
      <c r="F204">
        <v>1115.2006730000001</v>
      </c>
      <c r="G204">
        <v>2955.281782</v>
      </c>
      <c r="H204">
        <v>464.03500000000003</v>
      </c>
      <c r="I204">
        <v>0.46403499999999998</v>
      </c>
      <c r="J204">
        <v>4.6403500000000001E-4</v>
      </c>
      <c r="K204">
        <v>1.023020842</v>
      </c>
      <c r="L204">
        <v>2.5000000000000001E-3</v>
      </c>
      <c r="M204">
        <v>3.1</v>
      </c>
      <c r="N204">
        <v>50.067032159999997</v>
      </c>
      <c r="O204">
        <v>70.167309303645197</v>
      </c>
      <c r="P204">
        <v>1321.16773813174</v>
      </c>
      <c r="Q204">
        <v>3175.12073571675</v>
      </c>
      <c r="R204">
        <v>8414.0699496493799</v>
      </c>
      <c r="S204">
        <v>122</v>
      </c>
      <c r="T204">
        <v>0.107</v>
      </c>
      <c r="U204">
        <v>0</v>
      </c>
    </row>
    <row r="205" spans="1:21" x14ac:dyDescent="0.25">
      <c r="A205" t="s">
        <v>73</v>
      </c>
      <c r="B205" t="s">
        <v>74</v>
      </c>
      <c r="C205">
        <v>4</v>
      </c>
      <c r="D205">
        <v>2</v>
      </c>
      <c r="E205">
        <v>8</v>
      </c>
      <c r="F205">
        <v>1115.2006730000001</v>
      </c>
      <c r="G205">
        <v>2955.281782</v>
      </c>
      <c r="H205">
        <v>464.03500000000003</v>
      </c>
      <c r="I205">
        <v>0.46403499999999998</v>
      </c>
      <c r="J205">
        <v>4.6403500000000001E-4</v>
      </c>
      <c r="K205">
        <v>1.023020842</v>
      </c>
      <c r="L205">
        <v>1.4E-2</v>
      </c>
      <c r="M205">
        <v>2.8</v>
      </c>
      <c r="N205">
        <v>41.156333680000003</v>
      </c>
      <c r="O205">
        <v>42.075775142161099</v>
      </c>
      <c r="P205">
        <v>493.64868805058802</v>
      </c>
      <c r="Q205">
        <v>1186.3703149497401</v>
      </c>
      <c r="R205">
        <v>3143.8813346168199</v>
      </c>
      <c r="S205">
        <v>43</v>
      </c>
      <c r="T205">
        <v>0.48</v>
      </c>
      <c r="U205">
        <v>0</v>
      </c>
    </row>
    <row r="206" spans="1:21" x14ac:dyDescent="0.25">
      <c r="A206" s="2" t="s">
        <v>51</v>
      </c>
      <c r="B206" t="s">
        <v>52</v>
      </c>
      <c r="C206">
        <v>4</v>
      </c>
      <c r="D206">
        <v>1</v>
      </c>
      <c r="E206">
        <v>4</v>
      </c>
      <c r="F206">
        <v>2095.4578219999999</v>
      </c>
      <c r="G206">
        <v>5552.9632300000003</v>
      </c>
      <c r="H206">
        <v>871.91999973420002</v>
      </c>
      <c r="I206">
        <v>0.87191999973419998</v>
      </c>
      <c r="J206">
        <v>8.7191999973420002E-4</v>
      </c>
      <c r="K206">
        <v>1.9222522698140101</v>
      </c>
      <c r="L206" s="3">
        <v>1.24E-2</v>
      </c>
      <c r="M206" s="3">
        <v>3.2</v>
      </c>
      <c r="N206">
        <v>32.711817394436999</v>
      </c>
      <c r="O206" s="2">
        <v>11.951381534539401</v>
      </c>
      <c r="P206" s="2">
        <v>34.7663934151836</v>
      </c>
      <c r="Q206" s="2">
        <v>83.552976244132694</v>
      </c>
      <c r="R206" s="2">
        <v>221.41538704695199</v>
      </c>
      <c r="S206">
        <v>20.9</v>
      </c>
      <c r="T206">
        <v>0.19500000000000001</v>
      </c>
      <c r="U206">
        <v>-0.35</v>
      </c>
    </row>
    <row r="207" spans="1:21" x14ac:dyDescent="0.25">
      <c r="A207" t="s">
        <v>85</v>
      </c>
      <c r="B207" t="s">
        <v>86</v>
      </c>
      <c r="C207">
        <v>4</v>
      </c>
      <c r="D207">
        <v>7</v>
      </c>
      <c r="E207">
        <v>28</v>
      </c>
      <c r="F207">
        <v>32899.059300000001</v>
      </c>
      <c r="G207">
        <v>87183.557100000005</v>
      </c>
      <c r="H207">
        <v>13689.298570000001</v>
      </c>
      <c r="I207">
        <v>13.68929857</v>
      </c>
      <c r="J207">
        <v>1.3689299E-2</v>
      </c>
      <c r="K207">
        <v>30.179701420000001</v>
      </c>
      <c r="L207">
        <v>5.2399999999999999E-3</v>
      </c>
      <c r="M207">
        <v>3.141</v>
      </c>
      <c r="N207">
        <v>110.4068024</v>
      </c>
      <c r="O207" s="2">
        <v>299.06629554485397</v>
      </c>
      <c r="P207" s="2">
        <v>313124.40229506698</v>
      </c>
      <c r="Q207" s="2">
        <v>752521.99542193499</v>
      </c>
      <c r="R207" s="2">
        <v>1994183.28786813</v>
      </c>
      <c r="S207">
        <v>309.24444444444401</v>
      </c>
      <c r="T207">
        <v>0.13655555555555601</v>
      </c>
      <c r="U207">
        <v>3</v>
      </c>
    </row>
    <row r="208" spans="1:21" x14ac:dyDescent="0.25">
      <c r="A208" t="s">
        <v>77</v>
      </c>
      <c r="B208" t="s">
        <v>78</v>
      </c>
      <c r="C208">
        <v>4</v>
      </c>
      <c r="D208">
        <v>3</v>
      </c>
      <c r="E208">
        <v>12</v>
      </c>
      <c r="F208">
        <v>155824.3573</v>
      </c>
      <c r="G208">
        <v>412934.54680000001</v>
      </c>
      <c r="H208">
        <v>64838.515070000001</v>
      </c>
      <c r="I208">
        <v>64.83851507</v>
      </c>
      <c r="J208">
        <v>6.4838514999999999E-2</v>
      </c>
      <c r="K208">
        <v>142.9442871</v>
      </c>
      <c r="L208">
        <v>3.5000000000000003E-2</v>
      </c>
      <c r="M208">
        <v>2.9</v>
      </c>
      <c r="N208">
        <v>144.9767238</v>
      </c>
      <c r="O208" s="2">
        <v>207.89041069511799</v>
      </c>
      <c r="P208" s="2">
        <v>184411.487200932</v>
      </c>
      <c r="Q208" s="2">
        <v>443190.308101253</v>
      </c>
      <c r="R208" s="2">
        <v>1174454.3164683201</v>
      </c>
      <c r="S208">
        <v>208.40700000000001</v>
      </c>
      <c r="T208">
        <v>0.5</v>
      </c>
      <c r="U208">
        <v>0</v>
      </c>
    </row>
    <row r="209" spans="1:21" x14ac:dyDescent="0.25">
      <c r="A209" t="s">
        <v>79</v>
      </c>
      <c r="B209" t="s">
        <v>80</v>
      </c>
      <c r="C209">
        <v>4</v>
      </c>
      <c r="D209">
        <v>2</v>
      </c>
      <c r="E209">
        <v>8</v>
      </c>
      <c r="F209">
        <v>2095.4578219999999</v>
      </c>
      <c r="G209">
        <v>5552.9632300000003</v>
      </c>
      <c r="H209">
        <v>871.91999969999995</v>
      </c>
      <c r="I209">
        <v>0.87192000000000003</v>
      </c>
      <c r="J209">
        <v>8.7191999999999999E-4</v>
      </c>
      <c r="K209">
        <v>1.92225227</v>
      </c>
      <c r="L209">
        <v>3.3999999999999998E-3</v>
      </c>
      <c r="M209">
        <v>3.2850000000000001</v>
      </c>
      <c r="N209">
        <v>32.71181739</v>
      </c>
      <c r="O209">
        <v>44.526019460481997</v>
      </c>
      <c r="P209">
        <v>2338.7622478785102</v>
      </c>
      <c r="Q209">
        <v>5620.6735108832199</v>
      </c>
      <c r="R209">
        <v>14894.784803840501</v>
      </c>
      <c r="S209">
        <v>59.9</v>
      </c>
      <c r="T209">
        <v>0.17</v>
      </c>
      <c r="U209">
        <v>0</v>
      </c>
    </row>
    <row r="210" spans="1:21" x14ac:dyDescent="0.25">
      <c r="A210" t="s">
        <v>81</v>
      </c>
      <c r="B210" t="s">
        <v>82</v>
      </c>
      <c r="C210">
        <v>4</v>
      </c>
      <c r="D210">
        <v>2</v>
      </c>
      <c r="E210">
        <v>8</v>
      </c>
      <c r="F210">
        <v>1115.2006730000001</v>
      </c>
      <c r="G210">
        <v>2955.281782</v>
      </c>
      <c r="H210">
        <v>464.03500000000003</v>
      </c>
      <c r="I210">
        <v>0.46403499999999998</v>
      </c>
      <c r="J210">
        <v>4.6403500000000001E-4</v>
      </c>
      <c r="K210">
        <v>1.023020842</v>
      </c>
      <c r="L210">
        <v>1.4999999999999999E-2</v>
      </c>
      <c r="M210">
        <v>3</v>
      </c>
      <c r="N210">
        <v>31.392060780000001</v>
      </c>
      <c r="O210">
        <v>78.793957642923104</v>
      </c>
      <c r="P210">
        <v>7337.8698250436901</v>
      </c>
      <c r="Q210">
        <v>17634.8710046712</v>
      </c>
      <c r="R210">
        <v>46732.408162378699</v>
      </c>
      <c r="S210">
        <v>106</v>
      </c>
      <c r="T210">
        <v>0.17</v>
      </c>
      <c r="U210">
        <v>0</v>
      </c>
    </row>
    <row r="211" spans="1:21" x14ac:dyDescent="0.25">
      <c r="A211" t="s">
        <v>83</v>
      </c>
      <c r="B211" t="s">
        <v>84</v>
      </c>
      <c r="C211">
        <v>4</v>
      </c>
      <c r="D211">
        <v>7</v>
      </c>
      <c r="E211">
        <v>28</v>
      </c>
      <c r="F211">
        <v>32899.059300000001</v>
      </c>
      <c r="G211">
        <v>87183.557100000005</v>
      </c>
      <c r="H211">
        <v>13689.298570000001</v>
      </c>
      <c r="I211">
        <v>13.68929857</v>
      </c>
      <c r="J211">
        <v>1.3689299E-2</v>
      </c>
      <c r="K211">
        <v>30.179701420000001</v>
      </c>
      <c r="L211">
        <v>5.4000000000000003E-3</v>
      </c>
      <c r="M211">
        <v>3</v>
      </c>
      <c r="N211">
        <v>136.35230329999999</v>
      </c>
      <c r="O211">
        <v>269.12148652269298</v>
      </c>
      <c r="P211">
        <v>105254.065283895</v>
      </c>
      <c r="Q211">
        <v>252953.773813735</v>
      </c>
      <c r="R211">
        <v>670327.50060639798</v>
      </c>
      <c r="S211">
        <v>280</v>
      </c>
      <c r="T211">
        <v>0.11600000000000001</v>
      </c>
      <c r="U211">
        <v>0</v>
      </c>
    </row>
    <row r="212" spans="1:21" x14ac:dyDescent="0.25">
      <c r="A212" t="s">
        <v>91</v>
      </c>
      <c r="B212" t="s">
        <v>92</v>
      </c>
      <c r="C212">
        <v>4</v>
      </c>
      <c r="D212">
        <v>2</v>
      </c>
      <c r="E212">
        <v>8</v>
      </c>
      <c r="F212">
        <v>1115.2006730000001</v>
      </c>
      <c r="G212">
        <v>2955.281782</v>
      </c>
      <c r="H212">
        <v>464.03500000000003</v>
      </c>
      <c r="I212">
        <v>0.46403499999999998</v>
      </c>
      <c r="J212">
        <v>4.6403500000000001E-4</v>
      </c>
      <c r="K212">
        <v>1.023020842</v>
      </c>
      <c r="L212">
        <v>1.2999999999999999E-2</v>
      </c>
      <c r="M212">
        <v>3</v>
      </c>
      <c r="N212">
        <v>32.925759030000002</v>
      </c>
      <c r="O212">
        <v>47.033544405476697</v>
      </c>
      <c r="P212">
        <v>1352.59094710825</v>
      </c>
      <c r="Q212">
        <v>3250.6391422933202</v>
      </c>
      <c r="R212">
        <v>8614.1937270773105</v>
      </c>
      <c r="S212">
        <v>60.2</v>
      </c>
      <c r="T212">
        <v>0.19</v>
      </c>
      <c r="U212">
        <v>0</v>
      </c>
    </row>
    <row r="213" spans="1:21" x14ac:dyDescent="0.25">
      <c r="A213" t="s">
        <v>87</v>
      </c>
      <c r="B213" t="s">
        <v>88</v>
      </c>
      <c r="C213">
        <v>4</v>
      </c>
      <c r="D213">
        <v>2</v>
      </c>
      <c r="E213">
        <v>8</v>
      </c>
      <c r="F213">
        <v>1115.2006730000001</v>
      </c>
      <c r="G213">
        <v>2955.281782</v>
      </c>
      <c r="H213">
        <v>464.03500000000003</v>
      </c>
      <c r="I213">
        <v>0.46403499999999998</v>
      </c>
      <c r="J213">
        <v>4.6403500000000001E-4</v>
      </c>
      <c r="K213">
        <v>1.023020842</v>
      </c>
      <c r="L213">
        <v>6.0000000000000001E-3</v>
      </c>
      <c r="M213">
        <v>3.1</v>
      </c>
      <c r="N213">
        <v>37.748792209999998</v>
      </c>
      <c r="O213">
        <v>25.500852240627101</v>
      </c>
      <c r="P213">
        <v>137.553233642766</v>
      </c>
      <c r="Q213">
        <v>330.57734593310698</v>
      </c>
      <c r="R213">
        <v>876.02996672273298</v>
      </c>
      <c r="S213">
        <v>31.4</v>
      </c>
      <c r="T213">
        <v>0.19</v>
      </c>
      <c r="U213">
        <v>-0.8</v>
      </c>
    </row>
    <row r="214" spans="1:21" x14ac:dyDescent="0.25">
      <c r="A214" t="s">
        <v>93</v>
      </c>
      <c r="B214" t="s">
        <v>94</v>
      </c>
      <c r="C214">
        <v>4</v>
      </c>
      <c r="D214">
        <v>9</v>
      </c>
      <c r="E214">
        <v>36</v>
      </c>
      <c r="F214">
        <v>1772515152</v>
      </c>
      <c r="G214">
        <v>4697165152</v>
      </c>
      <c r="H214">
        <v>737543554.70000005</v>
      </c>
      <c r="I214">
        <v>737543.55469999998</v>
      </c>
      <c r="J214">
        <v>737.54355469999996</v>
      </c>
      <c r="K214">
        <v>1626003.2720000001</v>
      </c>
      <c r="L214" s="2">
        <v>1.7000000000000001E-2</v>
      </c>
      <c r="M214">
        <v>3</v>
      </c>
      <c r="N214">
        <v>1544.9670639999999</v>
      </c>
      <c r="O214" s="2">
        <v>1584.7644003969101</v>
      </c>
      <c r="P214" s="2">
        <v>67661721.271844104</v>
      </c>
      <c r="Q214" s="2">
        <v>162609279.67278099</v>
      </c>
      <c r="R214" s="2">
        <v>430914591.13286901</v>
      </c>
      <c r="S214">
        <v>1584.96</v>
      </c>
      <c r="T214" s="2">
        <v>0.25</v>
      </c>
      <c r="U214">
        <v>0</v>
      </c>
    </row>
    <row r="215" spans="1:21" x14ac:dyDescent="0.25">
      <c r="A215" t="s">
        <v>109</v>
      </c>
      <c r="B215" t="s">
        <v>110</v>
      </c>
      <c r="C215">
        <v>4</v>
      </c>
      <c r="D215">
        <v>5</v>
      </c>
      <c r="E215">
        <v>20</v>
      </c>
      <c r="F215">
        <v>6322.386939</v>
      </c>
      <c r="G215">
        <v>16754.325390000002</v>
      </c>
      <c r="H215">
        <v>2630.7452050000002</v>
      </c>
      <c r="I215">
        <v>2.6307452050000002</v>
      </c>
      <c r="J215">
        <v>2.6307449999999999E-3</v>
      </c>
      <c r="K215">
        <v>5.7997934950000003</v>
      </c>
      <c r="L215">
        <v>4.3E-3</v>
      </c>
      <c r="M215">
        <v>3.1</v>
      </c>
      <c r="N215">
        <v>73.561147309999996</v>
      </c>
      <c r="O215">
        <v>131.13329634559699</v>
      </c>
      <c r="P215">
        <v>15789.8748752376</v>
      </c>
      <c r="Q215">
        <v>37947.308039504001</v>
      </c>
      <c r="R215">
        <v>100560.366304686</v>
      </c>
      <c r="S215">
        <v>186</v>
      </c>
      <c r="T215">
        <v>4.5999999999999999E-2</v>
      </c>
      <c r="U215">
        <v>-6.54</v>
      </c>
    </row>
    <row r="216" spans="1:21" x14ac:dyDescent="0.25">
      <c r="A216" t="s">
        <v>99</v>
      </c>
      <c r="B216" t="s">
        <v>100</v>
      </c>
      <c r="C216">
        <v>4</v>
      </c>
      <c r="D216">
        <v>2</v>
      </c>
      <c r="E216">
        <v>8</v>
      </c>
      <c r="F216">
        <v>1115.2006730000001</v>
      </c>
      <c r="G216">
        <v>2955.281782</v>
      </c>
      <c r="H216">
        <v>464.03500000000003</v>
      </c>
      <c r="I216">
        <v>0.46403499999999998</v>
      </c>
      <c r="J216">
        <v>4.6403500000000001E-4</v>
      </c>
      <c r="K216">
        <v>1.023020842</v>
      </c>
      <c r="L216">
        <v>1.4999999999999999E-2</v>
      </c>
      <c r="M216">
        <v>3.1</v>
      </c>
      <c r="N216">
        <v>28.088937770000001</v>
      </c>
      <c r="O216">
        <v>31.517583057169201</v>
      </c>
      <c r="P216">
        <v>663.14006515420897</v>
      </c>
      <c r="Q216">
        <v>1593.7035932569299</v>
      </c>
      <c r="R216">
        <v>4223.3145221308696</v>
      </c>
      <c r="S216">
        <v>42.4</v>
      </c>
      <c r="T216">
        <v>0.17</v>
      </c>
      <c r="U216">
        <v>0</v>
      </c>
    </row>
    <row r="217" spans="1:21" x14ac:dyDescent="0.25">
      <c r="A217" t="s">
        <v>97</v>
      </c>
      <c r="B217" t="s">
        <v>98</v>
      </c>
      <c r="C217">
        <v>4</v>
      </c>
      <c r="D217">
        <v>2</v>
      </c>
      <c r="E217">
        <v>8</v>
      </c>
      <c r="F217">
        <v>27051.979729999999</v>
      </c>
      <c r="G217">
        <v>71687.746289999995</v>
      </c>
      <c r="H217">
        <v>11256.32877</v>
      </c>
      <c r="I217">
        <v>11.25632877</v>
      </c>
      <c r="J217">
        <v>1.1256329000000001E-2</v>
      </c>
      <c r="K217">
        <v>24.815927519999999</v>
      </c>
      <c r="L217" s="2">
        <v>6.5000000000000002E-2</v>
      </c>
      <c r="M217">
        <v>3</v>
      </c>
      <c r="N217">
        <v>82.563657669999998</v>
      </c>
      <c r="O217">
        <v>23.541501448630701</v>
      </c>
      <c r="P217">
        <v>848.03901153410004</v>
      </c>
      <c r="Q217">
        <v>2038.0653966212501</v>
      </c>
      <c r="R217">
        <v>5400.8733010463002</v>
      </c>
      <c r="S217">
        <v>23.6</v>
      </c>
      <c r="T217">
        <v>0.75</v>
      </c>
      <c r="U217">
        <v>0</v>
      </c>
    </row>
    <row r="218" spans="1:21" x14ac:dyDescent="0.25">
      <c r="A218" s="2" t="s">
        <v>47</v>
      </c>
      <c r="B218" t="s">
        <v>48</v>
      </c>
      <c r="C218">
        <v>4</v>
      </c>
      <c r="D218">
        <v>1</v>
      </c>
      <c r="E218">
        <v>4</v>
      </c>
      <c r="F218">
        <v>242.73011299999999</v>
      </c>
      <c r="G218">
        <v>643.23479940000004</v>
      </c>
      <c r="H218">
        <v>101.0000000193</v>
      </c>
      <c r="I218">
        <v>0.1010000000193</v>
      </c>
      <c r="J218">
        <v>1.0100000001929999E-4</v>
      </c>
      <c r="K218">
        <v>0.222666620042549</v>
      </c>
      <c r="L218" s="3">
        <v>1.23E-2</v>
      </c>
      <c r="M218" s="3">
        <v>3.2</v>
      </c>
      <c r="N218">
        <v>16.720724143912001</v>
      </c>
      <c r="O218" s="2">
        <v>35.434729879092401</v>
      </c>
      <c r="P218" s="2">
        <v>1117.06466933811</v>
      </c>
      <c r="Q218" s="2">
        <v>2684.6062709399298</v>
      </c>
      <c r="R218" s="2">
        <v>7114.2066179908197</v>
      </c>
      <c r="S218" s="2">
        <v>39.200000000000003</v>
      </c>
      <c r="T218" s="2">
        <v>0.58571428571428596</v>
      </c>
      <c r="U218" s="2">
        <v>0</v>
      </c>
    </row>
    <row r="219" spans="1:21" x14ac:dyDescent="0.25">
      <c r="A219" t="s">
        <v>103</v>
      </c>
      <c r="B219" t="s">
        <v>104</v>
      </c>
      <c r="C219">
        <v>4</v>
      </c>
      <c r="D219">
        <v>1</v>
      </c>
      <c r="E219">
        <v>4</v>
      </c>
      <c r="F219">
        <v>444.0038452</v>
      </c>
      <c r="G219">
        <v>1176.6101900000001</v>
      </c>
      <c r="H219">
        <v>184.75</v>
      </c>
      <c r="I219">
        <v>0.18475</v>
      </c>
      <c r="J219">
        <v>1.8474999999999999E-4</v>
      </c>
      <c r="K219">
        <v>0.40730354499999999</v>
      </c>
      <c r="L219">
        <v>1.2999999999999999E-2</v>
      </c>
      <c r="M219">
        <v>2.8</v>
      </c>
      <c r="N219">
        <v>30.414879859999999</v>
      </c>
      <c r="O219">
        <v>33.566402460217901</v>
      </c>
      <c r="P219">
        <v>243.48756422706001</v>
      </c>
      <c r="Q219">
        <v>585.165979877577</v>
      </c>
      <c r="R219">
        <v>1550.6898466755799</v>
      </c>
      <c r="S219">
        <v>65.400000000000006</v>
      </c>
      <c r="T219">
        <v>0.18</v>
      </c>
      <c r="U219">
        <v>0</v>
      </c>
    </row>
    <row r="220" spans="1:21" x14ac:dyDescent="0.25">
      <c r="A220" s="2" t="s">
        <v>105</v>
      </c>
      <c r="B220" t="s">
        <v>106</v>
      </c>
      <c r="C220">
        <v>4</v>
      </c>
      <c r="D220">
        <v>3</v>
      </c>
      <c r="E220">
        <v>12</v>
      </c>
      <c r="F220">
        <v>3129.99</v>
      </c>
      <c r="G220">
        <v>8294.48</v>
      </c>
      <c r="H220">
        <v>1302.388839</v>
      </c>
      <c r="I220">
        <v>1.302388839</v>
      </c>
      <c r="J220">
        <v>1.3023888389999999E-3</v>
      </c>
      <c r="K220">
        <v>2.870465001156</v>
      </c>
      <c r="L220" s="3">
        <v>1.2699999999999999E-2</v>
      </c>
      <c r="M220" s="3">
        <v>3.1</v>
      </c>
      <c r="N220">
        <v>41.345787911509902</v>
      </c>
      <c r="O220" s="2">
        <v>94.180769203338897</v>
      </c>
      <c r="P220" s="2">
        <v>16714.2403759017</v>
      </c>
      <c r="Q220" s="2">
        <v>40168.806478975501</v>
      </c>
      <c r="R220" s="2">
        <v>106447.33716928501</v>
      </c>
      <c r="S220">
        <v>109.97499999999999</v>
      </c>
      <c r="T220">
        <v>0.14749999999999999</v>
      </c>
      <c r="U220">
        <v>-1.1566666666666701</v>
      </c>
    </row>
    <row r="221" spans="1:21" x14ac:dyDescent="0.25">
      <c r="A221" t="s">
        <v>115</v>
      </c>
      <c r="B221" t="s">
        <v>116</v>
      </c>
      <c r="C221">
        <v>4</v>
      </c>
      <c r="D221">
        <v>7</v>
      </c>
      <c r="E221">
        <v>28</v>
      </c>
      <c r="F221">
        <v>9236050.2909999993</v>
      </c>
      <c r="G221">
        <v>24475533.27</v>
      </c>
      <c r="H221">
        <v>3843120.5260000001</v>
      </c>
      <c r="I221">
        <v>3843.1205260000002</v>
      </c>
      <c r="J221">
        <v>3.8431205259999999</v>
      </c>
      <c r="K221">
        <v>8472.6203740000001</v>
      </c>
      <c r="L221" s="2">
        <v>1.4999999999999999E-2</v>
      </c>
      <c r="M221">
        <v>3</v>
      </c>
      <c r="N221">
        <v>727.04507169999999</v>
      </c>
      <c r="O221" s="2">
        <v>271.53216871940202</v>
      </c>
      <c r="P221" s="2">
        <v>300299.85605939402</v>
      </c>
      <c r="Q221" s="2">
        <v>721701.16813120502</v>
      </c>
      <c r="R221" s="2">
        <v>1912508.0955476901</v>
      </c>
      <c r="S221">
        <v>271.77999999999997</v>
      </c>
      <c r="T221">
        <v>0.25</v>
      </c>
      <c r="U221">
        <v>0</v>
      </c>
    </row>
    <row r="222" spans="1:21" x14ac:dyDescent="0.25">
      <c r="A222" t="s">
        <v>107</v>
      </c>
      <c r="B222" t="s">
        <v>108</v>
      </c>
      <c r="C222">
        <v>4</v>
      </c>
      <c r="D222">
        <v>5</v>
      </c>
      <c r="E222">
        <v>20</v>
      </c>
      <c r="F222">
        <v>6322.386939</v>
      </c>
      <c r="G222">
        <v>16754.325390000002</v>
      </c>
      <c r="H222">
        <v>2630.7452050000002</v>
      </c>
      <c r="I222">
        <v>2.6307452050000002</v>
      </c>
      <c r="J222">
        <v>2.6307449999999999E-3</v>
      </c>
      <c r="K222">
        <v>5.7997934950000003</v>
      </c>
      <c r="L222">
        <v>3.5999999999999999E-3</v>
      </c>
      <c r="M222">
        <v>3</v>
      </c>
      <c r="N222">
        <v>90.072474830000004</v>
      </c>
      <c r="O222">
        <v>97.055971255794603</v>
      </c>
      <c r="P222">
        <v>3291.3137248274502</v>
      </c>
      <c r="Q222">
        <v>7909.9104177540203</v>
      </c>
      <c r="R222">
        <v>20961.262607048098</v>
      </c>
      <c r="S222">
        <v>150</v>
      </c>
      <c r="T222">
        <v>4.1000000000000002E-2</v>
      </c>
      <c r="U222">
        <v>-5.4</v>
      </c>
    </row>
    <row r="223" spans="1:21" x14ac:dyDescent="0.25">
      <c r="A223" t="s">
        <v>41</v>
      </c>
      <c r="B223" t="s">
        <v>42</v>
      </c>
      <c r="C223">
        <v>4</v>
      </c>
      <c r="D223">
        <v>4</v>
      </c>
      <c r="E223">
        <v>16</v>
      </c>
      <c r="F223">
        <v>8564.4586230000004</v>
      </c>
      <c r="G223">
        <v>22695.815350000001</v>
      </c>
      <c r="H223">
        <v>3563.671233</v>
      </c>
      <c r="I223">
        <v>3.563671233</v>
      </c>
      <c r="J223">
        <v>3.563671E-3</v>
      </c>
      <c r="K223">
        <v>7.8565408740000002</v>
      </c>
      <c r="L223">
        <v>1.34E-2</v>
      </c>
      <c r="M223">
        <v>3.1</v>
      </c>
      <c r="N223">
        <v>56.22548003</v>
      </c>
      <c r="O223">
        <v>79.487605733739102</v>
      </c>
      <c r="P223">
        <v>10423.9660199672</v>
      </c>
      <c r="Q223">
        <v>25051.588608428799</v>
      </c>
      <c r="R223">
        <v>66386.709812336398</v>
      </c>
      <c r="S223">
        <v>91.5</v>
      </c>
      <c r="T223">
        <v>0.12690000000000001</v>
      </c>
      <c r="U223">
        <v>0</v>
      </c>
    </row>
    <row r="224" spans="1:21" x14ac:dyDescent="0.25">
      <c r="A224" t="s">
        <v>111</v>
      </c>
      <c r="B224" t="s">
        <v>112</v>
      </c>
      <c r="C224">
        <v>4</v>
      </c>
      <c r="D224">
        <v>2</v>
      </c>
      <c r="E224">
        <v>8</v>
      </c>
      <c r="F224">
        <v>1115.2006730000001</v>
      </c>
      <c r="G224">
        <v>2955.281782</v>
      </c>
      <c r="H224">
        <v>464.03500000000003</v>
      </c>
      <c r="I224">
        <v>0.46403499999999998</v>
      </c>
      <c r="J224">
        <v>4.6403500000000001E-4</v>
      </c>
      <c r="K224">
        <v>1.023020842</v>
      </c>
      <c r="L224">
        <v>1.2200000000000001E-2</v>
      </c>
      <c r="M224">
        <v>2.9</v>
      </c>
      <c r="N224">
        <v>37.964368059999998</v>
      </c>
      <c r="O224">
        <v>81.231400648381907</v>
      </c>
      <c r="P224">
        <v>4212.6876703371199</v>
      </c>
      <c r="Q224">
        <v>10124.219347121199</v>
      </c>
      <c r="R224">
        <v>26829.1812698711</v>
      </c>
      <c r="S224">
        <v>98.7</v>
      </c>
      <c r="T224">
        <v>0.158</v>
      </c>
      <c r="U224">
        <v>-2.96</v>
      </c>
    </row>
    <row r="225" spans="1:21" x14ac:dyDescent="0.25">
      <c r="A225" t="s">
        <v>113</v>
      </c>
      <c r="B225" t="s">
        <v>114</v>
      </c>
      <c r="C225">
        <v>4</v>
      </c>
      <c r="D225">
        <v>2</v>
      </c>
      <c r="E225">
        <v>8</v>
      </c>
      <c r="F225">
        <v>2095.4578219999999</v>
      </c>
      <c r="G225">
        <v>5552.9632300000003</v>
      </c>
      <c r="H225">
        <v>871.91999969999995</v>
      </c>
      <c r="I225">
        <v>0.87192000000000003</v>
      </c>
      <c r="J225">
        <v>8.7191999999999999E-4</v>
      </c>
      <c r="K225">
        <v>1.92225227</v>
      </c>
      <c r="L225">
        <v>1.2E-2</v>
      </c>
      <c r="M225">
        <v>3.05</v>
      </c>
      <c r="N225">
        <v>39.252501789999997</v>
      </c>
      <c r="O225">
        <v>70.518217894402696</v>
      </c>
      <c r="P225">
        <v>5205.95365859713</v>
      </c>
      <c r="Q225">
        <v>12511.3041542829</v>
      </c>
      <c r="R225">
        <v>33154.956008849796</v>
      </c>
      <c r="S225">
        <v>85.9</v>
      </c>
      <c r="T225">
        <v>0.215</v>
      </c>
      <c r="U225">
        <v>0</v>
      </c>
    </row>
    <row r="226" spans="1:21" x14ac:dyDescent="0.25">
      <c r="A226" t="s">
        <v>117</v>
      </c>
      <c r="B226" t="s">
        <v>118</v>
      </c>
      <c r="C226">
        <v>4</v>
      </c>
      <c r="D226">
        <v>2</v>
      </c>
      <c r="E226">
        <v>8</v>
      </c>
      <c r="F226">
        <v>1115.2006730000001</v>
      </c>
      <c r="G226">
        <v>2955.281782</v>
      </c>
      <c r="H226">
        <v>464.03500000000003</v>
      </c>
      <c r="I226">
        <v>0.46403499999999998</v>
      </c>
      <c r="J226">
        <v>4.6403500000000001E-4</v>
      </c>
      <c r="K226">
        <v>1.023020842</v>
      </c>
      <c r="L226">
        <v>1.4999999999999999E-2</v>
      </c>
      <c r="M226">
        <v>3</v>
      </c>
      <c r="N226">
        <v>31.392060780000001</v>
      </c>
      <c r="O226">
        <v>40.309119826619401</v>
      </c>
      <c r="P226">
        <v>982.42906970705906</v>
      </c>
      <c r="Q226">
        <v>2361.0407827614999</v>
      </c>
      <c r="R226">
        <v>6256.7580743179697</v>
      </c>
      <c r="S226">
        <v>73.2</v>
      </c>
      <c r="T226">
        <v>0.1</v>
      </c>
      <c r="U226">
        <v>0</v>
      </c>
    </row>
    <row r="227" spans="1:21" x14ac:dyDescent="0.25">
      <c r="A227" t="s">
        <v>123</v>
      </c>
      <c r="B227" t="s">
        <v>124</v>
      </c>
      <c r="C227">
        <v>4</v>
      </c>
      <c r="D227">
        <v>2</v>
      </c>
      <c r="E227">
        <v>8</v>
      </c>
      <c r="F227">
        <v>1115.2006730000001</v>
      </c>
      <c r="G227">
        <v>2955.281782</v>
      </c>
      <c r="H227">
        <v>464.03500000000003</v>
      </c>
      <c r="I227">
        <v>0.46403499999999998</v>
      </c>
      <c r="J227">
        <v>4.6403500000000001E-4</v>
      </c>
      <c r="K227">
        <v>1.023020842</v>
      </c>
      <c r="L227">
        <v>9.4999999999999998E-3</v>
      </c>
      <c r="M227">
        <v>3.1</v>
      </c>
      <c r="N227">
        <v>32.548043049999997</v>
      </c>
      <c r="O227">
        <v>70.628253295728499</v>
      </c>
      <c r="P227">
        <v>5123.38331347024</v>
      </c>
      <c r="Q227">
        <v>12312.865449339701</v>
      </c>
      <c r="R227">
        <v>32629.093440750101</v>
      </c>
      <c r="S227">
        <v>111</v>
      </c>
      <c r="T227">
        <v>0.13</v>
      </c>
      <c r="U227">
        <v>0.22</v>
      </c>
    </row>
    <row r="228" spans="1:21" x14ac:dyDescent="0.25">
      <c r="A228" t="s">
        <v>121</v>
      </c>
      <c r="B228" t="s">
        <v>122</v>
      </c>
      <c r="C228">
        <v>4</v>
      </c>
      <c r="D228">
        <v>7</v>
      </c>
      <c r="E228">
        <v>28</v>
      </c>
      <c r="F228">
        <v>9236050.2909999993</v>
      </c>
      <c r="G228">
        <v>24475533.27</v>
      </c>
      <c r="H228">
        <v>3843120.5260000001</v>
      </c>
      <c r="I228">
        <v>3843.1205260000002</v>
      </c>
      <c r="J228">
        <v>3.8431205259999999</v>
      </c>
      <c r="K228">
        <v>8472.6203740000001</v>
      </c>
      <c r="L228" s="2">
        <v>1E-3</v>
      </c>
      <c r="M228">
        <v>3</v>
      </c>
      <c r="N228">
        <v>727.04507169999999</v>
      </c>
      <c r="O228" s="2">
        <v>2613.3747356297799</v>
      </c>
      <c r="P228" s="2">
        <v>17848637.322806899</v>
      </c>
      <c r="Q228" s="2">
        <v>42895066.8656739</v>
      </c>
      <c r="R228" s="2">
        <v>113671927.19403601</v>
      </c>
      <c r="S228">
        <v>2615.7600000000002</v>
      </c>
      <c r="T228">
        <v>0.25</v>
      </c>
      <c r="U228">
        <v>0</v>
      </c>
    </row>
    <row r="229" spans="1:21" x14ac:dyDescent="0.25">
      <c r="A229" t="s">
        <v>119</v>
      </c>
      <c r="B229" t="s">
        <v>120</v>
      </c>
      <c r="C229">
        <v>4</v>
      </c>
      <c r="D229">
        <v>3</v>
      </c>
      <c r="E229">
        <v>12</v>
      </c>
      <c r="F229">
        <v>157775.1923</v>
      </c>
      <c r="G229">
        <v>418104.2597</v>
      </c>
      <c r="H229">
        <v>65650.257519999999</v>
      </c>
      <c r="I229">
        <v>65.650257519999997</v>
      </c>
      <c r="J229">
        <v>6.5650258000000003E-2</v>
      </c>
      <c r="K229">
        <v>144.73387070000001</v>
      </c>
      <c r="L229">
        <v>2.1399999999999999E-2</v>
      </c>
      <c r="M229">
        <v>2.96</v>
      </c>
      <c r="N229">
        <v>155.41543279999999</v>
      </c>
      <c r="O229" s="2">
        <v>124.776809245846</v>
      </c>
      <c r="P229" s="2">
        <v>34274.4145864491</v>
      </c>
      <c r="Q229" s="2">
        <v>82370.619049385103</v>
      </c>
      <c r="R229" s="2">
        <v>218282.14048087099</v>
      </c>
      <c r="S229">
        <v>133.76666666666699</v>
      </c>
      <c r="T229">
        <v>0.3</v>
      </c>
      <c r="U229">
        <v>3</v>
      </c>
    </row>
    <row r="230" spans="1:21" x14ac:dyDescent="0.25">
      <c r="A230" t="s">
        <v>89</v>
      </c>
      <c r="B230" t="s">
        <v>90</v>
      </c>
      <c r="C230">
        <v>4</v>
      </c>
      <c r="D230">
        <v>8</v>
      </c>
      <c r="E230">
        <v>32</v>
      </c>
      <c r="F230">
        <v>31200</v>
      </c>
      <c r="G230">
        <v>83000</v>
      </c>
      <c r="H230">
        <v>12982.32</v>
      </c>
      <c r="I230">
        <v>12.98232</v>
      </c>
      <c r="J230">
        <v>1.298232E-2</v>
      </c>
      <c r="K230">
        <v>28.621082319999999</v>
      </c>
      <c r="L230" s="2">
        <v>0.05</v>
      </c>
      <c r="M230" s="2">
        <v>3.2</v>
      </c>
      <c r="N230">
        <v>147.5685182</v>
      </c>
      <c r="O230">
        <v>114.038461408571</v>
      </c>
      <c r="P230">
        <v>2966.0880787360102</v>
      </c>
      <c r="Q230">
        <v>7128.3058849699801</v>
      </c>
      <c r="R230">
        <v>18890.010595170399</v>
      </c>
      <c r="S230">
        <v>114.3</v>
      </c>
      <c r="T230">
        <v>0.19</v>
      </c>
      <c r="U230">
        <v>0</v>
      </c>
    </row>
    <row r="231" spans="1:21" x14ac:dyDescent="0.25">
      <c r="A231" t="s">
        <v>125</v>
      </c>
      <c r="B231" t="s">
        <v>126</v>
      </c>
      <c r="C231">
        <v>4</v>
      </c>
      <c r="D231">
        <v>1</v>
      </c>
      <c r="E231">
        <v>4</v>
      </c>
      <c r="F231">
        <v>1839.701994</v>
      </c>
      <c r="G231">
        <v>4875.2102850000001</v>
      </c>
      <c r="H231">
        <v>765.49999969999999</v>
      </c>
      <c r="I231">
        <v>0.76549999999999996</v>
      </c>
      <c r="J231">
        <v>7.6550000000000001E-4</v>
      </c>
      <c r="K231">
        <v>1.6876366089999999</v>
      </c>
      <c r="L231">
        <v>1.4999999999999999E-2</v>
      </c>
      <c r="M231">
        <v>2.9</v>
      </c>
      <c r="N231">
        <v>42.014375139999999</v>
      </c>
      <c r="O231">
        <v>44.836473739153099</v>
      </c>
      <c r="P231">
        <v>924.32023765543704</v>
      </c>
      <c r="Q231">
        <v>2221.3896603110702</v>
      </c>
      <c r="R231">
        <v>5886.6825998243403</v>
      </c>
      <c r="S231">
        <v>136</v>
      </c>
      <c r="T231">
        <v>0.1</v>
      </c>
      <c r="U231">
        <v>0</v>
      </c>
    </row>
    <row r="232" spans="1:21" x14ac:dyDescent="0.25">
      <c r="A232" t="s">
        <v>131</v>
      </c>
      <c r="B232" t="s">
        <v>132</v>
      </c>
      <c r="C232">
        <v>4</v>
      </c>
      <c r="D232">
        <v>2</v>
      </c>
      <c r="E232">
        <v>8</v>
      </c>
      <c r="F232">
        <v>2095.4578219999999</v>
      </c>
      <c r="G232">
        <v>5552.9632300000003</v>
      </c>
      <c r="H232">
        <v>871.91999969999995</v>
      </c>
      <c r="I232">
        <v>0.87192000000000003</v>
      </c>
      <c r="J232">
        <v>8.7191999999999999E-4</v>
      </c>
      <c r="K232">
        <v>1.92225227</v>
      </c>
      <c r="L232">
        <v>1.4E-2</v>
      </c>
      <c r="M232">
        <v>2.9</v>
      </c>
      <c r="N232">
        <v>45.001154579999998</v>
      </c>
      <c r="O232">
        <v>36.473329127644298</v>
      </c>
      <c r="P232">
        <v>474.085543126929</v>
      </c>
      <c r="Q232">
        <v>1139.35482606808</v>
      </c>
      <c r="R232">
        <v>3019.2902890804098</v>
      </c>
      <c r="S232">
        <v>45.7</v>
      </c>
      <c r="T232">
        <v>0.2</v>
      </c>
      <c r="U232">
        <v>0</v>
      </c>
    </row>
    <row r="233" spans="1:21" x14ac:dyDescent="0.25">
      <c r="A233" t="s">
        <v>133</v>
      </c>
      <c r="B233" t="s">
        <v>134</v>
      </c>
      <c r="C233">
        <v>4</v>
      </c>
      <c r="D233">
        <v>3</v>
      </c>
      <c r="E233">
        <v>12</v>
      </c>
      <c r="F233">
        <v>3129.99</v>
      </c>
      <c r="G233">
        <v>8294.48</v>
      </c>
      <c r="H233">
        <v>1302.388839</v>
      </c>
      <c r="I233">
        <v>1.302388839</v>
      </c>
      <c r="J233">
        <v>1.3023889999999999E-3</v>
      </c>
      <c r="K233">
        <v>2.8712724820000002</v>
      </c>
      <c r="L233">
        <v>1.2699999999999999E-2</v>
      </c>
      <c r="M233">
        <v>3.1</v>
      </c>
      <c r="N233">
        <v>41.345787909999999</v>
      </c>
      <c r="O233">
        <v>79.663859842009003</v>
      </c>
      <c r="P233">
        <v>9947.4986753603207</v>
      </c>
      <c r="Q233">
        <v>23906.509674021399</v>
      </c>
      <c r="R233">
        <v>63352.250636156801</v>
      </c>
      <c r="S233">
        <v>114</v>
      </c>
      <c r="T233">
        <v>0.1</v>
      </c>
      <c r="U233">
        <v>0</v>
      </c>
    </row>
    <row r="234" spans="1:21" x14ac:dyDescent="0.25">
      <c r="A234" t="s">
        <v>127</v>
      </c>
      <c r="B234" t="s">
        <v>128</v>
      </c>
      <c r="C234">
        <v>4</v>
      </c>
      <c r="D234">
        <v>2</v>
      </c>
      <c r="E234">
        <v>8</v>
      </c>
      <c r="F234">
        <v>2095.4578219999999</v>
      </c>
      <c r="G234">
        <v>5552.9632300000003</v>
      </c>
      <c r="H234">
        <v>871.91999969999995</v>
      </c>
      <c r="I234">
        <v>0.87192000000000003</v>
      </c>
      <c r="J234">
        <v>8.7191999999999999E-4</v>
      </c>
      <c r="K234">
        <v>1.92225227</v>
      </c>
      <c r="L234">
        <v>1.4E-2</v>
      </c>
      <c r="M234">
        <v>3</v>
      </c>
      <c r="N234">
        <v>39.638407790000002</v>
      </c>
      <c r="O234">
        <v>57.071285721768703</v>
      </c>
      <c r="P234">
        <v>2602.4416775725899</v>
      </c>
      <c r="Q234">
        <v>6254.3659638851004</v>
      </c>
      <c r="R234">
        <v>16574.069804295501</v>
      </c>
      <c r="S234">
        <v>62.2</v>
      </c>
      <c r="T234">
        <v>0.31</v>
      </c>
      <c r="U234">
        <v>-0.05</v>
      </c>
    </row>
    <row r="235" spans="1:21" x14ac:dyDescent="0.25">
      <c r="A235" t="s">
        <v>135</v>
      </c>
      <c r="B235" t="s">
        <v>136</v>
      </c>
      <c r="C235">
        <v>4</v>
      </c>
      <c r="D235">
        <v>2</v>
      </c>
      <c r="E235">
        <v>8</v>
      </c>
      <c r="F235">
        <v>2095.4578219999999</v>
      </c>
      <c r="G235">
        <v>5552.9632300000003</v>
      </c>
      <c r="H235">
        <v>871.91999969999995</v>
      </c>
      <c r="I235">
        <v>0.87192000000000003</v>
      </c>
      <c r="J235">
        <v>8.7191999999999999E-4</v>
      </c>
      <c r="K235">
        <v>1.92225227</v>
      </c>
      <c r="L235">
        <v>1.2E-2</v>
      </c>
      <c r="M235">
        <v>3</v>
      </c>
      <c r="N235">
        <v>41.728406249999999</v>
      </c>
      <c r="O235">
        <v>33.0972502270183</v>
      </c>
      <c r="P235">
        <v>435.06784457378302</v>
      </c>
      <c r="Q235">
        <v>1045.5848223354601</v>
      </c>
      <c r="R235">
        <v>2770.7997791889602</v>
      </c>
      <c r="S235">
        <v>60.5</v>
      </c>
      <c r="T235">
        <v>9.9000000000000005E-2</v>
      </c>
      <c r="U235">
        <v>0</v>
      </c>
    </row>
    <row r="236" spans="1:21" x14ac:dyDescent="0.25">
      <c r="A236" t="s">
        <v>129</v>
      </c>
      <c r="B236" t="s">
        <v>130</v>
      </c>
      <c r="C236">
        <v>4</v>
      </c>
      <c r="D236">
        <v>2</v>
      </c>
      <c r="E236">
        <v>8</v>
      </c>
      <c r="F236">
        <v>1115.2006730000001</v>
      </c>
      <c r="G236">
        <v>2955.281782</v>
      </c>
      <c r="H236">
        <v>464.03500000000003</v>
      </c>
      <c r="I236">
        <v>0.46403499999999998</v>
      </c>
      <c r="J236">
        <v>4.6403500000000001E-4</v>
      </c>
      <c r="K236">
        <v>1.023020842</v>
      </c>
      <c r="L236">
        <v>1.2500000000000001E-2</v>
      </c>
      <c r="M236">
        <v>2.88</v>
      </c>
      <c r="N236">
        <v>38.608311409999999</v>
      </c>
      <c r="O236">
        <v>45.989229368177298</v>
      </c>
      <c r="P236">
        <v>767.99726584738801</v>
      </c>
      <c r="Q236">
        <v>1845.70359492283</v>
      </c>
      <c r="R236">
        <v>4891.1145265454898</v>
      </c>
      <c r="S236">
        <v>158</v>
      </c>
      <c r="T236">
        <v>4.2999999999999997E-2</v>
      </c>
      <c r="U236">
        <v>0</v>
      </c>
    </row>
    <row r="237" spans="1:21" x14ac:dyDescent="0.25">
      <c r="A237" t="s">
        <v>137</v>
      </c>
      <c r="B237" t="s">
        <v>138</v>
      </c>
      <c r="C237">
        <v>4</v>
      </c>
      <c r="D237">
        <v>1</v>
      </c>
      <c r="E237">
        <v>4</v>
      </c>
      <c r="F237">
        <v>871.90579170000001</v>
      </c>
      <c r="G237">
        <v>2310.5503480000002</v>
      </c>
      <c r="H237">
        <v>362.79999989999999</v>
      </c>
      <c r="I237">
        <v>0.36280000000000001</v>
      </c>
      <c r="J237">
        <v>3.6279999999999998E-4</v>
      </c>
      <c r="K237">
        <v>0.79983613600000003</v>
      </c>
      <c r="L237">
        <v>1.2500000000000001E-2</v>
      </c>
      <c r="M237">
        <v>2.82</v>
      </c>
      <c r="N237">
        <v>38.241774589999999</v>
      </c>
      <c r="O237">
        <v>36.907716570983702</v>
      </c>
      <c r="P237">
        <v>328.23164678402202</v>
      </c>
      <c r="Q237">
        <v>788.82875939442795</v>
      </c>
      <c r="R237">
        <v>2090.3962123952401</v>
      </c>
      <c r="S237">
        <v>50</v>
      </c>
      <c r="T237">
        <v>0.33500000000000002</v>
      </c>
      <c r="U237">
        <v>0</v>
      </c>
    </row>
    <row r="238" spans="1:21" x14ac:dyDescent="0.25">
      <c r="A238" t="s">
        <v>21</v>
      </c>
      <c r="B238" t="s">
        <v>22</v>
      </c>
      <c r="C238">
        <v>5</v>
      </c>
      <c r="D238">
        <v>1</v>
      </c>
      <c r="E238">
        <v>5</v>
      </c>
      <c r="F238">
        <v>206.1043018</v>
      </c>
      <c r="G238">
        <v>546.17639980000001</v>
      </c>
      <c r="H238">
        <v>85.759999980000003</v>
      </c>
      <c r="I238">
        <v>8.5760000000000003E-2</v>
      </c>
      <c r="J238">
        <v>8.5799999999999998E-5</v>
      </c>
      <c r="K238">
        <v>0.18906821100000001</v>
      </c>
      <c r="L238">
        <v>1.6E-2</v>
      </c>
      <c r="M238">
        <v>3</v>
      </c>
      <c r="N238">
        <v>17.500680240000001</v>
      </c>
      <c r="O238">
        <v>10.1553199196288</v>
      </c>
      <c r="P238">
        <v>16.757175219079901</v>
      </c>
      <c r="Q238">
        <v>40.271990432780299</v>
      </c>
      <c r="R238">
        <v>106.72077464686799</v>
      </c>
      <c r="S238">
        <v>13.8</v>
      </c>
      <c r="T238">
        <v>0.21</v>
      </c>
      <c r="U238">
        <v>-1.34</v>
      </c>
    </row>
    <row r="239" spans="1:21" x14ac:dyDescent="0.25">
      <c r="A239" t="s">
        <v>95</v>
      </c>
      <c r="B239" s="2" t="s">
        <v>96</v>
      </c>
      <c r="C239">
        <v>5</v>
      </c>
      <c r="D239">
        <v>2</v>
      </c>
      <c r="E239">
        <v>10</v>
      </c>
      <c r="F239">
        <v>1550.4325879999999</v>
      </c>
      <c r="G239">
        <v>4108.6463590000003</v>
      </c>
      <c r="H239">
        <v>645.13499990000003</v>
      </c>
      <c r="I239">
        <v>0.64513500000000001</v>
      </c>
      <c r="J239">
        <v>6.4513500000000002E-4</v>
      </c>
      <c r="K239">
        <v>1.422277523</v>
      </c>
      <c r="L239">
        <v>0.01</v>
      </c>
      <c r="M239">
        <v>3</v>
      </c>
      <c r="N239">
        <v>36.288772530000003</v>
      </c>
      <c r="O239">
        <v>117.594401479821</v>
      </c>
      <c r="P239">
        <v>21952.991364567501</v>
      </c>
      <c r="Q239">
        <v>52758.931421695503</v>
      </c>
      <c r="R239">
        <v>139811.16826749299</v>
      </c>
      <c r="S239">
        <v>136</v>
      </c>
      <c r="T239">
        <v>0.2</v>
      </c>
      <c r="U239">
        <v>0</v>
      </c>
    </row>
    <row r="240" spans="1:21" x14ac:dyDescent="0.25">
      <c r="A240" t="s">
        <v>101</v>
      </c>
      <c r="B240" t="s">
        <v>102</v>
      </c>
      <c r="C240">
        <v>5</v>
      </c>
      <c r="D240">
        <v>2</v>
      </c>
      <c r="E240">
        <v>10</v>
      </c>
      <c r="F240">
        <v>1550.4325879999999</v>
      </c>
      <c r="G240">
        <v>4108.6463590000003</v>
      </c>
      <c r="H240">
        <v>645.13499990000003</v>
      </c>
      <c r="I240">
        <v>0.64513500000000001</v>
      </c>
      <c r="J240">
        <v>6.4513500000000002E-4</v>
      </c>
      <c r="K240">
        <v>1.422277523</v>
      </c>
      <c r="L240">
        <v>1.2E-2</v>
      </c>
      <c r="M240">
        <v>3.1</v>
      </c>
      <c r="N240">
        <v>33.570503690000002</v>
      </c>
      <c r="O240" s="2">
        <v>74.023897245416094</v>
      </c>
      <c r="P240" s="2">
        <v>7485.7320844855503</v>
      </c>
      <c r="Q240" s="2">
        <v>17990.223707006899</v>
      </c>
      <c r="R240" s="2">
        <v>47674.0928235682</v>
      </c>
      <c r="S240">
        <v>150.03333333333299</v>
      </c>
      <c r="T240">
        <v>0.11333333333333299</v>
      </c>
      <c r="U240">
        <v>4</v>
      </c>
    </row>
    <row r="241" spans="1:21" x14ac:dyDescent="0.25">
      <c r="A241" t="s">
        <v>37</v>
      </c>
      <c r="B241" t="s">
        <v>38</v>
      </c>
      <c r="C241">
        <v>5</v>
      </c>
      <c r="D241">
        <v>9</v>
      </c>
      <c r="E241">
        <v>45</v>
      </c>
      <c r="F241">
        <v>1772528355</v>
      </c>
      <c r="G241">
        <v>4697200141</v>
      </c>
      <c r="H241">
        <v>737549048.5</v>
      </c>
      <c r="I241">
        <v>737549.04850000003</v>
      </c>
      <c r="J241">
        <v>737.54904850000003</v>
      </c>
      <c r="K241">
        <v>1626015.3829999999</v>
      </c>
      <c r="L241" s="2">
        <v>6.0000000000000001E-3</v>
      </c>
      <c r="M241">
        <v>3</v>
      </c>
      <c r="N241">
        <v>1544.9709</v>
      </c>
      <c r="O241" s="2">
        <v>2097.3599996573398</v>
      </c>
      <c r="P241" s="2">
        <v>55356700.113349199</v>
      </c>
      <c r="Q241" s="2">
        <v>133037010.606463</v>
      </c>
      <c r="R241" s="2">
        <v>352548078.10712701</v>
      </c>
      <c r="S241" s="2">
        <v>2097.36</v>
      </c>
      <c r="T241" s="2">
        <v>0.5</v>
      </c>
      <c r="U241" s="2">
        <v>0</v>
      </c>
    </row>
    <row r="242" spans="1:21" x14ac:dyDescent="0.25">
      <c r="A242" s="2" t="s">
        <v>31</v>
      </c>
      <c r="B242" t="s">
        <v>32</v>
      </c>
      <c r="C242">
        <v>5</v>
      </c>
      <c r="D242">
        <v>1</v>
      </c>
      <c r="E242">
        <v>5</v>
      </c>
      <c r="F242">
        <v>206.1043018</v>
      </c>
      <c r="G242">
        <v>546.17639980000001</v>
      </c>
      <c r="H242">
        <v>85.759999978980005</v>
      </c>
      <c r="I242">
        <v>8.5759999978979998E-2</v>
      </c>
      <c r="J242">
        <v>8.5759999978979995E-5</v>
      </c>
      <c r="K242">
        <v>0.18906821115365899</v>
      </c>
      <c r="L242" s="3">
        <v>1.1599999999999999E-2</v>
      </c>
      <c r="M242" s="3">
        <v>3</v>
      </c>
      <c r="N242">
        <v>19.4808959921927</v>
      </c>
      <c r="O242" s="2">
        <v>28.888757559010099</v>
      </c>
      <c r="P242" s="2">
        <v>279.66916248891698</v>
      </c>
      <c r="Q242" s="2">
        <v>672.12007327305196</v>
      </c>
      <c r="R242" s="2">
        <v>1781.1181941735899</v>
      </c>
      <c r="S242" s="2">
        <v>29.1726666666667</v>
      </c>
      <c r="T242" s="2">
        <v>0.92646666666666699</v>
      </c>
      <c r="U242" s="2">
        <v>0</v>
      </c>
    </row>
    <row r="243" spans="1:21" x14ac:dyDescent="0.25">
      <c r="A243" t="s">
        <v>25</v>
      </c>
      <c r="B243" t="s">
        <v>26</v>
      </c>
      <c r="C243">
        <v>5</v>
      </c>
      <c r="D243">
        <v>3</v>
      </c>
      <c r="E243">
        <v>15</v>
      </c>
      <c r="F243">
        <v>174502.53330000001</v>
      </c>
      <c r="G243">
        <v>462431.7133</v>
      </c>
      <c r="H243">
        <v>72610.504109999994</v>
      </c>
      <c r="I243">
        <v>72.610504109999994</v>
      </c>
      <c r="J243">
        <v>7.2610504000000006E-2</v>
      </c>
      <c r="K243">
        <v>160.07856960000001</v>
      </c>
      <c r="L243">
        <v>2.1399999999999999E-2</v>
      </c>
      <c r="M243">
        <v>2.96</v>
      </c>
      <c r="N243">
        <v>160.79737159999999</v>
      </c>
      <c r="O243">
        <v>250.934843298103</v>
      </c>
      <c r="P243">
        <v>271090.46444670402</v>
      </c>
      <c r="Q243">
        <v>651503.15896828601</v>
      </c>
      <c r="R243">
        <v>1726483.3712659599</v>
      </c>
      <c r="S243">
        <v>358.7</v>
      </c>
      <c r="T243">
        <v>9.1999999999999998E-2</v>
      </c>
      <c r="U243">
        <v>-1.929</v>
      </c>
    </row>
    <row r="244" spans="1:21" x14ac:dyDescent="0.25">
      <c r="A244" t="s">
        <v>33</v>
      </c>
      <c r="B244" t="s">
        <v>34</v>
      </c>
      <c r="C244">
        <v>5</v>
      </c>
      <c r="D244">
        <v>2</v>
      </c>
      <c r="E244">
        <v>10</v>
      </c>
      <c r="F244">
        <v>1550.4325879999999</v>
      </c>
      <c r="G244">
        <v>4108.6463590000003</v>
      </c>
      <c r="H244">
        <v>645.13499990000003</v>
      </c>
      <c r="I244">
        <v>0.64513500000000001</v>
      </c>
      <c r="J244">
        <v>6.4513500000000002E-4</v>
      </c>
      <c r="K244">
        <v>1.422277523</v>
      </c>
      <c r="L244">
        <v>1.4999999999999999E-2</v>
      </c>
      <c r="M244">
        <v>3</v>
      </c>
      <c r="N244">
        <v>35.036424660000002</v>
      </c>
      <c r="O244">
        <v>52.069614660509103</v>
      </c>
      <c r="P244">
        <v>2117.6020570614801</v>
      </c>
      <c r="Q244">
        <v>5089.1662029836198</v>
      </c>
      <c r="R244">
        <v>13486.2904379066</v>
      </c>
      <c r="S244" s="4">
        <v>58.9</v>
      </c>
      <c r="T244" s="4">
        <v>0.22</v>
      </c>
      <c r="U244" s="4">
        <v>0.20699999999999999</v>
      </c>
    </row>
    <row r="245" spans="1:21" x14ac:dyDescent="0.25">
      <c r="A245" t="s">
        <v>29</v>
      </c>
      <c r="B245" t="s">
        <v>30</v>
      </c>
      <c r="C245">
        <v>5</v>
      </c>
      <c r="D245">
        <v>7</v>
      </c>
      <c r="E245" s="2">
        <v>35</v>
      </c>
      <c r="F245">
        <v>43204.537799999998</v>
      </c>
      <c r="G245">
        <v>114492.325</v>
      </c>
      <c r="H245">
        <v>17977.408179999999</v>
      </c>
      <c r="I245">
        <v>17.977408180000001</v>
      </c>
      <c r="J245">
        <v>1.7977408E-2</v>
      </c>
      <c r="K245">
        <v>39.633353620000001</v>
      </c>
      <c r="L245">
        <v>3.2499999999999999E-3</v>
      </c>
      <c r="M245">
        <v>3</v>
      </c>
      <c r="N245">
        <v>176.85387209999999</v>
      </c>
      <c r="O245">
        <v>281.59387444932202</v>
      </c>
      <c r="P245">
        <v>72569.306178378101</v>
      </c>
      <c r="Q245">
        <v>174403.52362023099</v>
      </c>
      <c r="R245">
        <v>462169.33759361203</v>
      </c>
      <c r="S245">
        <v>282</v>
      </c>
      <c r="T245">
        <v>0.18</v>
      </c>
      <c r="U245">
        <v>-1.35</v>
      </c>
    </row>
    <row r="246" spans="1:21" x14ac:dyDescent="0.25">
      <c r="A246" t="s">
        <v>23</v>
      </c>
      <c r="B246" t="s">
        <v>24</v>
      </c>
      <c r="C246">
        <v>5</v>
      </c>
      <c r="D246">
        <v>3</v>
      </c>
      <c r="E246">
        <v>15</v>
      </c>
      <c r="F246">
        <v>174502.53330000001</v>
      </c>
      <c r="G246">
        <v>462431.7133</v>
      </c>
      <c r="H246">
        <v>72610.504109999994</v>
      </c>
      <c r="I246">
        <v>72.610504109999994</v>
      </c>
      <c r="J246">
        <v>7.2610504000000006E-2</v>
      </c>
      <c r="K246">
        <v>160.07856960000001</v>
      </c>
      <c r="L246">
        <v>2.5999999999999999E-2</v>
      </c>
      <c r="M246">
        <v>3</v>
      </c>
      <c r="N246">
        <v>204.3636362</v>
      </c>
      <c r="O246">
        <v>223.26391564573601</v>
      </c>
      <c r="P246">
        <v>92934.521414995499</v>
      </c>
      <c r="Q246">
        <v>223346.60277576401</v>
      </c>
      <c r="R246">
        <v>591868.49735577498</v>
      </c>
      <c r="S246">
        <v>314.89999999999998</v>
      </c>
      <c r="T246">
        <v>8.8999999999999996E-2</v>
      </c>
      <c r="U246">
        <v>-1.1299999999999999</v>
      </c>
    </row>
    <row r="247" spans="1:21" x14ac:dyDescent="0.25">
      <c r="A247" t="s">
        <v>27</v>
      </c>
      <c r="B247" t="s">
        <v>28</v>
      </c>
      <c r="C247">
        <v>5</v>
      </c>
      <c r="D247">
        <v>1</v>
      </c>
      <c r="E247">
        <v>5</v>
      </c>
      <c r="F247">
        <v>7692.14131</v>
      </c>
      <c r="G247">
        <v>20384.174470000002</v>
      </c>
      <c r="H247">
        <v>3200.6999989999999</v>
      </c>
      <c r="I247">
        <v>3.2006999989999998</v>
      </c>
      <c r="J247">
        <v>3.2006999999999999E-3</v>
      </c>
      <c r="K247">
        <v>7.0563272320000001</v>
      </c>
      <c r="L247">
        <v>1.0999999999999999E-2</v>
      </c>
      <c r="M247">
        <v>2.9</v>
      </c>
      <c r="N247">
        <v>76.574998100000002</v>
      </c>
      <c r="O247">
        <v>65.762181633314697</v>
      </c>
      <c r="P247">
        <v>2058.37121948809</v>
      </c>
      <c r="Q247">
        <v>4946.8186000675096</v>
      </c>
      <c r="R247">
        <v>13109.069290178901</v>
      </c>
      <c r="S247">
        <v>81.53</v>
      </c>
      <c r="T247">
        <v>0.31</v>
      </c>
      <c r="U247">
        <v>-0.3</v>
      </c>
    </row>
    <row r="248" spans="1:21" x14ac:dyDescent="0.25">
      <c r="A248" t="s">
        <v>35</v>
      </c>
      <c r="B248" t="s">
        <v>36</v>
      </c>
      <c r="C248">
        <v>5</v>
      </c>
      <c r="D248">
        <v>1</v>
      </c>
      <c r="E248">
        <v>5</v>
      </c>
      <c r="F248">
        <v>206.1043018</v>
      </c>
      <c r="G248">
        <v>546.17639980000001</v>
      </c>
      <c r="H248">
        <v>85.759999980000003</v>
      </c>
      <c r="I248">
        <v>8.5760000000000003E-2</v>
      </c>
      <c r="J248">
        <v>8.5799999999999998E-5</v>
      </c>
      <c r="K248">
        <v>0.18906821100000001</v>
      </c>
      <c r="L248">
        <v>2.1000000000000001E-2</v>
      </c>
      <c r="M248">
        <v>3</v>
      </c>
      <c r="N248">
        <v>15.98411121</v>
      </c>
      <c r="O248">
        <v>20.751428910456202</v>
      </c>
      <c r="P248">
        <v>187.656371865458</v>
      </c>
      <c r="Q248">
        <v>450.98863702345102</v>
      </c>
      <c r="R248">
        <v>1195.11988811214</v>
      </c>
      <c r="S248" s="4">
        <v>21.02</v>
      </c>
      <c r="T248" s="4">
        <v>0.86</v>
      </c>
      <c r="U248" s="4">
        <v>-6.9989999999999997E-2</v>
      </c>
    </row>
    <row r="249" spans="1:21" x14ac:dyDescent="0.25">
      <c r="A249" t="s">
        <v>39</v>
      </c>
      <c r="B249" t="s">
        <v>40</v>
      </c>
      <c r="C249">
        <v>5</v>
      </c>
      <c r="D249">
        <v>2</v>
      </c>
      <c r="E249">
        <v>10</v>
      </c>
      <c r="F249">
        <v>23666.30617</v>
      </c>
      <c r="G249">
        <v>62715.711360000001</v>
      </c>
      <c r="H249">
        <v>9847.5499970000001</v>
      </c>
      <c r="I249">
        <v>9.8475499969999998</v>
      </c>
      <c r="J249">
        <v>9.8475500000000001E-3</v>
      </c>
      <c r="K249">
        <v>21.710105680000002</v>
      </c>
      <c r="L249">
        <v>1.2E-2</v>
      </c>
      <c r="M249">
        <v>3</v>
      </c>
      <c r="N249">
        <v>93.622948879999996</v>
      </c>
      <c r="O249">
        <v>99.966170624525901</v>
      </c>
      <c r="P249">
        <v>11987.8255443007</v>
      </c>
      <c r="Q249">
        <v>28809.962855805501</v>
      </c>
      <c r="R249">
        <v>76346.401567884604</v>
      </c>
      <c r="S249">
        <v>150.93</v>
      </c>
      <c r="T249">
        <v>0.11</v>
      </c>
      <c r="U249">
        <v>0.13</v>
      </c>
    </row>
    <row r="250" spans="1:21" x14ac:dyDescent="0.25">
      <c r="A250" t="s">
        <v>45</v>
      </c>
      <c r="B250" t="s">
        <v>46</v>
      </c>
      <c r="C250">
        <v>5</v>
      </c>
      <c r="D250">
        <v>5</v>
      </c>
      <c r="E250">
        <v>25</v>
      </c>
      <c r="F250">
        <v>7003.1900919999998</v>
      </c>
      <c r="G250">
        <v>18558.453740000001</v>
      </c>
      <c r="H250">
        <v>2914.0273969999998</v>
      </c>
      <c r="I250">
        <v>2.9140273969999999</v>
      </c>
      <c r="J250">
        <v>2.914027E-3</v>
      </c>
      <c r="K250">
        <v>6.4243230809999998</v>
      </c>
      <c r="L250">
        <v>3.96E-3</v>
      </c>
      <c r="M250">
        <v>3.2</v>
      </c>
      <c r="N250">
        <v>68.135667350000006</v>
      </c>
      <c r="O250" s="2">
        <v>298.84433615303402</v>
      </c>
      <c r="P250" s="2">
        <v>330460.28998611099</v>
      </c>
      <c r="Q250" s="2">
        <v>794184.78727736499</v>
      </c>
      <c r="R250" s="2">
        <v>2104589.6862850199</v>
      </c>
      <c r="S250" s="2">
        <v>300.78571428571399</v>
      </c>
      <c r="T250" s="2">
        <v>0.24014285714285699</v>
      </c>
      <c r="U250" s="2">
        <v>4</v>
      </c>
    </row>
    <row r="251" spans="1:21" x14ac:dyDescent="0.25">
      <c r="A251" t="s">
        <v>43</v>
      </c>
      <c r="B251" t="s">
        <v>44</v>
      </c>
      <c r="C251">
        <v>5</v>
      </c>
      <c r="D251">
        <v>2</v>
      </c>
      <c r="E251">
        <v>10</v>
      </c>
      <c r="F251">
        <v>1550.4325879999999</v>
      </c>
      <c r="G251">
        <v>4108.6463590000003</v>
      </c>
      <c r="H251">
        <v>645.13499990000003</v>
      </c>
      <c r="I251">
        <v>0.64513500000000001</v>
      </c>
      <c r="J251">
        <v>6.4513500000000002E-4</v>
      </c>
      <c r="K251">
        <v>1.422277523</v>
      </c>
      <c r="L251">
        <v>1.44E-2</v>
      </c>
      <c r="M251">
        <v>3</v>
      </c>
      <c r="N251">
        <v>35.51643533</v>
      </c>
      <c r="O251" s="2">
        <v>47.093485086732699</v>
      </c>
      <c r="P251" s="2">
        <v>1503.9901260122399</v>
      </c>
      <c r="Q251" s="2">
        <v>3614.4920115650998</v>
      </c>
      <c r="R251" s="2">
        <v>9578.4038306475304</v>
      </c>
      <c r="S251" s="2">
        <v>47.633333333333297</v>
      </c>
      <c r="T251" s="2">
        <v>0.44800000000000001</v>
      </c>
      <c r="U251" s="2">
        <v>0</v>
      </c>
    </row>
    <row r="252" spans="1:21" x14ac:dyDescent="0.25">
      <c r="A252" t="s">
        <v>53</v>
      </c>
      <c r="B252" t="s">
        <v>54</v>
      </c>
      <c r="C252">
        <v>5</v>
      </c>
      <c r="D252">
        <v>2</v>
      </c>
      <c r="E252">
        <v>10</v>
      </c>
      <c r="F252">
        <v>2636.890171</v>
      </c>
      <c r="G252">
        <v>6987.7589529999996</v>
      </c>
      <c r="H252">
        <v>1097.21</v>
      </c>
      <c r="I252">
        <v>1.09721</v>
      </c>
      <c r="J252">
        <v>1.0972099999999999E-3</v>
      </c>
      <c r="K252">
        <v>2.418931111</v>
      </c>
      <c r="L252">
        <v>1.2E-2</v>
      </c>
      <c r="M252">
        <v>2.95</v>
      </c>
      <c r="N252">
        <v>48.054238410000004</v>
      </c>
      <c r="O252">
        <v>33.509975513837901</v>
      </c>
      <c r="P252">
        <v>378.83044312640698</v>
      </c>
      <c r="Q252">
        <v>910.43125000338205</v>
      </c>
      <c r="R252">
        <v>2412.6428125089601</v>
      </c>
      <c r="S252">
        <v>41</v>
      </c>
      <c r="T252">
        <v>0.17</v>
      </c>
      <c r="U252">
        <v>0</v>
      </c>
    </row>
    <row r="253" spans="1:21" x14ac:dyDescent="0.25">
      <c r="A253" t="s">
        <v>57</v>
      </c>
      <c r="B253" t="s">
        <v>58</v>
      </c>
      <c r="C253">
        <v>5</v>
      </c>
      <c r="D253">
        <v>2</v>
      </c>
      <c r="E253">
        <v>10</v>
      </c>
      <c r="F253">
        <v>6717.4957940000004</v>
      </c>
      <c r="G253">
        <v>17801.363850000002</v>
      </c>
      <c r="H253">
        <v>2795.15</v>
      </c>
      <c r="I253">
        <v>2.79515</v>
      </c>
      <c r="J253">
        <v>2.7951500000000002E-3</v>
      </c>
      <c r="K253">
        <v>6.1622435930000004</v>
      </c>
      <c r="L253">
        <v>4.0000000000000001E-3</v>
      </c>
      <c r="M253">
        <v>3.1</v>
      </c>
      <c r="N253">
        <v>61.873930319999999</v>
      </c>
      <c r="O253">
        <v>71.564789925011297</v>
      </c>
      <c r="P253">
        <v>4324.9412223072704</v>
      </c>
      <c r="Q253">
        <v>10393.994766419801</v>
      </c>
      <c r="R253">
        <v>27544.086131012398</v>
      </c>
      <c r="S253">
        <v>72.900000000000006</v>
      </c>
      <c r="T253">
        <v>0.4</v>
      </c>
      <c r="U253">
        <v>0</v>
      </c>
    </row>
    <row r="254" spans="1:21" x14ac:dyDescent="0.25">
      <c r="A254" t="s">
        <v>59</v>
      </c>
      <c r="B254" t="s">
        <v>60</v>
      </c>
      <c r="C254">
        <v>5</v>
      </c>
      <c r="D254">
        <v>2</v>
      </c>
      <c r="E254">
        <v>10</v>
      </c>
      <c r="F254">
        <v>2636.890171</v>
      </c>
      <c r="G254">
        <v>6987.7589529999996</v>
      </c>
      <c r="H254">
        <v>1097.21</v>
      </c>
      <c r="I254">
        <v>1.09721</v>
      </c>
      <c r="J254">
        <v>1.0972099999999999E-3</v>
      </c>
      <c r="K254">
        <v>2.418931111</v>
      </c>
      <c r="L254">
        <v>1.6799999999999999E-2</v>
      </c>
      <c r="M254">
        <v>3.1</v>
      </c>
      <c r="N254">
        <v>35.745346249999997</v>
      </c>
      <c r="O254">
        <v>130.00500271891499</v>
      </c>
      <c r="P254">
        <v>60060.021358037098</v>
      </c>
      <c r="Q254">
        <v>144340.354140921</v>
      </c>
      <c r="R254">
        <v>382501.93847344001</v>
      </c>
      <c r="S254">
        <v>263.2</v>
      </c>
      <c r="T254">
        <v>7.0000000000000007E-2</v>
      </c>
      <c r="U254">
        <v>0.27</v>
      </c>
    </row>
    <row r="255" spans="1:21" x14ac:dyDescent="0.25">
      <c r="A255" t="s">
        <v>61</v>
      </c>
      <c r="B255" t="s">
        <v>62</v>
      </c>
      <c r="C255">
        <v>5</v>
      </c>
      <c r="D255">
        <v>1</v>
      </c>
      <c r="E255">
        <v>5</v>
      </c>
      <c r="F255">
        <v>286.37346789999998</v>
      </c>
      <c r="G255">
        <v>758.88968990000001</v>
      </c>
      <c r="H255">
        <v>119.16</v>
      </c>
      <c r="I255">
        <v>0.11916</v>
      </c>
      <c r="J255">
        <v>1.1916E-4</v>
      </c>
      <c r="K255">
        <v>0.26270251900000002</v>
      </c>
      <c r="L255">
        <v>1.2500000000000001E-2</v>
      </c>
      <c r="M255">
        <v>3</v>
      </c>
      <c r="N255">
        <v>21.203464490000002</v>
      </c>
      <c r="O255">
        <v>25.586755600749999</v>
      </c>
      <c r="P255">
        <v>209.38987401253701</v>
      </c>
      <c r="Q255">
        <v>503.22007693472102</v>
      </c>
      <c r="R255">
        <v>1333.53320387701</v>
      </c>
      <c r="S255">
        <v>33.700000000000003</v>
      </c>
      <c r="T255">
        <v>0.32</v>
      </c>
      <c r="U255">
        <v>0.55000000000000004</v>
      </c>
    </row>
    <row r="256" spans="1:21" x14ac:dyDescent="0.25">
      <c r="A256" t="s">
        <v>63</v>
      </c>
      <c r="B256" t="s">
        <v>64</v>
      </c>
      <c r="C256">
        <v>5</v>
      </c>
      <c r="D256">
        <v>2</v>
      </c>
      <c r="E256">
        <v>10</v>
      </c>
      <c r="F256">
        <v>1550.4325879999999</v>
      </c>
      <c r="G256">
        <v>4108.6463590000003</v>
      </c>
      <c r="H256">
        <v>645.13499990000003</v>
      </c>
      <c r="I256">
        <v>0.64513500000000001</v>
      </c>
      <c r="J256">
        <v>6.4513500000000002E-4</v>
      </c>
      <c r="K256">
        <v>1.422277523</v>
      </c>
      <c r="L256">
        <v>1.2E-2</v>
      </c>
      <c r="M256">
        <v>3.1</v>
      </c>
      <c r="N256">
        <v>33.570503690000002</v>
      </c>
      <c r="O256">
        <v>42.122428726473103</v>
      </c>
      <c r="P256">
        <v>1303.6853907295099</v>
      </c>
      <c r="Q256">
        <v>3133.1059618589402</v>
      </c>
      <c r="R256">
        <v>8302.7307989261899</v>
      </c>
      <c r="S256">
        <v>42.5</v>
      </c>
      <c r="T256">
        <v>0.47</v>
      </c>
      <c r="U256">
        <v>0.05</v>
      </c>
    </row>
    <row r="257" spans="1:21" x14ac:dyDescent="0.25">
      <c r="A257" t="s">
        <v>65</v>
      </c>
      <c r="B257" t="s">
        <v>66</v>
      </c>
      <c r="C257">
        <v>5</v>
      </c>
      <c r="D257">
        <v>3</v>
      </c>
      <c r="E257">
        <v>15</v>
      </c>
      <c r="F257">
        <v>7000</v>
      </c>
      <c r="G257">
        <v>18550</v>
      </c>
      <c r="H257">
        <v>2912.7</v>
      </c>
      <c r="I257">
        <v>2.9127000000000001</v>
      </c>
      <c r="J257">
        <v>2.9126999999999998E-3</v>
      </c>
      <c r="K257">
        <v>6.4213966740000004</v>
      </c>
      <c r="L257">
        <v>1.2699999999999999E-2</v>
      </c>
      <c r="M257">
        <v>3.1</v>
      </c>
      <c r="N257">
        <v>53.603232339999998</v>
      </c>
      <c r="O257">
        <v>52.467853013272702</v>
      </c>
      <c r="P257">
        <v>2725.6678395776198</v>
      </c>
      <c r="Q257">
        <v>6550.5115106407702</v>
      </c>
      <c r="R257">
        <v>17358.855503197999</v>
      </c>
      <c r="S257">
        <v>52.7</v>
      </c>
      <c r="T257">
        <v>0.35</v>
      </c>
      <c r="U257">
        <v>-0.5</v>
      </c>
    </row>
    <row r="258" spans="1:21" x14ac:dyDescent="0.25">
      <c r="A258" t="s">
        <v>67</v>
      </c>
      <c r="B258" t="s">
        <v>68</v>
      </c>
      <c r="C258">
        <v>5</v>
      </c>
      <c r="D258">
        <v>1</v>
      </c>
      <c r="E258">
        <v>5</v>
      </c>
      <c r="F258">
        <v>437.81</v>
      </c>
      <c r="G258">
        <v>1160.21</v>
      </c>
      <c r="H258">
        <v>182.172741</v>
      </c>
      <c r="I258">
        <v>0.182172741</v>
      </c>
      <c r="J258">
        <v>1.8217299999999999E-4</v>
      </c>
      <c r="K258">
        <v>0.40162166799999999</v>
      </c>
      <c r="L258">
        <v>1.29E-2</v>
      </c>
      <c r="M258">
        <v>3.05</v>
      </c>
      <c r="N258">
        <v>22.941450830000001</v>
      </c>
      <c r="O258">
        <v>33.858596979044897</v>
      </c>
      <c r="P258">
        <v>597.14531894962295</v>
      </c>
      <c r="Q258">
        <v>1435.1005021620399</v>
      </c>
      <c r="R258">
        <v>3803.0163307293901</v>
      </c>
      <c r="S258">
        <v>40.6</v>
      </c>
      <c r="T258">
        <v>0.27</v>
      </c>
      <c r="U258">
        <v>-1.65</v>
      </c>
    </row>
    <row r="259" spans="1:21" x14ac:dyDescent="0.25">
      <c r="A259" t="s">
        <v>69</v>
      </c>
      <c r="B259" t="s">
        <v>70</v>
      </c>
      <c r="C259">
        <v>5</v>
      </c>
      <c r="D259">
        <v>1</v>
      </c>
      <c r="E259">
        <v>5</v>
      </c>
      <c r="F259">
        <v>254.74645520000001</v>
      </c>
      <c r="G259">
        <v>675.07810619999998</v>
      </c>
      <c r="H259">
        <v>106</v>
      </c>
      <c r="I259">
        <v>0.106</v>
      </c>
      <c r="J259">
        <v>1.06E-4</v>
      </c>
      <c r="K259">
        <v>0.23368971999999999</v>
      </c>
      <c r="L259">
        <v>0.01</v>
      </c>
      <c r="M259">
        <v>2.9</v>
      </c>
      <c r="N259">
        <v>24.43635948</v>
      </c>
      <c r="O259">
        <v>26.457962565493201</v>
      </c>
      <c r="P259">
        <v>133.47918712702</v>
      </c>
      <c r="Q259">
        <v>320.78631849800502</v>
      </c>
      <c r="R259">
        <v>850.08374401971196</v>
      </c>
      <c r="S259">
        <v>37.700000000000003</v>
      </c>
      <c r="T259">
        <v>0.24199999999999999</v>
      </c>
      <c r="U259">
        <v>0</v>
      </c>
    </row>
    <row r="260" spans="1:21" x14ac:dyDescent="0.25">
      <c r="A260" s="2" t="s">
        <v>71</v>
      </c>
      <c r="B260" t="s">
        <v>72</v>
      </c>
      <c r="C260">
        <v>5</v>
      </c>
      <c r="D260">
        <v>1</v>
      </c>
      <c r="E260">
        <v>5</v>
      </c>
      <c r="F260">
        <v>5.0949291030000001</v>
      </c>
      <c r="G260">
        <v>13.501562119999999</v>
      </c>
      <c r="H260">
        <v>2.1199999997583001</v>
      </c>
      <c r="I260">
        <v>2.1199999997583E-3</v>
      </c>
      <c r="J260">
        <v>2.1199999997583E-6</v>
      </c>
      <c r="K260">
        <v>4.6737943994671401E-3</v>
      </c>
      <c r="L260" s="3">
        <v>1.0999999999999999E-2</v>
      </c>
      <c r="M260" s="3">
        <v>3.01</v>
      </c>
      <c r="N260">
        <v>5.7427159324658703</v>
      </c>
      <c r="O260" s="2">
        <v>7.6419843174542299</v>
      </c>
      <c r="P260" s="2">
        <v>5.0100628373165703</v>
      </c>
      <c r="Q260" s="2">
        <v>12.0405259248175</v>
      </c>
      <c r="R260" s="2">
        <v>31.907393700766399</v>
      </c>
      <c r="S260">
        <v>9</v>
      </c>
      <c r="T260">
        <v>0.32</v>
      </c>
      <c r="U260">
        <v>-0.91</v>
      </c>
    </row>
    <row r="261" spans="1:21" x14ac:dyDescent="0.25">
      <c r="A261" s="2" t="s">
        <v>49</v>
      </c>
      <c r="B261" t="s">
        <v>50</v>
      </c>
      <c r="C261">
        <v>5</v>
      </c>
      <c r="D261">
        <v>1</v>
      </c>
      <c r="E261">
        <v>5</v>
      </c>
      <c r="F261">
        <v>1550.4325879999999</v>
      </c>
      <c r="G261">
        <v>4108.6463590000003</v>
      </c>
      <c r="H261">
        <v>645.13499986679994</v>
      </c>
      <c r="I261">
        <v>0.64513499986680001</v>
      </c>
      <c r="J261">
        <v>6.4513499986680004E-4</v>
      </c>
      <c r="K261">
        <v>1.4222775234063401</v>
      </c>
      <c r="L261" s="3">
        <v>1.2E-2</v>
      </c>
      <c r="M261" s="3">
        <v>3.1</v>
      </c>
      <c r="N261">
        <v>33.570503685170699</v>
      </c>
      <c r="O261" s="2">
        <v>36.671371022441598</v>
      </c>
      <c r="P261" s="2">
        <v>848.38972898018005</v>
      </c>
      <c r="Q261" s="2">
        <v>2038.90826479255</v>
      </c>
      <c r="R261" s="2">
        <v>5403.1069017002601</v>
      </c>
      <c r="S261" s="2">
        <v>54.3</v>
      </c>
      <c r="T261" s="2">
        <v>0.22500000000000001</v>
      </c>
      <c r="U261" s="2">
        <v>0</v>
      </c>
    </row>
    <row r="262" spans="1:21" x14ac:dyDescent="0.25">
      <c r="A262" t="s">
        <v>55</v>
      </c>
      <c r="B262" t="s">
        <v>56</v>
      </c>
      <c r="C262">
        <v>5</v>
      </c>
      <c r="D262">
        <v>1</v>
      </c>
      <c r="E262">
        <v>5</v>
      </c>
      <c r="F262">
        <v>2142.0331649999998</v>
      </c>
      <c r="G262">
        <v>5676.3878869999999</v>
      </c>
      <c r="H262">
        <v>891.3</v>
      </c>
      <c r="I262">
        <v>0.89129999999999998</v>
      </c>
      <c r="J262">
        <v>8.9130000000000003E-4</v>
      </c>
      <c r="K262">
        <v>1.964977806</v>
      </c>
      <c r="L262">
        <v>1.2999999999999999E-2</v>
      </c>
      <c r="M262">
        <v>3</v>
      </c>
      <c r="N262">
        <v>40.928596409999997</v>
      </c>
      <c r="O262">
        <v>57.1287678734247</v>
      </c>
      <c r="P262">
        <v>2423.86219369639</v>
      </c>
      <c r="Q262">
        <v>5825.1915253458101</v>
      </c>
      <c r="R262">
        <v>15436.757542166401</v>
      </c>
      <c r="S262">
        <v>152</v>
      </c>
      <c r="T262">
        <v>9.6000000000000002E-2</v>
      </c>
      <c r="U262">
        <v>0.09</v>
      </c>
    </row>
    <row r="263" spans="1:21" x14ac:dyDescent="0.25">
      <c r="A263" t="s">
        <v>75</v>
      </c>
      <c r="B263" t="s">
        <v>76</v>
      </c>
      <c r="C263">
        <v>5</v>
      </c>
      <c r="D263">
        <v>2</v>
      </c>
      <c r="E263">
        <v>10</v>
      </c>
      <c r="F263">
        <v>1550.4325879999999</v>
      </c>
      <c r="G263">
        <v>4108.6463590000003</v>
      </c>
      <c r="H263">
        <v>645.13499990000003</v>
      </c>
      <c r="I263">
        <v>0.64513500000000001</v>
      </c>
      <c r="J263">
        <v>6.4513500000000002E-4</v>
      </c>
      <c r="K263">
        <v>1.422277523</v>
      </c>
      <c r="L263">
        <v>2.5000000000000001E-3</v>
      </c>
      <c r="M263">
        <v>3.1</v>
      </c>
      <c r="N263">
        <v>55.681778100000002</v>
      </c>
      <c r="O263">
        <v>80.152960874917795</v>
      </c>
      <c r="P263">
        <v>1995.6789455852499</v>
      </c>
      <c r="Q263">
        <v>4796.1522364461598</v>
      </c>
      <c r="R263">
        <v>12709.803426582301</v>
      </c>
      <c r="S263">
        <v>122</v>
      </c>
      <c r="T263">
        <v>0.107</v>
      </c>
      <c r="U263">
        <v>0</v>
      </c>
    </row>
    <row r="264" spans="1:21" x14ac:dyDescent="0.25">
      <c r="A264" t="s">
        <v>73</v>
      </c>
      <c r="B264" t="s">
        <v>74</v>
      </c>
      <c r="C264">
        <v>5</v>
      </c>
      <c r="D264">
        <v>2</v>
      </c>
      <c r="E264">
        <v>10</v>
      </c>
      <c r="F264">
        <v>1550.4325879999999</v>
      </c>
      <c r="G264">
        <v>4108.6463590000003</v>
      </c>
      <c r="H264">
        <v>645.13499990000003</v>
      </c>
      <c r="I264">
        <v>0.64513500000000001</v>
      </c>
      <c r="J264">
        <v>6.4513500000000002E-4</v>
      </c>
      <c r="K264">
        <v>1.422277523</v>
      </c>
      <c r="L264">
        <v>1.4E-2</v>
      </c>
      <c r="M264">
        <v>2.8</v>
      </c>
      <c r="N264">
        <v>46.296032510000003</v>
      </c>
      <c r="O264">
        <v>42.646120876892098</v>
      </c>
      <c r="P264">
        <v>512.61431466428701</v>
      </c>
      <c r="Q264">
        <v>1231.9498069317201</v>
      </c>
      <c r="R264">
        <v>3264.6669883690502</v>
      </c>
      <c r="S264">
        <v>43</v>
      </c>
      <c r="T264">
        <v>0.48</v>
      </c>
      <c r="U264">
        <v>0</v>
      </c>
    </row>
    <row r="265" spans="1:21" x14ac:dyDescent="0.25">
      <c r="A265" s="2" t="s">
        <v>51</v>
      </c>
      <c r="B265" t="s">
        <v>52</v>
      </c>
      <c r="C265">
        <v>5</v>
      </c>
      <c r="D265">
        <v>1</v>
      </c>
      <c r="E265">
        <v>5</v>
      </c>
      <c r="F265">
        <v>2636.890171</v>
      </c>
      <c r="G265">
        <v>6987.7589529999996</v>
      </c>
      <c r="H265">
        <v>1097.2100001531001</v>
      </c>
      <c r="I265">
        <v>1.0972100001531</v>
      </c>
      <c r="J265">
        <v>1.0972100001530999E-3</v>
      </c>
      <c r="K265">
        <v>2.41893111053753</v>
      </c>
      <c r="L265" s="3">
        <v>1.24E-2</v>
      </c>
      <c r="M265" s="3">
        <v>3.2</v>
      </c>
      <c r="N265">
        <v>35.147648337383004</v>
      </c>
      <c r="O265" s="2">
        <v>13.536766584899</v>
      </c>
      <c r="P265" s="2">
        <v>51.792812427196701</v>
      </c>
      <c r="Q265" s="2">
        <v>124.47203178850501</v>
      </c>
      <c r="R265" s="2">
        <v>329.85088423953698</v>
      </c>
      <c r="S265">
        <v>20.9</v>
      </c>
      <c r="T265">
        <v>0.19500000000000001</v>
      </c>
      <c r="U265">
        <v>-0.35</v>
      </c>
    </row>
    <row r="266" spans="1:21" x14ac:dyDescent="0.25">
      <c r="A266" t="s">
        <v>85</v>
      </c>
      <c r="B266" t="s">
        <v>86</v>
      </c>
      <c r="C266">
        <v>5</v>
      </c>
      <c r="D266">
        <v>7</v>
      </c>
      <c r="E266">
        <v>35</v>
      </c>
      <c r="F266">
        <v>43204.537799999998</v>
      </c>
      <c r="G266">
        <v>114492.325</v>
      </c>
      <c r="H266">
        <v>17977.408179999999</v>
      </c>
      <c r="I266">
        <v>17.977408180000001</v>
      </c>
      <c r="J266">
        <v>1.7977408E-2</v>
      </c>
      <c r="K266">
        <v>39.633353620000001</v>
      </c>
      <c r="L266">
        <v>5.2399999999999999E-3</v>
      </c>
      <c r="M266">
        <v>3.141</v>
      </c>
      <c r="N266">
        <v>120.4130632</v>
      </c>
      <c r="O266" s="2">
        <v>304.75867596908802</v>
      </c>
      <c r="P266" s="2">
        <v>332228.83883435198</v>
      </c>
      <c r="Q266" s="2">
        <v>798435.08491793403</v>
      </c>
      <c r="R266" s="2">
        <v>2115852.9750325298</v>
      </c>
      <c r="S266">
        <v>309.24444444444401</v>
      </c>
      <c r="T266">
        <v>0.13655555555555601</v>
      </c>
      <c r="U266">
        <v>4</v>
      </c>
    </row>
    <row r="267" spans="1:21" x14ac:dyDescent="0.25">
      <c r="A267" t="s">
        <v>77</v>
      </c>
      <c r="B267" t="s">
        <v>78</v>
      </c>
      <c r="C267">
        <v>5</v>
      </c>
      <c r="D267">
        <v>3</v>
      </c>
      <c r="E267">
        <v>15</v>
      </c>
      <c r="F267">
        <v>171800.33780000001</v>
      </c>
      <c r="G267">
        <v>455270.89510000002</v>
      </c>
      <c r="H267">
        <v>71486.120559999996</v>
      </c>
      <c r="I267">
        <v>71.486120560000003</v>
      </c>
      <c r="J267">
        <v>7.1486121E-2</v>
      </c>
      <c r="K267">
        <v>157.59973110000001</v>
      </c>
      <c r="L267">
        <v>3.5000000000000003E-2</v>
      </c>
      <c r="M267">
        <v>2.9</v>
      </c>
      <c r="N267">
        <v>149.93915659999999</v>
      </c>
      <c r="O267" s="2">
        <v>208.29173334567099</v>
      </c>
      <c r="P267" s="2">
        <v>185445.77494766199</v>
      </c>
      <c r="Q267" s="2">
        <v>445675.97920610901</v>
      </c>
      <c r="R267" s="2">
        <v>1181041.3448961901</v>
      </c>
      <c r="S267">
        <v>208.40700000000001</v>
      </c>
      <c r="T267">
        <v>0.5</v>
      </c>
      <c r="U267">
        <v>0</v>
      </c>
    </row>
    <row r="268" spans="1:21" x14ac:dyDescent="0.25">
      <c r="A268" t="s">
        <v>79</v>
      </c>
      <c r="B268" t="s">
        <v>80</v>
      </c>
      <c r="C268">
        <v>5</v>
      </c>
      <c r="D268">
        <v>2</v>
      </c>
      <c r="E268">
        <v>10</v>
      </c>
      <c r="F268">
        <v>2636.890171</v>
      </c>
      <c r="G268">
        <v>6987.7589529999996</v>
      </c>
      <c r="H268">
        <v>1097.21</v>
      </c>
      <c r="I268">
        <v>1.09721</v>
      </c>
      <c r="J268">
        <v>1.0972099999999999E-3</v>
      </c>
      <c r="K268">
        <v>2.418931111</v>
      </c>
      <c r="L268">
        <v>3.3999999999999998E-3</v>
      </c>
      <c r="M268">
        <v>3.2850000000000001</v>
      </c>
      <c r="N268">
        <v>35.147648340000003</v>
      </c>
      <c r="O268">
        <v>48.957256909241202</v>
      </c>
      <c r="P268">
        <v>3168.3731836991401</v>
      </c>
      <c r="Q268">
        <v>7614.4512946386503</v>
      </c>
      <c r="R268">
        <v>20178.295930792399</v>
      </c>
      <c r="S268">
        <v>59.9</v>
      </c>
      <c r="T268">
        <v>0.17</v>
      </c>
      <c r="U268">
        <v>0</v>
      </c>
    </row>
    <row r="269" spans="1:21" x14ac:dyDescent="0.25">
      <c r="A269" t="s">
        <v>81</v>
      </c>
      <c r="B269" t="s">
        <v>82</v>
      </c>
      <c r="C269">
        <v>5</v>
      </c>
      <c r="D269">
        <v>2</v>
      </c>
      <c r="E269">
        <v>10</v>
      </c>
      <c r="F269">
        <v>1550.4325879999999</v>
      </c>
      <c r="G269">
        <v>4108.6463590000003</v>
      </c>
      <c r="H269">
        <v>645.13499990000003</v>
      </c>
      <c r="I269">
        <v>0.64513500000000001</v>
      </c>
      <c r="J269">
        <v>6.4513500000000002E-4</v>
      </c>
      <c r="K269">
        <v>1.422277523</v>
      </c>
      <c r="L269">
        <v>1.4999999999999999E-2</v>
      </c>
      <c r="M269">
        <v>3</v>
      </c>
      <c r="N269">
        <v>35.036424660000002</v>
      </c>
      <c r="O269">
        <v>86.635546450410104</v>
      </c>
      <c r="P269">
        <v>9753.9295879222991</v>
      </c>
      <c r="Q269">
        <v>23441.3111942377</v>
      </c>
      <c r="R269">
        <v>62119.474664729903</v>
      </c>
      <c r="S269">
        <v>106</v>
      </c>
      <c r="T269">
        <v>0.17</v>
      </c>
      <c r="U269">
        <v>0</v>
      </c>
    </row>
    <row r="270" spans="1:21" x14ac:dyDescent="0.25">
      <c r="A270" t="s">
        <v>83</v>
      </c>
      <c r="B270" t="s">
        <v>84</v>
      </c>
      <c r="C270">
        <v>5</v>
      </c>
      <c r="D270">
        <v>7</v>
      </c>
      <c r="E270">
        <v>35</v>
      </c>
      <c r="F270">
        <v>43204.537799999998</v>
      </c>
      <c r="G270">
        <v>114492.325</v>
      </c>
      <c r="H270">
        <v>17977.408179999999</v>
      </c>
      <c r="I270">
        <v>17.977408180000001</v>
      </c>
      <c r="J270">
        <v>1.7977408E-2</v>
      </c>
      <c r="K270">
        <v>39.633353620000001</v>
      </c>
      <c r="L270">
        <v>5.4000000000000003E-3</v>
      </c>
      <c r="M270">
        <v>3</v>
      </c>
      <c r="N270">
        <v>149.3176363</v>
      </c>
      <c r="O270">
        <v>275.17027464770302</v>
      </c>
      <c r="P270">
        <v>112511.861920271</v>
      </c>
      <c r="Q270">
        <v>270396.20745078399</v>
      </c>
      <c r="R270">
        <v>716549.94974457705</v>
      </c>
      <c r="S270">
        <v>280</v>
      </c>
      <c r="T270">
        <v>0.11600000000000001</v>
      </c>
      <c r="U270">
        <v>0</v>
      </c>
    </row>
    <row r="271" spans="1:21" x14ac:dyDescent="0.25">
      <c r="A271" t="s">
        <v>91</v>
      </c>
      <c r="B271" t="s">
        <v>92</v>
      </c>
      <c r="C271">
        <v>5</v>
      </c>
      <c r="D271">
        <v>2</v>
      </c>
      <c r="E271">
        <v>10</v>
      </c>
      <c r="F271">
        <v>1550.4325879999999</v>
      </c>
      <c r="G271">
        <v>4108.6463590000003</v>
      </c>
      <c r="H271">
        <v>645.13499990000003</v>
      </c>
      <c r="I271">
        <v>0.64513500000000001</v>
      </c>
      <c r="J271">
        <v>6.4513500000000002E-4</v>
      </c>
      <c r="K271">
        <v>1.422277523</v>
      </c>
      <c r="L271">
        <v>1.2999999999999999E-2</v>
      </c>
      <c r="M271">
        <v>3</v>
      </c>
      <c r="N271">
        <v>36.748172850000003</v>
      </c>
      <c r="O271">
        <v>51.195969122797401</v>
      </c>
      <c r="P271">
        <v>1744.41839503647</v>
      </c>
      <c r="Q271">
        <v>4192.3056838175198</v>
      </c>
      <c r="R271">
        <v>11109.610062116401</v>
      </c>
      <c r="S271">
        <v>60.2</v>
      </c>
      <c r="T271">
        <v>0.19</v>
      </c>
      <c r="U271">
        <v>0</v>
      </c>
    </row>
    <row r="272" spans="1:21" x14ac:dyDescent="0.25">
      <c r="A272" t="s">
        <v>87</v>
      </c>
      <c r="B272" t="s">
        <v>88</v>
      </c>
      <c r="C272">
        <v>5</v>
      </c>
      <c r="D272">
        <v>2</v>
      </c>
      <c r="E272">
        <v>10</v>
      </c>
      <c r="F272">
        <v>1550.4325879999999</v>
      </c>
      <c r="G272">
        <v>4108.6463590000003</v>
      </c>
      <c r="H272">
        <v>645.13499990000003</v>
      </c>
      <c r="I272">
        <v>0.64513500000000001</v>
      </c>
      <c r="J272">
        <v>6.4513500000000002E-4</v>
      </c>
      <c r="K272">
        <v>1.422277523</v>
      </c>
      <c r="L272">
        <v>6.0000000000000001E-3</v>
      </c>
      <c r="M272">
        <v>3.1</v>
      </c>
      <c r="N272">
        <v>41.982114379999999</v>
      </c>
      <c r="O272">
        <v>27.365800500123299</v>
      </c>
      <c r="P272">
        <v>171.19715208220501</v>
      </c>
      <c r="Q272">
        <v>411.43271348763602</v>
      </c>
      <c r="R272">
        <v>1090.2966907422399</v>
      </c>
      <c r="S272">
        <v>31.4</v>
      </c>
      <c r="T272">
        <v>0.19</v>
      </c>
      <c r="U272">
        <v>-0.8</v>
      </c>
    </row>
    <row r="273" spans="1:21" x14ac:dyDescent="0.25">
      <c r="A273" t="s">
        <v>93</v>
      </c>
      <c r="B273" t="s">
        <v>94</v>
      </c>
      <c r="C273">
        <v>5</v>
      </c>
      <c r="D273">
        <v>9</v>
      </c>
      <c r="E273">
        <v>45</v>
      </c>
      <c r="F273">
        <v>1772528355</v>
      </c>
      <c r="G273">
        <v>4697200141</v>
      </c>
      <c r="H273">
        <v>737549048.5</v>
      </c>
      <c r="I273">
        <v>737549.04850000003</v>
      </c>
      <c r="J273">
        <v>737.54904850000003</v>
      </c>
      <c r="K273">
        <v>1626015.3829999999</v>
      </c>
      <c r="L273" s="2">
        <v>1.7000000000000001E-2</v>
      </c>
      <c r="M273">
        <v>3</v>
      </c>
      <c r="N273">
        <v>1544.9709</v>
      </c>
      <c r="O273" s="2">
        <v>1584.9393839535101</v>
      </c>
      <c r="P273" s="2">
        <v>67684136.583491698</v>
      </c>
      <c r="Q273" s="2">
        <v>162663149.68395001</v>
      </c>
      <c r="R273" s="2">
        <v>431057346.66246802</v>
      </c>
      <c r="S273">
        <v>1584.96</v>
      </c>
      <c r="T273" s="2">
        <v>0.25</v>
      </c>
      <c r="U273">
        <v>0</v>
      </c>
    </row>
    <row r="274" spans="1:21" x14ac:dyDescent="0.25">
      <c r="A274" t="s">
        <v>109</v>
      </c>
      <c r="B274" t="s">
        <v>110</v>
      </c>
      <c r="C274">
        <v>5</v>
      </c>
      <c r="D274">
        <v>5</v>
      </c>
      <c r="E274">
        <v>25</v>
      </c>
      <c r="F274">
        <v>7003.1900919999998</v>
      </c>
      <c r="G274">
        <v>18558.453740000001</v>
      </c>
      <c r="H274">
        <v>2914.0273969999998</v>
      </c>
      <c r="I274">
        <v>2.9140273969999999</v>
      </c>
      <c r="J274">
        <v>2.914027E-3</v>
      </c>
      <c r="K274">
        <v>6.4243230809999998</v>
      </c>
      <c r="L274">
        <v>4.3E-3</v>
      </c>
      <c r="M274">
        <v>3.1</v>
      </c>
      <c r="N274">
        <v>76.02840209</v>
      </c>
      <c r="O274">
        <v>142.40656028798401</v>
      </c>
      <c r="P274">
        <v>20389.728589471899</v>
      </c>
      <c r="Q274">
        <v>49001.991322931703</v>
      </c>
      <c r="R274">
        <v>129855.27700576901</v>
      </c>
      <c r="S274">
        <v>186</v>
      </c>
      <c r="T274">
        <v>4.5999999999999999E-2</v>
      </c>
      <c r="U274">
        <v>-6.54</v>
      </c>
    </row>
    <row r="275" spans="1:21" x14ac:dyDescent="0.25">
      <c r="A275" t="s">
        <v>99</v>
      </c>
      <c r="B275" t="s">
        <v>100</v>
      </c>
      <c r="C275">
        <v>5</v>
      </c>
      <c r="D275">
        <v>2</v>
      </c>
      <c r="E275">
        <v>10</v>
      </c>
      <c r="F275">
        <v>1550.4325879999999</v>
      </c>
      <c r="G275">
        <v>4108.6463590000003</v>
      </c>
      <c r="H275">
        <v>645.13499990000003</v>
      </c>
      <c r="I275">
        <v>0.64513500000000001</v>
      </c>
      <c r="J275">
        <v>6.4513500000000002E-4</v>
      </c>
      <c r="K275">
        <v>1.422277523</v>
      </c>
      <c r="L275">
        <v>1.4999999999999999E-2</v>
      </c>
      <c r="M275">
        <v>3.1</v>
      </c>
      <c r="N275">
        <v>31.238959699999999</v>
      </c>
      <c r="O275">
        <v>34.654218580164098</v>
      </c>
      <c r="P275">
        <v>889.88769421480004</v>
      </c>
      <c r="Q275">
        <v>2138.6390151761598</v>
      </c>
      <c r="R275">
        <v>5667.3933902168201</v>
      </c>
      <c r="S275">
        <v>42.4</v>
      </c>
      <c r="T275">
        <v>0.17</v>
      </c>
      <c r="U275">
        <v>0</v>
      </c>
    </row>
    <row r="276" spans="1:21" x14ac:dyDescent="0.25">
      <c r="A276" t="s">
        <v>97</v>
      </c>
      <c r="B276" t="s">
        <v>98</v>
      </c>
      <c r="C276">
        <v>5</v>
      </c>
      <c r="D276">
        <v>2</v>
      </c>
      <c r="E276">
        <v>10</v>
      </c>
      <c r="F276">
        <v>27162.319380000001</v>
      </c>
      <c r="G276">
        <v>71980.146370000002</v>
      </c>
      <c r="H276">
        <v>11302.24109</v>
      </c>
      <c r="I276">
        <v>11.302241090000001</v>
      </c>
      <c r="J276">
        <v>1.1302240999999999E-2</v>
      </c>
      <c r="K276">
        <v>24.917146760000001</v>
      </c>
      <c r="L276" s="2">
        <v>6.5000000000000002E-2</v>
      </c>
      <c r="M276">
        <v>3</v>
      </c>
      <c r="N276">
        <v>82.675758979999998</v>
      </c>
      <c r="O276">
        <v>23.586947208864501</v>
      </c>
      <c r="P276">
        <v>852.95979682542895</v>
      </c>
      <c r="Q276">
        <v>2049.8913646369301</v>
      </c>
      <c r="R276">
        <v>5432.2121162878802</v>
      </c>
      <c r="S276">
        <v>23.6</v>
      </c>
      <c r="T276">
        <v>0.75</v>
      </c>
      <c r="U276">
        <v>0</v>
      </c>
    </row>
    <row r="277" spans="1:21" x14ac:dyDescent="0.25">
      <c r="A277" s="2" t="s">
        <v>47</v>
      </c>
      <c r="B277" t="s">
        <v>48</v>
      </c>
      <c r="C277">
        <v>5</v>
      </c>
      <c r="D277">
        <v>1</v>
      </c>
      <c r="E277">
        <v>5</v>
      </c>
      <c r="F277">
        <v>254.74645520000001</v>
      </c>
      <c r="G277">
        <v>675.07810619999998</v>
      </c>
      <c r="H277">
        <v>106.00000000871999</v>
      </c>
      <c r="I277">
        <v>0.10600000000871999</v>
      </c>
      <c r="J277">
        <v>1.0600000000872E-4</v>
      </c>
      <c r="K277">
        <v>0.233689720019224</v>
      </c>
      <c r="L277" s="3">
        <v>1.23E-2</v>
      </c>
      <c r="M277" s="3">
        <v>3.2</v>
      </c>
      <c r="N277">
        <v>16.975115407979299</v>
      </c>
      <c r="O277" s="2">
        <v>37.103843733673202</v>
      </c>
      <c r="P277" s="2">
        <v>1294.33173211756</v>
      </c>
      <c r="Q277" s="2">
        <v>3110.6266092707501</v>
      </c>
      <c r="R277" s="2">
        <v>8243.1605145674694</v>
      </c>
      <c r="S277" s="2">
        <v>39.200000000000003</v>
      </c>
      <c r="T277" s="2">
        <v>0.58571428571428596</v>
      </c>
      <c r="U277" s="2">
        <v>0</v>
      </c>
    </row>
    <row r="278" spans="1:21" x14ac:dyDescent="0.25">
      <c r="A278" t="s">
        <v>103</v>
      </c>
      <c r="B278" t="s">
        <v>104</v>
      </c>
      <c r="C278">
        <v>5</v>
      </c>
      <c r="D278">
        <v>1</v>
      </c>
      <c r="E278">
        <v>5</v>
      </c>
      <c r="F278">
        <v>826.58014939999998</v>
      </c>
      <c r="G278">
        <v>2190.4373959999998</v>
      </c>
      <c r="H278">
        <v>343.94000019999999</v>
      </c>
      <c r="I278">
        <v>0.34394000000000002</v>
      </c>
      <c r="J278">
        <v>3.4393999999999999E-4</v>
      </c>
      <c r="K278">
        <v>0.75825700299999998</v>
      </c>
      <c r="L278">
        <v>1.2999999999999999E-2</v>
      </c>
      <c r="M278">
        <v>2.8</v>
      </c>
      <c r="N278">
        <v>37.973299429999997</v>
      </c>
      <c r="O278">
        <v>38.810344252964804</v>
      </c>
      <c r="P278">
        <v>365.59170918238999</v>
      </c>
      <c r="Q278">
        <v>878.615018462845</v>
      </c>
      <c r="R278">
        <v>2328.3297989265402</v>
      </c>
      <c r="S278">
        <v>65.400000000000006</v>
      </c>
      <c r="T278">
        <v>0.18</v>
      </c>
      <c r="U278">
        <v>0</v>
      </c>
    </row>
    <row r="279" spans="1:21" x14ac:dyDescent="0.25">
      <c r="A279" s="2" t="s">
        <v>105</v>
      </c>
      <c r="B279" t="s">
        <v>106</v>
      </c>
      <c r="C279">
        <v>5</v>
      </c>
      <c r="D279">
        <v>3</v>
      </c>
      <c r="E279">
        <v>15</v>
      </c>
      <c r="F279">
        <v>7000</v>
      </c>
      <c r="G279">
        <v>18550</v>
      </c>
      <c r="H279">
        <v>2912.7</v>
      </c>
      <c r="I279">
        <v>2.9127000000000001</v>
      </c>
      <c r="J279">
        <v>2.9126999999999998E-3</v>
      </c>
      <c r="K279">
        <v>6.4195907999999999</v>
      </c>
      <c r="L279" s="3">
        <v>1.2699999999999999E-2</v>
      </c>
      <c r="M279" s="3">
        <v>3.1</v>
      </c>
      <c r="N279">
        <v>53.603232342129701</v>
      </c>
      <c r="O279" s="2">
        <v>99.828338512433405</v>
      </c>
      <c r="P279" s="2">
        <v>20021.224447421999</v>
      </c>
      <c r="Q279" s="2">
        <v>48116.376946459997</v>
      </c>
      <c r="R279" s="2">
        <v>127508.39890811899</v>
      </c>
      <c r="S279">
        <v>109.97499999999999</v>
      </c>
      <c r="T279">
        <v>0.14749999999999999</v>
      </c>
      <c r="U279">
        <v>-1.1566666666666701</v>
      </c>
    </row>
    <row r="280" spans="1:21" x14ac:dyDescent="0.25">
      <c r="A280" t="s">
        <v>115</v>
      </c>
      <c r="B280" t="s">
        <v>116</v>
      </c>
      <c r="C280">
        <v>5</v>
      </c>
      <c r="D280">
        <v>7</v>
      </c>
      <c r="E280">
        <v>35</v>
      </c>
      <c r="F280">
        <v>9236054.7949999999</v>
      </c>
      <c r="G280">
        <v>24475545.210000001</v>
      </c>
      <c r="H280">
        <v>3843122.4</v>
      </c>
      <c r="I280">
        <v>3843.1224000000002</v>
      </c>
      <c r="J280">
        <v>3.8431223999999999</v>
      </c>
      <c r="K280">
        <v>8472.6245060000001</v>
      </c>
      <c r="L280" s="2">
        <v>1.4999999999999999E-2</v>
      </c>
      <c r="M280">
        <v>3</v>
      </c>
      <c r="N280">
        <v>727.04518989999997</v>
      </c>
      <c r="O280" s="2">
        <v>271.73693338106</v>
      </c>
      <c r="P280" s="2">
        <v>300979.74435133999</v>
      </c>
      <c r="Q280" s="2">
        <v>723335.12220941996</v>
      </c>
      <c r="R280" s="2">
        <v>1916838.07385496</v>
      </c>
      <c r="S280">
        <v>271.77999999999997</v>
      </c>
      <c r="T280">
        <v>0.25</v>
      </c>
      <c r="U280">
        <v>0</v>
      </c>
    </row>
    <row r="281" spans="1:21" x14ac:dyDescent="0.25">
      <c r="A281" t="s">
        <v>107</v>
      </c>
      <c r="B281" t="s">
        <v>108</v>
      </c>
      <c r="C281">
        <v>5</v>
      </c>
      <c r="D281">
        <v>5</v>
      </c>
      <c r="E281">
        <v>25</v>
      </c>
      <c r="F281">
        <v>7003.1900919999998</v>
      </c>
      <c r="G281">
        <v>18558.453740000001</v>
      </c>
      <c r="H281">
        <v>2914.0273969999998</v>
      </c>
      <c r="I281">
        <v>2.9140273969999999</v>
      </c>
      <c r="J281">
        <v>2.914027E-3</v>
      </c>
      <c r="K281">
        <v>6.4243230809999998</v>
      </c>
      <c r="L281">
        <v>3.5999999999999999E-3</v>
      </c>
      <c r="M281">
        <v>3</v>
      </c>
      <c r="N281">
        <v>93.195950769999996</v>
      </c>
      <c r="O281">
        <v>106.86928906352399</v>
      </c>
      <c r="P281">
        <v>4394.0122330630602</v>
      </c>
      <c r="Q281">
        <v>10559.990947039299</v>
      </c>
      <c r="R281">
        <v>27983.976009654201</v>
      </c>
      <c r="S281">
        <v>150</v>
      </c>
      <c r="T281">
        <v>4.1000000000000002E-2</v>
      </c>
      <c r="U281">
        <v>-5.4</v>
      </c>
    </row>
    <row r="282" spans="1:21" x14ac:dyDescent="0.25">
      <c r="A282" t="s">
        <v>41</v>
      </c>
      <c r="B282" t="s">
        <v>42</v>
      </c>
      <c r="C282">
        <v>5</v>
      </c>
      <c r="D282">
        <v>4</v>
      </c>
      <c r="E282">
        <v>20</v>
      </c>
      <c r="F282">
        <v>12752.861699999999</v>
      </c>
      <c r="G282">
        <v>33795.083509999997</v>
      </c>
      <c r="H282">
        <v>5306.4657530000004</v>
      </c>
      <c r="I282">
        <v>5.3064657530000003</v>
      </c>
      <c r="J282">
        <v>5.3064660000000001E-3</v>
      </c>
      <c r="K282">
        <v>11.69874053</v>
      </c>
      <c r="L282">
        <v>1.34E-2</v>
      </c>
      <c r="M282">
        <v>3.1</v>
      </c>
      <c r="N282">
        <v>63.930758990000001</v>
      </c>
      <c r="O282">
        <v>84.269277425813897</v>
      </c>
      <c r="P282">
        <v>12493.3680838173</v>
      </c>
      <c r="Q282">
        <v>30024.917288674202</v>
      </c>
      <c r="R282">
        <v>79566.030814986603</v>
      </c>
      <c r="S282">
        <v>91.5</v>
      </c>
      <c r="T282">
        <v>0.12690000000000001</v>
      </c>
      <c r="U282">
        <v>0</v>
      </c>
    </row>
    <row r="283" spans="1:21" x14ac:dyDescent="0.25">
      <c r="A283" t="s">
        <v>111</v>
      </c>
      <c r="B283" t="s">
        <v>112</v>
      </c>
      <c r="C283">
        <v>5</v>
      </c>
      <c r="D283">
        <v>2</v>
      </c>
      <c r="E283">
        <v>10</v>
      </c>
      <c r="F283">
        <v>1550.4325879999999</v>
      </c>
      <c r="G283">
        <v>4108.6463590000003</v>
      </c>
      <c r="H283">
        <v>645.13499990000003</v>
      </c>
      <c r="I283">
        <v>0.64513500000000001</v>
      </c>
      <c r="J283">
        <v>6.4513500000000002E-4</v>
      </c>
      <c r="K283">
        <v>1.422277523</v>
      </c>
      <c r="L283">
        <v>1.2200000000000001E-2</v>
      </c>
      <c r="M283">
        <v>2.9</v>
      </c>
      <c r="N283">
        <v>42.532504469999999</v>
      </c>
      <c r="O283">
        <v>85.964352561510793</v>
      </c>
      <c r="P283">
        <v>4964.5876313099398</v>
      </c>
      <c r="Q283">
        <v>11931.236797187999</v>
      </c>
      <c r="R283">
        <v>31617.777512548299</v>
      </c>
      <c r="S283">
        <v>98.7</v>
      </c>
      <c r="T283">
        <v>0.158</v>
      </c>
      <c r="U283">
        <v>-2.96</v>
      </c>
    </row>
    <row r="284" spans="1:21" x14ac:dyDescent="0.25">
      <c r="A284" t="s">
        <v>113</v>
      </c>
      <c r="B284" t="s">
        <v>114</v>
      </c>
      <c r="C284">
        <v>5</v>
      </c>
      <c r="D284">
        <v>2</v>
      </c>
      <c r="E284">
        <v>10</v>
      </c>
      <c r="F284">
        <v>2636.890171</v>
      </c>
      <c r="G284">
        <v>6987.7589529999996</v>
      </c>
      <c r="H284">
        <v>1097.21</v>
      </c>
      <c r="I284">
        <v>1.09721</v>
      </c>
      <c r="J284">
        <v>1.0972099999999999E-3</v>
      </c>
      <c r="K284">
        <v>2.418931111</v>
      </c>
      <c r="L284">
        <v>1.2E-2</v>
      </c>
      <c r="M284">
        <v>3.05</v>
      </c>
      <c r="N284">
        <v>42.32460897</v>
      </c>
      <c r="O284">
        <v>75.894010847256595</v>
      </c>
      <c r="P284">
        <v>6513.4957842609601</v>
      </c>
      <c r="Q284">
        <v>15653.678885510601</v>
      </c>
      <c r="R284">
        <v>41482.249046603101</v>
      </c>
      <c r="S284">
        <v>85.9</v>
      </c>
      <c r="T284">
        <v>0.215</v>
      </c>
      <c r="U284">
        <v>0</v>
      </c>
    </row>
    <row r="285" spans="1:21" x14ac:dyDescent="0.25">
      <c r="A285" t="s">
        <v>117</v>
      </c>
      <c r="B285" t="s">
        <v>118</v>
      </c>
      <c r="C285">
        <v>5</v>
      </c>
      <c r="D285">
        <v>2</v>
      </c>
      <c r="E285">
        <v>10</v>
      </c>
      <c r="F285">
        <v>1550.4325879999999</v>
      </c>
      <c r="G285">
        <v>4108.6463590000003</v>
      </c>
      <c r="H285">
        <v>645.13499990000003</v>
      </c>
      <c r="I285">
        <v>0.64513500000000001</v>
      </c>
      <c r="J285">
        <v>6.4513500000000002E-4</v>
      </c>
      <c r="K285">
        <v>1.422277523</v>
      </c>
      <c r="L285">
        <v>1.4999999999999999E-2</v>
      </c>
      <c r="M285">
        <v>3</v>
      </c>
      <c r="N285">
        <v>35.036424660000002</v>
      </c>
      <c r="O285">
        <v>46.271224906250403</v>
      </c>
      <c r="P285">
        <v>1486.0186101607501</v>
      </c>
      <c r="Q285">
        <v>3571.3016346088698</v>
      </c>
      <c r="R285">
        <v>9463.9493317135202</v>
      </c>
      <c r="S285">
        <v>73.2</v>
      </c>
      <c r="T285">
        <v>0.1</v>
      </c>
      <c r="U285">
        <v>0</v>
      </c>
    </row>
    <row r="286" spans="1:21" x14ac:dyDescent="0.25">
      <c r="A286" t="s">
        <v>123</v>
      </c>
      <c r="B286" t="s">
        <v>124</v>
      </c>
      <c r="C286">
        <v>5</v>
      </c>
      <c r="D286">
        <v>2</v>
      </c>
      <c r="E286">
        <v>10</v>
      </c>
      <c r="F286">
        <v>1550.4325879999999</v>
      </c>
      <c r="G286">
        <v>4108.6463590000003</v>
      </c>
      <c r="H286">
        <v>645.13499990000003</v>
      </c>
      <c r="I286">
        <v>0.64513500000000001</v>
      </c>
      <c r="J286">
        <v>6.4513500000000002E-4</v>
      </c>
      <c r="K286">
        <v>1.422277523</v>
      </c>
      <c r="L286">
        <v>9.4999999999999998E-3</v>
      </c>
      <c r="M286">
        <v>3.1</v>
      </c>
      <c r="N286">
        <v>36.198129430000002</v>
      </c>
      <c r="O286">
        <v>79.871300682011494</v>
      </c>
      <c r="P286">
        <v>7501.2726572146203</v>
      </c>
      <c r="Q286">
        <v>18027.571875065201</v>
      </c>
      <c r="R286">
        <v>47773.065468922701</v>
      </c>
      <c r="S286">
        <v>111</v>
      </c>
      <c r="T286">
        <v>0.13</v>
      </c>
      <c r="U286">
        <v>0.22</v>
      </c>
    </row>
    <row r="287" spans="1:21" x14ac:dyDescent="0.25">
      <c r="A287" t="s">
        <v>121</v>
      </c>
      <c r="B287" t="s">
        <v>122</v>
      </c>
      <c r="C287">
        <v>5</v>
      </c>
      <c r="D287">
        <v>7</v>
      </c>
      <c r="E287">
        <v>35</v>
      </c>
      <c r="F287">
        <v>9236054.7949999999</v>
      </c>
      <c r="G287">
        <v>24475545.210000001</v>
      </c>
      <c r="H287">
        <v>3843122.4</v>
      </c>
      <c r="I287">
        <v>3843.1224000000002</v>
      </c>
      <c r="J287">
        <v>3.8431223999999999</v>
      </c>
      <c r="K287">
        <v>8472.6245060000001</v>
      </c>
      <c r="L287" s="2">
        <v>1E-3</v>
      </c>
      <c r="M287">
        <v>3</v>
      </c>
      <c r="N287">
        <v>727.04518989999997</v>
      </c>
      <c r="O287" s="2">
        <v>2615.3455032042202</v>
      </c>
      <c r="P287" s="2">
        <v>17889047.197464202</v>
      </c>
      <c r="Q287" s="2">
        <v>42992182.642307498</v>
      </c>
      <c r="R287" s="2">
        <v>113929284.002115</v>
      </c>
      <c r="S287">
        <v>2615.7600000000002</v>
      </c>
      <c r="T287">
        <v>0.25</v>
      </c>
      <c r="U287">
        <v>0</v>
      </c>
    </row>
    <row r="288" spans="1:21" x14ac:dyDescent="0.25">
      <c r="A288" t="s">
        <v>119</v>
      </c>
      <c r="B288" t="s">
        <v>120</v>
      </c>
      <c r="C288">
        <v>5</v>
      </c>
      <c r="D288">
        <v>3</v>
      </c>
      <c r="E288">
        <v>15</v>
      </c>
      <c r="F288">
        <v>174502.53330000001</v>
      </c>
      <c r="G288">
        <v>462431.7133</v>
      </c>
      <c r="H288">
        <v>72610.504109999994</v>
      </c>
      <c r="I288">
        <v>72.610504109999994</v>
      </c>
      <c r="J288">
        <v>7.2610504000000006E-2</v>
      </c>
      <c r="K288">
        <v>160.07856960000001</v>
      </c>
      <c r="L288">
        <v>2.1399999999999999E-2</v>
      </c>
      <c r="M288">
        <v>2.96</v>
      </c>
      <c r="N288">
        <v>160.79737159999999</v>
      </c>
      <c r="O288" s="2">
        <v>128.832928307294</v>
      </c>
      <c r="P288" s="2">
        <v>37678.476387287898</v>
      </c>
      <c r="Q288" s="2">
        <v>90551.493360461202</v>
      </c>
      <c r="R288" s="2">
        <v>239961.457405222</v>
      </c>
      <c r="S288">
        <v>133.76666666666699</v>
      </c>
      <c r="T288">
        <v>0.3</v>
      </c>
      <c r="U288">
        <v>4</v>
      </c>
    </row>
    <row r="289" spans="1:21" x14ac:dyDescent="0.25">
      <c r="A289" t="s">
        <v>89</v>
      </c>
      <c r="B289" t="s">
        <v>90</v>
      </c>
      <c r="C289">
        <v>5</v>
      </c>
      <c r="D289">
        <v>8</v>
      </c>
      <c r="E289">
        <v>40</v>
      </c>
      <c r="F289">
        <v>40855</v>
      </c>
      <c r="G289">
        <v>109000</v>
      </c>
      <c r="H289">
        <v>16999.765500000001</v>
      </c>
      <c r="I289">
        <v>16.999765499999999</v>
      </c>
      <c r="J289">
        <v>1.6999765999999999E-2</v>
      </c>
      <c r="K289">
        <v>37.478023020000002</v>
      </c>
      <c r="L289" s="2">
        <v>0.05</v>
      </c>
      <c r="M289" s="2">
        <v>3.2</v>
      </c>
      <c r="N289">
        <v>161.4254301</v>
      </c>
      <c r="O289">
        <v>114.242798401158</v>
      </c>
      <c r="P289">
        <v>2982.0607992826299</v>
      </c>
      <c r="Q289">
        <v>7166.6926202418399</v>
      </c>
      <c r="R289">
        <v>18991.7354436409</v>
      </c>
      <c r="S289">
        <v>114.3</v>
      </c>
      <c r="T289">
        <v>0.19</v>
      </c>
      <c r="U289">
        <v>0</v>
      </c>
    </row>
    <row r="290" spans="1:21" x14ac:dyDescent="0.25">
      <c r="A290" t="s">
        <v>125</v>
      </c>
      <c r="B290" t="s">
        <v>126</v>
      </c>
      <c r="C290">
        <v>5</v>
      </c>
      <c r="D290">
        <v>1</v>
      </c>
      <c r="E290">
        <v>5</v>
      </c>
      <c r="F290">
        <v>3889.4496509999999</v>
      </c>
      <c r="G290">
        <v>10307.041579999999</v>
      </c>
      <c r="H290">
        <v>1618.4</v>
      </c>
      <c r="I290">
        <v>1.6184000000000001</v>
      </c>
      <c r="J290">
        <v>1.6184000000000001E-3</v>
      </c>
      <c r="K290">
        <v>3.567957008</v>
      </c>
      <c r="L290">
        <v>1.4999999999999999E-2</v>
      </c>
      <c r="M290">
        <v>2.9</v>
      </c>
      <c r="N290">
        <v>54.389539650000003</v>
      </c>
      <c r="O290">
        <v>53.511830279081899</v>
      </c>
      <c r="P290">
        <v>1543.8165596502899</v>
      </c>
      <c r="Q290">
        <v>3710.2056228077099</v>
      </c>
      <c r="R290">
        <v>9832.0449004404309</v>
      </c>
      <c r="S290">
        <v>136</v>
      </c>
      <c r="T290">
        <v>0.1</v>
      </c>
      <c r="U290">
        <v>0</v>
      </c>
    </row>
    <row r="291" spans="1:21" x14ac:dyDescent="0.25">
      <c r="A291" t="s">
        <v>131</v>
      </c>
      <c r="B291" t="s">
        <v>132</v>
      </c>
      <c r="C291">
        <v>5</v>
      </c>
      <c r="D291">
        <v>2</v>
      </c>
      <c r="E291">
        <v>10</v>
      </c>
      <c r="F291">
        <v>2636.890171</v>
      </c>
      <c r="G291">
        <v>6987.7589529999996</v>
      </c>
      <c r="H291">
        <v>1097.21</v>
      </c>
      <c r="I291">
        <v>1.09721</v>
      </c>
      <c r="J291">
        <v>1.0972099999999999E-3</v>
      </c>
      <c r="K291">
        <v>2.418931111</v>
      </c>
      <c r="L291">
        <v>1.4E-2</v>
      </c>
      <c r="M291">
        <v>2.9</v>
      </c>
      <c r="N291">
        <v>48.712674319999998</v>
      </c>
      <c r="O291">
        <v>39.515177556086797</v>
      </c>
      <c r="P291">
        <v>598.05820783112802</v>
      </c>
      <c r="Q291">
        <v>1437.2944192048301</v>
      </c>
      <c r="R291">
        <v>3808.8302108927901</v>
      </c>
      <c r="S291">
        <v>45.7</v>
      </c>
      <c r="T291">
        <v>0.2</v>
      </c>
      <c r="U291">
        <v>0</v>
      </c>
    </row>
    <row r="292" spans="1:21" x14ac:dyDescent="0.25">
      <c r="A292" t="s">
        <v>133</v>
      </c>
      <c r="B292" t="s">
        <v>134</v>
      </c>
      <c r="C292">
        <v>5</v>
      </c>
      <c r="D292">
        <v>3</v>
      </c>
      <c r="E292">
        <v>15</v>
      </c>
      <c r="F292">
        <v>7000</v>
      </c>
      <c r="G292">
        <v>18550</v>
      </c>
      <c r="H292">
        <v>2912.7</v>
      </c>
      <c r="I292">
        <v>2.9127000000000001</v>
      </c>
      <c r="J292">
        <v>2.9126999999999998E-3</v>
      </c>
      <c r="K292">
        <v>6.4213966740000004</v>
      </c>
      <c r="L292">
        <v>1.2699999999999999E-2</v>
      </c>
      <c r="M292">
        <v>3.1</v>
      </c>
      <c r="N292">
        <v>53.603232339999998</v>
      </c>
      <c r="O292">
        <v>88.563161743078993</v>
      </c>
      <c r="P292">
        <v>13813.0113976149</v>
      </c>
      <c r="Q292">
        <v>33196.374423491703</v>
      </c>
      <c r="R292">
        <v>87970.392222252907</v>
      </c>
      <c r="S292">
        <v>114</v>
      </c>
      <c r="T292">
        <v>0.1</v>
      </c>
      <c r="U292">
        <v>0</v>
      </c>
    </row>
    <row r="293" spans="1:21" x14ac:dyDescent="0.25">
      <c r="A293" t="s">
        <v>127</v>
      </c>
      <c r="B293" t="s">
        <v>128</v>
      </c>
      <c r="C293">
        <v>5</v>
      </c>
      <c r="D293">
        <v>2</v>
      </c>
      <c r="E293">
        <v>10</v>
      </c>
      <c r="F293">
        <v>2636.890171</v>
      </c>
      <c r="G293">
        <v>6987.7589529999996</v>
      </c>
      <c r="H293">
        <v>1097.21</v>
      </c>
      <c r="I293">
        <v>1.09721</v>
      </c>
      <c r="J293">
        <v>1.0972099999999999E-3</v>
      </c>
      <c r="K293">
        <v>2.418931111</v>
      </c>
      <c r="L293">
        <v>1.4E-2</v>
      </c>
      <c r="M293">
        <v>3</v>
      </c>
      <c r="N293">
        <v>42.794429440000002</v>
      </c>
      <c r="O293">
        <v>59.441036682013099</v>
      </c>
      <c r="P293">
        <v>2940.2696501024202</v>
      </c>
      <c r="Q293">
        <v>7066.2572701331901</v>
      </c>
      <c r="R293">
        <v>18725.581765853</v>
      </c>
      <c r="S293">
        <v>62.2</v>
      </c>
      <c r="T293">
        <v>0.31</v>
      </c>
      <c r="U293">
        <v>-0.05</v>
      </c>
    </row>
    <row r="294" spans="1:21" x14ac:dyDescent="0.25">
      <c r="A294" t="s">
        <v>135</v>
      </c>
      <c r="B294" t="s">
        <v>136</v>
      </c>
      <c r="C294">
        <v>5</v>
      </c>
      <c r="D294">
        <v>2</v>
      </c>
      <c r="E294">
        <v>10</v>
      </c>
      <c r="F294">
        <v>2636.890171</v>
      </c>
      <c r="G294">
        <v>6987.7589529999996</v>
      </c>
      <c r="H294">
        <v>1097.21</v>
      </c>
      <c r="I294">
        <v>1.09721</v>
      </c>
      <c r="J294">
        <v>1.0972099999999999E-3</v>
      </c>
      <c r="K294">
        <v>2.418931111</v>
      </c>
      <c r="L294">
        <v>1.2E-2</v>
      </c>
      <c r="M294">
        <v>3</v>
      </c>
      <c r="N294">
        <v>45.050834190000003</v>
      </c>
      <c r="O294">
        <v>38.019610193166201</v>
      </c>
      <c r="P294">
        <v>659.48394244968597</v>
      </c>
      <c r="Q294">
        <v>1584.9169489297899</v>
      </c>
      <c r="R294">
        <v>4200.02991466395</v>
      </c>
      <c r="S294">
        <v>60.5</v>
      </c>
      <c r="T294">
        <v>9.9000000000000005E-2</v>
      </c>
      <c r="U294">
        <v>0</v>
      </c>
    </row>
    <row r="295" spans="1:21" x14ac:dyDescent="0.25">
      <c r="A295" t="s">
        <v>129</v>
      </c>
      <c r="B295" t="s">
        <v>130</v>
      </c>
      <c r="C295">
        <v>5</v>
      </c>
      <c r="D295">
        <v>2</v>
      </c>
      <c r="E295">
        <v>10</v>
      </c>
      <c r="F295">
        <v>1550.4325879999999</v>
      </c>
      <c r="G295">
        <v>4108.6463590000003</v>
      </c>
      <c r="H295">
        <v>645.13499990000003</v>
      </c>
      <c r="I295">
        <v>0.64513500000000001</v>
      </c>
      <c r="J295">
        <v>6.4513500000000002E-4</v>
      </c>
      <c r="K295">
        <v>1.422277523</v>
      </c>
      <c r="L295">
        <v>1.2500000000000001E-2</v>
      </c>
      <c r="M295">
        <v>2.88</v>
      </c>
      <c r="N295">
        <v>43.288073740000002</v>
      </c>
      <c r="O295">
        <v>55.219563033716</v>
      </c>
      <c r="P295">
        <v>1300.5820447465801</v>
      </c>
      <c r="Q295">
        <v>3125.6477883839998</v>
      </c>
      <c r="R295">
        <v>8282.9666392176096</v>
      </c>
      <c r="S295">
        <v>158</v>
      </c>
      <c r="T295">
        <v>4.2999999999999997E-2</v>
      </c>
      <c r="U295">
        <v>0</v>
      </c>
    </row>
    <row r="296" spans="1:21" x14ac:dyDescent="0.25">
      <c r="A296" t="s">
        <v>137</v>
      </c>
      <c r="B296" t="s">
        <v>138</v>
      </c>
      <c r="C296">
        <v>5</v>
      </c>
      <c r="D296">
        <v>1</v>
      </c>
      <c r="E296">
        <v>5</v>
      </c>
      <c r="F296">
        <v>1241.7688049999999</v>
      </c>
      <c r="G296">
        <v>3290.6873340000002</v>
      </c>
      <c r="H296">
        <v>516.6999998</v>
      </c>
      <c r="I296">
        <v>0.51670000000000005</v>
      </c>
      <c r="J296">
        <v>5.1670000000000004E-4</v>
      </c>
      <c r="K296">
        <v>1.139127153</v>
      </c>
      <c r="L296">
        <v>1.2500000000000001E-2</v>
      </c>
      <c r="M296">
        <v>2.82</v>
      </c>
      <c r="N296">
        <v>43.350678950000002</v>
      </c>
      <c r="O296">
        <v>40.634591025902203</v>
      </c>
      <c r="P296">
        <v>430.52307294985798</v>
      </c>
      <c r="Q296">
        <v>1034.66251610156</v>
      </c>
      <c r="R296">
        <v>2741.8556676691301</v>
      </c>
      <c r="S296">
        <v>50</v>
      </c>
      <c r="T296">
        <v>0.33500000000000002</v>
      </c>
      <c r="U296">
        <v>0</v>
      </c>
    </row>
    <row r="297" spans="1:21" x14ac:dyDescent="0.25">
      <c r="A297" t="s">
        <v>21</v>
      </c>
      <c r="B297" t="s">
        <v>22</v>
      </c>
      <c r="C297">
        <v>6</v>
      </c>
      <c r="D297">
        <v>1</v>
      </c>
      <c r="E297">
        <v>6</v>
      </c>
      <c r="F297">
        <v>244.71280949999999</v>
      </c>
      <c r="G297">
        <v>648.48894510000002</v>
      </c>
      <c r="H297">
        <v>101.825</v>
      </c>
      <c r="I297">
        <v>0.101825</v>
      </c>
      <c r="J297">
        <v>1.0182499999999999E-4</v>
      </c>
      <c r="K297">
        <v>0.22448543200000001</v>
      </c>
      <c r="L297">
        <v>1.6E-2</v>
      </c>
      <c r="M297">
        <v>3</v>
      </c>
      <c r="N297">
        <v>18.531538609999998</v>
      </c>
      <c r="O297">
        <v>10.8456797452498</v>
      </c>
      <c r="P297">
        <v>20.4122233421221</v>
      </c>
      <c r="Q297">
        <v>49.0560522521561</v>
      </c>
      <c r="R297">
        <v>129.99853846821401</v>
      </c>
      <c r="S297">
        <v>13.8</v>
      </c>
      <c r="T297">
        <v>0.21</v>
      </c>
      <c r="U297">
        <v>-1.34</v>
      </c>
    </row>
    <row r="298" spans="1:21" x14ac:dyDescent="0.25">
      <c r="A298" t="s">
        <v>95</v>
      </c>
      <c r="B298" s="2" t="s">
        <v>96</v>
      </c>
      <c r="C298">
        <v>6</v>
      </c>
      <c r="D298">
        <v>2</v>
      </c>
      <c r="E298">
        <v>12</v>
      </c>
      <c r="F298">
        <v>1976.4359529999999</v>
      </c>
      <c r="G298">
        <v>5237.5552749999997</v>
      </c>
      <c r="H298">
        <v>822.39499999999998</v>
      </c>
      <c r="I298">
        <v>0.82239499999999999</v>
      </c>
      <c r="J298">
        <v>8.2239499999999996E-4</v>
      </c>
      <c r="K298">
        <v>1.813068465</v>
      </c>
      <c r="L298">
        <v>0.01</v>
      </c>
      <c r="M298">
        <v>3</v>
      </c>
      <c r="N298">
        <v>39.347356869999999</v>
      </c>
      <c r="O298">
        <v>123.66235835264</v>
      </c>
      <c r="P298">
        <v>25529.7370900352</v>
      </c>
      <c r="Q298">
        <v>61354.811559805901</v>
      </c>
      <c r="R298">
        <v>162590.25063348599</v>
      </c>
      <c r="S298">
        <v>136</v>
      </c>
      <c r="T298">
        <v>0.2</v>
      </c>
      <c r="U298">
        <v>0</v>
      </c>
    </row>
    <row r="299" spans="1:21" x14ac:dyDescent="0.25">
      <c r="A299" t="s">
        <v>101</v>
      </c>
      <c r="B299" t="s">
        <v>102</v>
      </c>
      <c r="C299">
        <v>6</v>
      </c>
      <c r="D299">
        <v>2</v>
      </c>
      <c r="E299">
        <v>12</v>
      </c>
      <c r="F299">
        <v>1976.4359529999999</v>
      </c>
      <c r="G299">
        <v>5237.5552749999997</v>
      </c>
      <c r="H299">
        <v>822.39499999999998</v>
      </c>
      <c r="I299">
        <v>0.82239499999999999</v>
      </c>
      <c r="J299">
        <v>8.2239499999999996E-4</v>
      </c>
      <c r="K299">
        <v>1.813068465</v>
      </c>
      <c r="L299">
        <v>1.2E-2</v>
      </c>
      <c r="M299">
        <v>3.1</v>
      </c>
      <c r="N299">
        <v>36.305087579999999</v>
      </c>
      <c r="O299" s="2">
        <v>82.168080837906501</v>
      </c>
      <c r="P299" s="2">
        <v>10345.726443339499</v>
      </c>
      <c r="Q299" s="2">
        <v>24863.557902762601</v>
      </c>
      <c r="R299" s="2">
        <v>65888.428442321005</v>
      </c>
      <c r="S299">
        <v>150.03333333333299</v>
      </c>
      <c r="T299">
        <v>0.11333333333333299</v>
      </c>
      <c r="U299">
        <v>5</v>
      </c>
    </row>
    <row r="300" spans="1:21" x14ac:dyDescent="0.25">
      <c r="A300" t="s">
        <v>37</v>
      </c>
      <c r="B300" t="s">
        <v>38</v>
      </c>
      <c r="C300">
        <v>6</v>
      </c>
      <c r="D300">
        <v>9</v>
      </c>
      <c r="E300">
        <v>54</v>
      </c>
      <c r="F300">
        <v>1772528841</v>
      </c>
      <c r="G300">
        <v>4697201430</v>
      </c>
      <c r="H300">
        <v>737549250.70000005</v>
      </c>
      <c r="I300">
        <v>737549.25069999998</v>
      </c>
      <c r="J300">
        <v>737.54925070000002</v>
      </c>
      <c r="K300">
        <v>1626015.8289999999</v>
      </c>
      <c r="L300" s="2">
        <v>6.0000000000000001E-3</v>
      </c>
      <c r="M300">
        <v>3</v>
      </c>
      <c r="N300">
        <v>1544.971041</v>
      </c>
      <c r="O300" s="2">
        <v>2097.3599999961898</v>
      </c>
      <c r="P300" s="2">
        <v>55356700.140180103</v>
      </c>
      <c r="Q300" s="2">
        <v>133037010.670945</v>
      </c>
      <c r="R300" s="2">
        <v>352548078.27800298</v>
      </c>
      <c r="S300" s="2">
        <v>2097.36</v>
      </c>
      <c r="T300" s="2">
        <v>0.5</v>
      </c>
      <c r="U300" s="2">
        <v>0</v>
      </c>
    </row>
    <row r="301" spans="1:21" x14ac:dyDescent="0.25">
      <c r="A301" s="2" t="s">
        <v>31</v>
      </c>
      <c r="B301" t="s">
        <v>32</v>
      </c>
      <c r="C301">
        <v>6</v>
      </c>
      <c r="D301">
        <v>1</v>
      </c>
      <c r="E301">
        <v>6</v>
      </c>
      <c r="F301">
        <v>244.71280949999999</v>
      </c>
      <c r="G301">
        <v>648.48894510000002</v>
      </c>
      <c r="H301">
        <v>101.82500003295</v>
      </c>
      <c r="I301">
        <v>0.10182500003295</v>
      </c>
      <c r="J301">
        <v>1.0182500003295E-4</v>
      </c>
      <c r="K301">
        <v>0.224485431572642</v>
      </c>
      <c r="L301" s="3">
        <v>1.1599999999999999E-2</v>
      </c>
      <c r="M301" s="3">
        <v>3</v>
      </c>
      <c r="N301">
        <v>20.6283967913844</v>
      </c>
      <c r="O301" s="2">
        <v>29.0602527799863</v>
      </c>
      <c r="P301" s="2">
        <v>284.67947239585698</v>
      </c>
      <c r="Q301" s="2">
        <v>684.16119297249895</v>
      </c>
      <c r="R301" s="2">
        <v>1813.0271613771199</v>
      </c>
      <c r="S301" s="2">
        <v>29.1726666666667</v>
      </c>
      <c r="T301" s="2">
        <v>0.92646666666666699</v>
      </c>
      <c r="U301" s="2">
        <v>0</v>
      </c>
    </row>
    <row r="302" spans="1:21" x14ac:dyDescent="0.25">
      <c r="A302" t="s">
        <v>25</v>
      </c>
      <c r="B302" t="s">
        <v>26</v>
      </c>
      <c r="C302">
        <v>6</v>
      </c>
      <c r="D302">
        <v>3</v>
      </c>
      <c r="E302">
        <v>18</v>
      </c>
      <c r="F302">
        <v>182386.1888</v>
      </c>
      <c r="G302">
        <v>483323.40029999998</v>
      </c>
      <c r="H302">
        <v>75890.893160000007</v>
      </c>
      <c r="I302">
        <v>75.890893160000005</v>
      </c>
      <c r="J302">
        <v>7.5890893000000001E-2</v>
      </c>
      <c r="K302">
        <v>167.31058089999999</v>
      </c>
      <c r="L302">
        <v>2.1399999999999999E-2</v>
      </c>
      <c r="M302">
        <v>2.96</v>
      </c>
      <c r="N302">
        <v>163.21577260000001</v>
      </c>
      <c r="O302">
        <v>276.92640560908899</v>
      </c>
      <c r="P302">
        <v>362921.17215070501</v>
      </c>
      <c r="Q302">
        <v>872197.00108316599</v>
      </c>
      <c r="R302">
        <v>2311322.05287039</v>
      </c>
      <c r="S302">
        <v>358.7</v>
      </c>
      <c r="T302">
        <v>9.1999999999999998E-2</v>
      </c>
      <c r="U302">
        <v>-1.929</v>
      </c>
    </row>
    <row r="303" spans="1:21" x14ac:dyDescent="0.25">
      <c r="A303" t="s">
        <v>33</v>
      </c>
      <c r="B303" t="s">
        <v>34</v>
      </c>
      <c r="C303">
        <v>6</v>
      </c>
      <c r="D303">
        <v>2</v>
      </c>
      <c r="E303">
        <v>12</v>
      </c>
      <c r="F303">
        <v>1976.4359529999999</v>
      </c>
      <c r="G303">
        <v>5237.5552749999997</v>
      </c>
      <c r="H303">
        <v>822.39499999999998</v>
      </c>
      <c r="I303">
        <v>0.82239499999999999</v>
      </c>
      <c r="J303">
        <v>8.2239499999999996E-4</v>
      </c>
      <c r="K303">
        <v>1.813068465</v>
      </c>
      <c r="L303">
        <v>1.4999999999999999E-2</v>
      </c>
      <c r="M303">
        <v>3</v>
      </c>
      <c r="N303">
        <v>37.989455370000002</v>
      </c>
      <c r="O303">
        <v>54.500983071335497</v>
      </c>
      <c r="P303">
        <v>2428.3107759137201</v>
      </c>
      <c r="Q303">
        <v>5835.8826626140899</v>
      </c>
      <c r="R303">
        <v>15465.089055927299</v>
      </c>
      <c r="S303" s="4">
        <v>58.9</v>
      </c>
      <c r="T303" s="4">
        <v>0.22</v>
      </c>
      <c r="U303" s="4">
        <v>0.20699999999999999</v>
      </c>
    </row>
    <row r="304" spans="1:21" x14ac:dyDescent="0.25">
      <c r="A304" t="s">
        <v>29</v>
      </c>
      <c r="B304" t="s">
        <v>30</v>
      </c>
      <c r="C304">
        <v>6</v>
      </c>
      <c r="D304">
        <v>7</v>
      </c>
      <c r="E304" s="2">
        <v>42</v>
      </c>
      <c r="F304">
        <v>51223.1927</v>
      </c>
      <c r="G304">
        <v>135742.56099999999</v>
      </c>
      <c r="H304">
        <v>21313.97048</v>
      </c>
      <c r="I304">
        <v>21.313970479999998</v>
      </c>
      <c r="J304">
        <v>2.1313970000000002E-2</v>
      </c>
      <c r="K304">
        <v>46.989205609999999</v>
      </c>
      <c r="L304">
        <v>3.2499999999999999E-3</v>
      </c>
      <c r="M304">
        <v>3</v>
      </c>
      <c r="N304">
        <v>187.1803836</v>
      </c>
      <c r="O304">
        <v>281.88480085228599</v>
      </c>
      <c r="P304">
        <v>72794.461787243505</v>
      </c>
      <c r="Q304">
        <v>174944.632990251</v>
      </c>
      <c r="R304">
        <v>463603.27742416499</v>
      </c>
      <c r="S304">
        <v>282</v>
      </c>
      <c r="T304">
        <v>0.18</v>
      </c>
      <c r="U304">
        <v>-1.35</v>
      </c>
    </row>
    <row r="305" spans="1:21" x14ac:dyDescent="0.25">
      <c r="A305" t="s">
        <v>23</v>
      </c>
      <c r="B305" t="s">
        <v>24</v>
      </c>
      <c r="C305">
        <v>6</v>
      </c>
      <c r="D305">
        <v>3</v>
      </c>
      <c r="E305">
        <v>18</v>
      </c>
      <c r="F305">
        <v>182386.1888</v>
      </c>
      <c r="G305">
        <v>483323.40029999998</v>
      </c>
      <c r="H305">
        <v>75890.893160000007</v>
      </c>
      <c r="I305">
        <v>75.890893160000005</v>
      </c>
      <c r="J305">
        <v>7.5890893000000001E-2</v>
      </c>
      <c r="K305">
        <v>167.31058089999999</v>
      </c>
      <c r="L305">
        <v>2.5999999999999999E-2</v>
      </c>
      <c r="M305">
        <v>3</v>
      </c>
      <c r="N305">
        <v>207.62604619999999</v>
      </c>
      <c r="O305">
        <v>244.73671783540999</v>
      </c>
      <c r="P305">
        <v>120072.60272624101</v>
      </c>
      <c r="Q305">
        <v>288566.69725124101</v>
      </c>
      <c r="R305">
        <v>764701.74771578796</v>
      </c>
      <c r="S305">
        <v>314.89999999999998</v>
      </c>
      <c r="T305">
        <v>8.8999999999999996E-2</v>
      </c>
      <c r="U305">
        <v>-1.1299999999999999</v>
      </c>
    </row>
    <row r="306" spans="1:21" x14ac:dyDescent="0.25">
      <c r="A306" t="s">
        <v>27</v>
      </c>
      <c r="B306" t="s">
        <v>28</v>
      </c>
      <c r="C306">
        <v>6</v>
      </c>
      <c r="D306">
        <v>1</v>
      </c>
      <c r="E306">
        <v>6</v>
      </c>
      <c r="F306">
        <v>10142.27349</v>
      </c>
      <c r="G306">
        <v>26877.02475</v>
      </c>
      <c r="H306">
        <v>4220.1999990000004</v>
      </c>
      <c r="I306">
        <v>4.2201999990000001</v>
      </c>
      <c r="J306">
        <v>4.2202000000000003E-3</v>
      </c>
      <c r="K306">
        <v>9.3039373219999995</v>
      </c>
      <c r="L306">
        <v>1.0999999999999999E-2</v>
      </c>
      <c r="M306">
        <v>2.9</v>
      </c>
      <c r="N306">
        <v>84.235793580000006</v>
      </c>
      <c r="O306">
        <v>69.965141612657206</v>
      </c>
      <c r="P306">
        <v>2463.4835460760801</v>
      </c>
      <c r="Q306">
        <v>5920.4122712715198</v>
      </c>
      <c r="R306">
        <v>15689.0925188695</v>
      </c>
      <c r="S306">
        <v>81.53</v>
      </c>
      <c r="T306">
        <v>0.31</v>
      </c>
      <c r="U306">
        <v>-0.3</v>
      </c>
    </row>
    <row r="307" spans="1:21" x14ac:dyDescent="0.25">
      <c r="A307" t="s">
        <v>35</v>
      </c>
      <c r="B307" t="s">
        <v>36</v>
      </c>
      <c r="C307">
        <v>6</v>
      </c>
      <c r="D307">
        <v>1</v>
      </c>
      <c r="E307">
        <v>6</v>
      </c>
      <c r="F307">
        <v>244.71280949999999</v>
      </c>
      <c r="G307">
        <v>648.48894510000002</v>
      </c>
      <c r="H307">
        <v>101.825</v>
      </c>
      <c r="I307">
        <v>0.101825</v>
      </c>
      <c r="J307">
        <v>1.0182499999999999E-4</v>
      </c>
      <c r="K307">
        <v>0.22448543200000001</v>
      </c>
      <c r="L307">
        <v>2.1000000000000001E-2</v>
      </c>
      <c r="M307">
        <v>3</v>
      </c>
      <c r="N307">
        <v>16.925637739999999</v>
      </c>
      <c r="O307">
        <v>20.9063508984983</v>
      </c>
      <c r="P307">
        <v>191.89073267934299</v>
      </c>
      <c r="Q307">
        <v>461.16494275256599</v>
      </c>
      <c r="R307">
        <v>1222.0870982942999</v>
      </c>
      <c r="S307" s="4">
        <v>21.02</v>
      </c>
      <c r="T307" s="4">
        <v>0.86</v>
      </c>
      <c r="U307" s="4">
        <v>-6.9989999999999997E-2</v>
      </c>
    </row>
    <row r="308" spans="1:21" x14ac:dyDescent="0.25">
      <c r="A308" t="s">
        <v>39</v>
      </c>
      <c r="B308" t="s">
        <v>40</v>
      </c>
      <c r="C308">
        <v>6</v>
      </c>
      <c r="D308">
        <v>2</v>
      </c>
      <c r="E308">
        <v>12</v>
      </c>
      <c r="F308">
        <v>39926.70031</v>
      </c>
      <c r="G308">
        <v>105805.7558</v>
      </c>
      <c r="H308">
        <v>16613.5</v>
      </c>
      <c r="I308">
        <v>16.613499999999998</v>
      </c>
      <c r="J308">
        <v>1.66135E-2</v>
      </c>
      <c r="K308">
        <v>36.626454369999998</v>
      </c>
      <c r="L308">
        <v>1.2E-2</v>
      </c>
      <c r="M308">
        <v>3</v>
      </c>
      <c r="N308">
        <v>111.4533936</v>
      </c>
      <c r="O308">
        <v>110.03056891003</v>
      </c>
      <c r="P308">
        <v>15985.319518006399</v>
      </c>
      <c r="Q308">
        <v>38417.013982231299</v>
      </c>
      <c r="R308">
        <v>101805.087052913</v>
      </c>
      <c r="S308">
        <v>150.93</v>
      </c>
      <c r="T308">
        <v>0.11</v>
      </c>
      <c r="U308">
        <v>0.13</v>
      </c>
    </row>
    <row r="309" spans="1:21" x14ac:dyDescent="0.25">
      <c r="A309" t="s">
        <v>45</v>
      </c>
      <c r="B309" t="s">
        <v>46</v>
      </c>
      <c r="C309">
        <v>6</v>
      </c>
      <c r="D309">
        <v>5</v>
      </c>
      <c r="E309">
        <v>30</v>
      </c>
      <c r="F309">
        <v>7359.7297799999997</v>
      </c>
      <c r="G309">
        <v>19503.283920000002</v>
      </c>
      <c r="H309">
        <v>3062.3835610000001</v>
      </c>
      <c r="I309">
        <v>3.0623835609999999</v>
      </c>
      <c r="J309">
        <v>3.062384E-3</v>
      </c>
      <c r="K309">
        <v>6.7513920470000004</v>
      </c>
      <c r="L309">
        <v>3.96E-3</v>
      </c>
      <c r="M309">
        <v>3.2</v>
      </c>
      <c r="N309">
        <v>69.201239700000002</v>
      </c>
      <c r="O309" s="2">
        <v>300.04279905402802</v>
      </c>
      <c r="P309" s="2">
        <v>334719.83781043102</v>
      </c>
      <c r="Q309" s="2">
        <v>804421.62415388296</v>
      </c>
      <c r="R309" s="2">
        <v>2131717.3040077901</v>
      </c>
      <c r="S309" s="2">
        <v>300.78571428571399</v>
      </c>
      <c r="T309" s="2">
        <v>0.24014285714285699</v>
      </c>
      <c r="U309" s="2">
        <v>5</v>
      </c>
    </row>
    <row r="310" spans="1:21" x14ac:dyDescent="0.25">
      <c r="A310" t="s">
        <v>43</v>
      </c>
      <c r="B310" t="s">
        <v>44</v>
      </c>
      <c r="C310">
        <v>6</v>
      </c>
      <c r="D310">
        <v>2</v>
      </c>
      <c r="E310">
        <v>12</v>
      </c>
      <c r="F310">
        <v>1976.4359529999999</v>
      </c>
      <c r="G310">
        <v>5237.5552749999997</v>
      </c>
      <c r="H310">
        <v>822.39499999999998</v>
      </c>
      <c r="I310">
        <v>0.82239499999999999</v>
      </c>
      <c r="J310">
        <v>8.2239499999999996E-4</v>
      </c>
      <c r="K310">
        <v>1.813068465</v>
      </c>
      <c r="L310">
        <v>1.44E-2</v>
      </c>
      <c r="M310">
        <v>3</v>
      </c>
      <c r="N310">
        <v>38.509923540000003</v>
      </c>
      <c r="O310" s="2">
        <v>47.412967713498801</v>
      </c>
      <c r="P310" s="2">
        <v>1534.8074966596901</v>
      </c>
      <c r="Q310" s="2">
        <v>3688.5544260026199</v>
      </c>
      <c r="R310" s="2">
        <v>9774.6692289069306</v>
      </c>
      <c r="S310" s="2">
        <v>47.633333333333297</v>
      </c>
      <c r="T310" s="2">
        <v>0.44800000000000001</v>
      </c>
      <c r="U310" s="2">
        <v>0</v>
      </c>
    </row>
    <row r="311" spans="1:21" x14ac:dyDescent="0.25">
      <c r="A311" t="s">
        <v>53</v>
      </c>
      <c r="B311" t="s">
        <v>54</v>
      </c>
      <c r="C311">
        <v>6</v>
      </c>
      <c r="D311">
        <v>2</v>
      </c>
      <c r="E311">
        <v>12</v>
      </c>
      <c r="F311">
        <v>2919.850997</v>
      </c>
      <c r="G311">
        <v>7737.6051429999998</v>
      </c>
      <c r="H311">
        <v>1214.95</v>
      </c>
      <c r="I311">
        <v>1.21495</v>
      </c>
      <c r="J311">
        <v>1.21495E-3</v>
      </c>
      <c r="K311">
        <v>2.678503069</v>
      </c>
      <c r="L311">
        <v>1.2E-2</v>
      </c>
      <c r="M311">
        <v>2.95</v>
      </c>
      <c r="N311">
        <v>49.743692510000002</v>
      </c>
      <c r="O311">
        <v>35.668822853984501</v>
      </c>
      <c r="P311">
        <v>455.44206302122302</v>
      </c>
      <c r="Q311">
        <v>1094.54953862346</v>
      </c>
      <c r="R311">
        <v>2900.5562773521801</v>
      </c>
      <c r="S311">
        <v>41</v>
      </c>
      <c r="T311">
        <v>0.17</v>
      </c>
      <c r="U311">
        <v>0</v>
      </c>
    </row>
    <row r="312" spans="1:21" x14ac:dyDescent="0.25">
      <c r="A312" t="s">
        <v>57</v>
      </c>
      <c r="B312" t="s">
        <v>58</v>
      </c>
      <c r="C312">
        <v>6</v>
      </c>
      <c r="D312">
        <v>2</v>
      </c>
      <c r="E312">
        <v>12</v>
      </c>
      <c r="F312">
        <v>7278.5388130000001</v>
      </c>
      <c r="G312">
        <v>19288.127850000001</v>
      </c>
      <c r="H312">
        <v>3028.6</v>
      </c>
      <c r="I312">
        <v>3.0286</v>
      </c>
      <c r="J312">
        <v>3.0286000000000002E-3</v>
      </c>
      <c r="K312">
        <v>6.676912132</v>
      </c>
      <c r="L312">
        <v>4.0000000000000001E-3</v>
      </c>
      <c r="M312">
        <v>3.1</v>
      </c>
      <c r="N312">
        <v>63.550646100000002</v>
      </c>
      <c r="O312">
        <v>72.300051440126495</v>
      </c>
      <c r="P312">
        <v>4459.6197093998098</v>
      </c>
      <c r="Q312">
        <v>10717.6633246811</v>
      </c>
      <c r="R312">
        <v>28401.807810404898</v>
      </c>
      <c r="S312">
        <v>72.900000000000006</v>
      </c>
      <c r="T312">
        <v>0.4</v>
      </c>
      <c r="U312">
        <v>0</v>
      </c>
    </row>
    <row r="313" spans="1:21" x14ac:dyDescent="0.25">
      <c r="A313" t="s">
        <v>59</v>
      </c>
      <c r="B313" t="s">
        <v>60</v>
      </c>
      <c r="C313">
        <v>6</v>
      </c>
      <c r="D313">
        <v>2</v>
      </c>
      <c r="E313">
        <v>12</v>
      </c>
      <c r="F313">
        <v>2919.850997</v>
      </c>
      <c r="G313">
        <v>7737.6051429999998</v>
      </c>
      <c r="H313">
        <v>1214.95</v>
      </c>
      <c r="I313">
        <v>1.21495</v>
      </c>
      <c r="J313">
        <v>1.21495E-3</v>
      </c>
      <c r="K313">
        <v>2.678503069</v>
      </c>
      <c r="L313">
        <v>1.6799999999999999E-2</v>
      </c>
      <c r="M313">
        <v>3.1</v>
      </c>
      <c r="N313">
        <v>36.94024039</v>
      </c>
      <c r="O313">
        <v>147.40583219976699</v>
      </c>
      <c r="P313">
        <v>88655.309313820006</v>
      </c>
      <c r="Q313">
        <v>213062.507363182</v>
      </c>
      <c r="R313">
        <v>564615.64451243205</v>
      </c>
      <c r="S313">
        <v>263.2</v>
      </c>
      <c r="T313">
        <v>7.0000000000000007E-2</v>
      </c>
      <c r="U313">
        <v>0.27</v>
      </c>
    </row>
    <row r="314" spans="1:21" x14ac:dyDescent="0.25">
      <c r="A314" t="s">
        <v>61</v>
      </c>
      <c r="B314" t="s">
        <v>62</v>
      </c>
      <c r="C314">
        <v>6</v>
      </c>
      <c r="D314">
        <v>1</v>
      </c>
      <c r="E314">
        <v>6</v>
      </c>
      <c r="F314">
        <v>355.75582800000001</v>
      </c>
      <c r="G314">
        <v>942.75294410000004</v>
      </c>
      <c r="H314">
        <v>148.03</v>
      </c>
      <c r="I314">
        <v>0.14802999999999999</v>
      </c>
      <c r="J314">
        <v>1.4803E-4</v>
      </c>
      <c r="K314">
        <v>0.326349899</v>
      </c>
      <c r="L314">
        <v>1.2500000000000001E-2</v>
      </c>
      <c r="M314">
        <v>3</v>
      </c>
      <c r="N314">
        <v>22.793616759999999</v>
      </c>
      <c r="O314">
        <v>27.808575391941101</v>
      </c>
      <c r="P314">
        <v>268.81050439210702</v>
      </c>
      <c r="Q314">
        <v>646.02380291301802</v>
      </c>
      <c r="R314">
        <v>1711.9630777195</v>
      </c>
      <c r="S314">
        <v>33.700000000000003</v>
      </c>
      <c r="T314">
        <v>0.32</v>
      </c>
      <c r="U314">
        <v>0.55000000000000004</v>
      </c>
    </row>
    <row r="315" spans="1:21" x14ac:dyDescent="0.25">
      <c r="A315" t="s">
        <v>63</v>
      </c>
      <c r="B315" t="s">
        <v>64</v>
      </c>
      <c r="C315">
        <v>6</v>
      </c>
      <c r="D315">
        <v>2</v>
      </c>
      <c r="E315">
        <v>12</v>
      </c>
      <c r="F315">
        <v>1976.4359529999999</v>
      </c>
      <c r="G315">
        <v>5237.5552749999997</v>
      </c>
      <c r="H315">
        <v>822.39499999999998</v>
      </c>
      <c r="I315">
        <v>0.82239499999999999</v>
      </c>
      <c r="J315">
        <v>8.2239499999999996E-4</v>
      </c>
      <c r="K315">
        <v>1.813068465</v>
      </c>
      <c r="L315">
        <v>1.2E-2</v>
      </c>
      <c r="M315">
        <v>3.1</v>
      </c>
      <c r="N315">
        <v>36.305087579999999</v>
      </c>
      <c r="O315">
        <v>42.352510150728598</v>
      </c>
      <c r="P315">
        <v>1325.8873503007501</v>
      </c>
      <c r="Q315">
        <v>3186.4632307155698</v>
      </c>
      <c r="R315">
        <v>8444.1275613962698</v>
      </c>
      <c r="S315">
        <v>42.5</v>
      </c>
      <c r="T315">
        <v>0.47</v>
      </c>
      <c r="U315">
        <v>0.05</v>
      </c>
    </row>
    <row r="316" spans="1:21" x14ac:dyDescent="0.25">
      <c r="A316" t="s">
        <v>65</v>
      </c>
      <c r="B316" t="s">
        <v>66</v>
      </c>
      <c r="C316">
        <v>6</v>
      </c>
      <c r="D316">
        <v>3</v>
      </c>
      <c r="E316">
        <v>18</v>
      </c>
      <c r="F316">
        <v>9000</v>
      </c>
      <c r="G316">
        <v>23850</v>
      </c>
      <c r="H316">
        <v>3744.9</v>
      </c>
      <c r="I316">
        <v>3.7448999999999999</v>
      </c>
      <c r="J316">
        <v>3.7448999999999998E-3</v>
      </c>
      <c r="K316">
        <v>8.2560814380000007</v>
      </c>
      <c r="L316">
        <v>1.2699999999999999E-2</v>
      </c>
      <c r="M316">
        <v>3.1</v>
      </c>
      <c r="N316">
        <v>58.129805840000003</v>
      </c>
      <c r="O316">
        <v>52.6187630060017</v>
      </c>
      <c r="P316">
        <v>2750.0442819121499</v>
      </c>
      <c r="Q316">
        <v>6609.09464530677</v>
      </c>
      <c r="R316">
        <v>17514.100810062901</v>
      </c>
      <c r="S316">
        <v>52.7</v>
      </c>
      <c r="T316">
        <v>0.35</v>
      </c>
      <c r="U316">
        <v>-0.5</v>
      </c>
    </row>
    <row r="317" spans="1:21" x14ac:dyDescent="0.25">
      <c r="A317" t="s">
        <v>67</v>
      </c>
      <c r="B317" t="s">
        <v>68</v>
      </c>
      <c r="C317">
        <v>6</v>
      </c>
      <c r="D317">
        <v>1</v>
      </c>
      <c r="E317">
        <v>6</v>
      </c>
      <c r="F317">
        <v>498.6</v>
      </c>
      <c r="G317">
        <v>1321.3</v>
      </c>
      <c r="H317">
        <v>207.46745999999999</v>
      </c>
      <c r="I317">
        <v>0.20746745999999999</v>
      </c>
      <c r="J317">
        <v>2.07467E-4</v>
      </c>
      <c r="K317">
        <v>0.45738691199999998</v>
      </c>
      <c r="L317">
        <v>1.29E-2</v>
      </c>
      <c r="M317">
        <v>3.05</v>
      </c>
      <c r="N317">
        <v>23.940571739999999</v>
      </c>
      <c r="O317">
        <v>35.4537511707424</v>
      </c>
      <c r="P317">
        <v>687.16241425896703</v>
      </c>
      <c r="Q317">
        <v>1651.43574683722</v>
      </c>
      <c r="R317">
        <v>4376.3047291186303</v>
      </c>
      <c r="S317">
        <v>40.6</v>
      </c>
      <c r="T317">
        <v>0.27</v>
      </c>
      <c r="U317">
        <v>-1.65</v>
      </c>
    </row>
    <row r="318" spans="1:21" x14ac:dyDescent="0.25">
      <c r="A318" t="s">
        <v>69</v>
      </c>
      <c r="B318" t="s">
        <v>70</v>
      </c>
      <c r="C318">
        <v>6</v>
      </c>
      <c r="D318">
        <v>1</v>
      </c>
      <c r="E318">
        <v>6</v>
      </c>
      <c r="F318">
        <v>283.32131700000002</v>
      </c>
      <c r="G318">
        <v>750.80149010000002</v>
      </c>
      <c r="H318">
        <v>117.89</v>
      </c>
      <c r="I318">
        <v>0.11788999999999999</v>
      </c>
      <c r="J318">
        <v>1.1789E-4</v>
      </c>
      <c r="K318">
        <v>0.25990265200000001</v>
      </c>
      <c r="L318">
        <v>0.01</v>
      </c>
      <c r="M318">
        <v>2.9</v>
      </c>
      <c r="N318">
        <v>25.348809930000002</v>
      </c>
      <c r="O318">
        <v>28.874369063771599</v>
      </c>
      <c r="P318">
        <v>171.98329262698999</v>
      </c>
      <c r="Q318">
        <v>413.32202025231902</v>
      </c>
      <c r="R318">
        <v>1095.3033536686501</v>
      </c>
      <c r="S318">
        <v>37.700000000000003</v>
      </c>
      <c r="T318">
        <v>0.24199999999999999</v>
      </c>
      <c r="U318">
        <v>0</v>
      </c>
    </row>
    <row r="319" spans="1:21" x14ac:dyDescent="0.25">
      <c r="A319" s="2" t="s">
        <v>71</v>
      </c>
      <c r="B319" t="s">
        <v>72</v>
      </c>
      <c r="C319">
        <v>6</v>
      </c>
      <c r="D319">
        <v>1</v>
      </c>
      <c r="E319">
        <v>6</v>
      </c>
      <c r="F319">
        <v>5.1069454460000001</v>
      </c>
      <c r="G319">
        <v>13.53340543</v>
      </c>
      <c r="H319">
        <v>2.1250000000806</v>
      </c>
      <c r="I319">
        <v>2.1250000000806002E-3</v>
      </c>
      <c r="J319">
        <v>2.1250000000805998E-6</v>
      </c>
      <c r="K319">
        <v>4.68481750017769E-3</v>
      </c>
      <c r="L319" s="3">
        <v>1.0999999999999999E-2</v>
      </c>
      <c r="M319" s="3">
        <v>3.01</v>
      </c>
      <c r="N319">
        <v>5.7472121087410004</v>
      </c>
      <c r="O319" s="2">
        <v>8.0138782197884204</v>
      </c>
      <c r="P319" s="2">
        <v>5.7804191102110698</v>
      </c>
      <c r="Q319" s="2">
        <v>13.8918988469384</v>
      </c>
      <c r="R319" s="2">
        <v>36.813531944386803</v>
      </c>
      <c r="S319">
        <v>9</v>
      </c>
      <c r="T319">
        <v>0.32</v>
      </c>
      <c r="U319">
        <v>-0.91</v>
      </c>
    </row>
    <row r="320" spans="1:21" x14ac:dyDescent="0.25">
      <c r="A320" s="2" t="s">
        <v>49</v>
      </c>
      <c r="B320" t="s">
        <v>50</v>
      </c>
      <c r="C320">
        <v>6</v>
      </c>
      <c r="D320">
        <v>1</v>
      </c>
      <c r="E320">
        <v>6</v>
      </c>
      <c r="F320">
        <v>1976.4359529999999</v>
      </c>
      <c r="G320">
        <v>5237.5552749999997</v>
      </c>
      <c r="H320">
        <v>822.3950000433</v>
      </c>
      <c r="I320">
        <v>0.82239500004330002</v>
      </c>
      <c r="J320">
        <v>8.2239500004329996E-4</v>
      </c>
      <c r="K320">
        <v>1.81306846499546</v>
      </c>
      <c r="L320" s="3">
        <v>1.2E-2</v>
      </c>
      <c r="M320" s="3">
        <v>3.1</v>
      </c>
      <c r="N320">
        <v>36.305087581617997</v>
      </c>
      <c r="O320" s="2">
        <v>40.223253846928102</v>
      </c>
      <c r="P320" s="2">
        <v>1129.9534835971399</v>
      </c>
      <c r="Q320" s="2">
        <v>2715.58155154324</v>
      </c>
      <c r="R320" s="2">
        <v>7196.2911115895804</v>
      </c>
      <c r="S320" s="2">
        <v>54.3</v>
      </c>
      <c r="T320" s="2">
        <v>0.22500000000000001</v>
      </c>
      <c r="U320" s="2">
        <v>0</v>
      </c>
    </row>
    <row r="321" spans="1:21" x14ac:dyDescent="0.25">
      <c r="A321" t="s">
        <v>55</v>
      </c>
      <c r="B321" t="s">
        <v>56</v>
      </c>
      <c r="C321">
        <v>6</v>
      </c>
      <c r="D321">
        <v>1</v>
      </c>
      <c r="E321">
        <v>6</v>
      </c>
      <c r="F321">
        <v>4036.7700070000001</v>
      </c>
      <c r="G321">
        <v>10697.44052</v>
      </c>
      <c r="H321">
        <v>1679.7</v>
      </c>
      <c r="I321">
        <v>1.6797</v>
      </c>
      <c r="J321">
        <v>1.6796999999999999E-3</v>
      </c>
      <c r="K321">
        <v>3.703100214</v>
      </c>
      <c r="L321">
        <v>1.2999999999999999E-2</v>
      </c>
      <c r="M321">
        <v>3</v>
      </c>
      <c r="N321">
        <v>50.554845790000002</v>
      </c>
      <c r="O321">
        <v>65.812899452904901</v>
      </c>
      <c r="P321">
        <v>3705.7526325367598</v>
      </c>
      <c r="Q321">
        <v>8905.9183670674392</v>
      </c>
      <c r="R321">
        <v>23600.683672728701</v>
      </c>
      <c r="S321">
        <v>152</v>
      </c>
      <c r="T321">
        <v>9.6000000000000002E-2</v>
      </c>
      <c r="U321">
        <v>0.09</v>
      </c>
    </row>
    <row r="322" spans="1:21" x14ac:dyDescent="0.25">
      <c r="A322" t="s">
        <v>75</v>
      </c>
      <c r="B322" t="s">
        <v>76</v>
      </c>
      <c r="C322">
        <v>6</v>
      </c>
      <c r="D322">
        <v>2</v>
      </c>
      <c r="E322">
        <v>12</v>
      </c>
      <c r="F322">
        <v>1976.4359529999999</v>
      </c>
      <c r="G322">
        <v>5237.5552749999997</v>
      </c>
      <c r="H322">
        <v>822.39499999999998</v>
      </c>
      <c r="I322">
        <v>0.82239499999999999</v>
      </c>
      <c r="J322">
        <v>8.2239499999999996E-4</v>
      </c>
      <c r="K322">
        <v>1.813068465</v>
      </c>
      <c r="L322">
        <v>2.5000000000000001E-3</v>
      </c>
      <c r="M322">
        <v>3.1</v>
      </c>
      <c r="N322">
        <v>60.217500739999998</v>
      </c>
      <c r="O322">
        <v>88.214860544383896</v>
      </c>
      <c r="P322">
        <v>2686.0830699582202</v>
      </c>
      <c r="Q322">
        <v>6455.3786829084802</v>
      </c>
      <c r="R322">
        <v>17106.753509707502</v>
      </c>
      <c r="S322">
        <v>122</v>
      </c>
      <c r="T322">
        <v>0.107</v>
      </c>
      <c r="U322">
        <v>0</v>
      </c>
    </row>
    <row r="323" spans="1:21" x14ac:dyDescent="0.25">
      <c r="A323" t="s">
        <v>73</v>
      </c>
      <c r="B323" t="s">
        <v>74</v>
      </c>
      <c r="C323">
        <v>6</v>
      </c>
      <c r="D323">
        <v>2</v>
      </c>
      <c r="E323">
        <v>12</v>
      </c>
      <c r="F323">
        <v>1976.4359529999999</v>
      </c>
      <c r="G323">
        <v>5237.5552749999997</v>
      </c>
      <c r="H323">
        <v>822.39499999999998</v>
      </c>
      <c r="I323">
        <v>0.82239499999999999</v>
      </c>
      <c r="J323">
        <v>8.2239499999999996E-4</v>
      </c>
      <c r="K323">
        <v>1.813068465</v>
      </c>
      <c r="L323">
        <v>1.4E-2</v>
      </c>
      <c r="M323">
        <v>2.8</v>
      </c>
      <c r="N323">
        <v>50.489061130000003</v>
      </c>
      <c r="O323">
        <v>42.864502201266902</v>
      </c>
      <c r="P323">
        <v>519.99819037492</v>
      </c>
      <c r="Q323">
        <v>1249.69524242951</v>
      </c>
      <c r="R323">
        <v>3311.6923924382099</v>
      </c>
      <c r="S323">
        <v>43</v>
      </c>
      <c r="T323">
        <v>0.48</v>
      </c>
      <c r="U323">
        <v>0</v>
      </c>
    </row>
    <row r="324" spans="1:21" x14ac:dyDescent="0.25">
      <c r="A324" s="2" t="s">
        <v>51</v>
      </c>
      <c r="B324" t="s">
        <v>52</v>
      </c>
      <c r="C324">
        <v>6</v>
      </c>
      <c r="D324">
        <v>1</v>
      </c>
      <c r="E324">
        <v>6</v>
      </c>
      <c r="F324">
        <v>2919.850997</v>
      </c>
      <c r="G324">
        <v>7737.6051429999998</v>
      </c>
      <c r="H324">
        <v>1214.9499998517001</v>
      </c>
      <c r="I324">
        <v>1.2149499998516999</v>
      </c>
      <c r="J324">
        <v>1.2149499998517E-3</v>
      </c>
      <c r="K324">
        <v>2.67850306867305</v>
      </c>
      <c r="L324" s="3">
        <v>1.24E-2</v>
      </c>
      <c r="M324" s="3">
        <v>3.2</v>
      </c>
      <c r="N324">
        <v>36.285258805695399</v>
      </c>
      <c r="O324" s="2">
        <v>14.841276350698701</v>
      </c>
      <c r="P324" s="2">
        <v>69.523190031244795</v>
      </c>
      <c r="Q324" s="2">
        <v>167.08288880376099</v>
      </c>
      <c r="R324" s="2">
        <v>442.76965532996599</v>
      </c>
      <c r="S324">
        <v>20.9</v>
      </c>
      <c r="T324">
        <v>0.19500000000000001</v>
      </c>
      <c r="U324">
        <v>-0.35</v>
      </c>
    </row>
    <row r="325" spans="1:21" x14ac:dyDescent="0.25">
      <c r="A325" t="s">
        <v>85</v>
      </c>
      <c r="B325" t="s">
        <v>86</v>
      </c>
      <c r="C325">
        <v>6</v>
      </c>
      <c r="D325">
        <v>7</v>
      </c>
      <c r="E325">
        <v>42</v>
      </c>
      <c r="F325">
        <v>51223.1927</v>
      </c>
      <c r="G325">
        <v>135742.56099999999</v>
      </c>
      <c r="H325">
        <v>21313.97048</v>
      </c>
      <c r="I325">
        <v>21.313970479999998</v>
      </c>
      <c r="J325">
        <v>2.1313970000000002E-2</v>
      </c>
      <c r="K325">
        <v>46.989205609999999</v>
      </c>
      <c r="L325">
        <v>5.2399999999999999E-3</v>
      </c>
      <c r="M325">
        <v>3.141</v>
      </c>
      <c r="N325">
        <v>127.1197449</v>
      </c>
      <c r="O325" s="2">
        <v>307.26745245768899</v>
      </c>
      <c r="P325" s="2">
        <v>340895.13319316501</v>
      </c>
      <c r="Q325" s="2">
        <v>819262.51668628899</v>
      </c>
      <c r="R325" s="2">
        <v>2171045.6692186701</v>
      </c>
      <c r="S325">
        <v>309.24444444444401</v>
      </c>
      <c r="T325">
        <v>0.13655555555555601</v>
      </c>
      <c r="U325">
        <v>5</v>
      </c>
    </row>
    <row r="326" spans="1:21" x14ac:dyDescent="0.25">
      <c r="A326" t="s">
        <v>77</v>
      </c>
      <c r="B326" t="s">
        <v>78</v>
      </c>
      <c r="C326">
        <v>6</v>
      </c>
      <c r="D326">
        <v>3</v>
      </c>
      <c r="E326">
        <v>18</v>
      </c>
      <c r="F326">
        <v>179314.69320000001</v>
      </c>
      <c r="G326">
        <v>475183.93689999997</v>
      </c>
      <c r="H326">
        <v>74612.843840000001</v>
      </c>
      <c r="I326">
        <v>74.612843839999996</v>
      </c>
      <c r="J326">
        <v>7.4612843999999998E-2</v>
      </c>
      <c r="K326">
        <v>164.4929678</v>
      </c>
      <c r="L326">
        <v>3.5000000000000003E-2</v>
      </c>
      <c r="M326">
        <v>2.9</v>
      </c>
      <c r="N326">
        <v>152.16895260000001</v>
      </c>
      <c r="O326" s="2">
        <v>208.38128053296001</v>
      </c>
      <c r="P326" s="2">
        <v>185677.073127838</v>
      </c>
      <c r="Q326" s="2">
        <v>446231.85082393099</v>
      </c>
      <c r="R326" s="2">
        <v>1182514.40468342</v>
      </c>
      <c r="S326">
        <v>208.40700000000001</v>
      </c>
      <c r="T326">
        <v>0.5</v>
      </c>
      <c r="U326">
        <v>0</v>
      </c>
    </row>
    <row r="327" spans="1:21" x14ac:dyDescent="0.25">
      <c r="A327" t="s">
        <v>79</v>
      </c>
      <c r="B327" t="s">
        <v>80</v>
      </c>
      <c r="C327">
        <v>6</v>
      </c>
      <c r="D327">
        <v>2</v>
      </c>
      <c r="E327">
        <v>12</v>
      </c>
      <c r="F327">
        <v>2919.850997</v>
      </c>
      <c r="G327">
        <v>7737.6051429999998</v>
      </c>
      <c r="H327">
        <v>1214.95</v>
      </c>
      <c r="I327">
        <v>1.21495</v>
      </c>
      <c r="J327">
        <v>1.21495E-3</v>
      </c>
      <c r="K327">
        <v>2.678503069</v>
      </c>
      <c r="L327">
        <v>3.3999999999999998E-3</v>
      </c>
      <c r="M327">
        <v>3.2850000000000001</v>
      </c>
      <c r="N327">
        <v>36.285258810000002</v>
      </c>
      <c r="O327">
        <v>52.111280218382298</v>
      </c>
      <c r="P327">
        <v>3869.0403727461699</v>
      </c>
      <c r="Q327">
        <v>9298.3426405819901</v>
      </c>
      <c r="R327">
        <v>24640.607997542302</v>
      </c>
      <c r="S327">
        <v>59.9</v>
      </c>
      <c r="T327">
        <v>0.17</v>
      </c>
      <c r="U327">
        <v>0</v>
      </c>
    </row>
    <row r="328" spans="1:21" x14ac:dyDescent="0.25">
      <c r="A328" t="s">
        <v>81</v>
      </c>
      <c r="B328" t="s">
        <v>82</v>
      </c>
      <c r="C328">
        <v>6</v>
      </c>
      <c r="D328">
        <v>2</v>
      </c>
      <c r="E328">
        <v>12</v>
      </c>
      <c r="F328">
        <v>1976.4359529999999</v>
      </c>
      <c r="G328">
        <v>5237.5552749999997</v>
      </c>
      <c r="H328">
        <v>822.39499999999998</v>
      </c>
      <c r="I328">
        <v>0.82239499999999999</v>
      </c>
      <c r="J328">
        <v>8.2239499999999996E-4</v>
      </c>
      <c r="K328">
        <v>1.813068465</v>
      </c>
      <c r="L328">
        <v>1.4999999999999999E-2</v>
      </c>
      <c r="M328">
        <v>3</v>
      </c>
      <c r="N328">
        <v>37.989455370000002</v>
      </c>
      <c r="O328">
        <v>92.216956646886899</v>
      </c>
      <c r="P328">
        <v>11763.149471421801</v>
      </c>
      <c r="Q328">
        <v>28270.0059394899</v>
      </c>
      <c r="R328">
        <v>74915.515739648297</v>
      </c>
      <c r="S328">
        <v>106</v>
      </c>
      <c r="T328">
        <v>0.17</v>
      </c>
      <c r="U328">
        <v>0</v>
      </c>
    </row>
    <row r="329" spans="1:21" x14ac:dyDescent="0.25">
      <c r="A329" t="s">
        <v>83</v>
      </c>
      <c r="B329" t="s">
        <v>84</v>
      </c>
      <c r="C329">
        <v>6</v>
      </c>
      <c r="D329">
        <v>7</v>
      </c>
      <c r="E329">
        <v>42</v>
      </c>
      <c r="F329">
        <v>51223.1927</v>
      </c>
      <c r="G329">
        <v>135742.56099999999</v>
      </c>
      <c r="H329">
        <v>21313.97048</v>
      </c>
      <c r="I329">
        <v>21.313970479999998</v>
      </c>
      <c r="J329">
        <v>2.1313970000000002E-2</v>
      </c>
      <c r="K329">
        <v>46.989205609999999</v>
      </c>
      <c r="L329">
        <v>5.4000000000000003E-3</v>
      </c>
      <c r="M329">
        <v>3</v>
      </c>
      <c r="N329">
        <v>158.0363049</v>
      </c>
      <c r="O329">
        <v>277.85575050972898</v>
      </c>
      <c r="P329">
        <v>115838.234017101</v>
      </c>
      <c r="Q329">
        <v>278390.37254770799</v>
      </c>
      <c r="R329">
        <v>737734.48725142505</v>
      </c>
      <c r="S329">
        <v>280</v>
      </c>
      <c r="T329">
        <v>0.11600000000000001</v>
      </c>
      <c r="U329">
        <v>0</v>
      </c>
    </row>
    <row r="330" spans="1:21" x14ac:dyDescent="0.25">
      <c r="A330" t="s">
        <v>91</v>
      </c>
      <c r="B330" t="s">
        <v>92</v>
      </c>
      <c r="C330">
        <v>6</v>
      </c>
      <c r="D330">
        <v>2</v>
      </c>
      <c r="E330">
        <v>12</v>
      </c>
      <c r="F330">
        <v>1976.4359529999999</v>
      </c>
      <c r="G330">
        <v>5237.5552749999997</v>
      </c>
      <c r="H330">
        <v>822.39499999999998</v>
      </c>
      <c r="I330">
        <v>0.82239499999999999</v>
      </c>
      <c r="J330">
        <v>8.2239499999999996E-4</v>
      </c>
      <c r="K330">
        <v>1.813068465</v>
      </c>
      <c r="L330">
        <v>1.2999999999999999E-2</v>
      </c>
      <c r="M330">
        <v>3</v>
      </c>
      <c r="N330">
        <v>39.845477559999999</v>
      </c>
      <c r="O330">
        <v>54.0424907557247</v>
      </c>
      <c r="P330">
        <v>2051.8680220091901</v>
      </c>
      <c r="Q330">
        <v>4931.1896707743199</v>
      </c>
      <c r="R330">
        <v>13067.652627551901</v>
      </c>
      <c r="S330">
        <v>60.2</v>
      </c>
      <c r="T330">
        <v>0.19</v>
      </c>
      <c r="U330">
        <v>0</v>
      </c>
    </row>
    <row r="331" spans="1:21" x14ac:dyDescent="0.25">
      <c r="A331" t="s">
        <v>87</v>
      </c>
      <c r="B331" t="s">
        <v>88</v>
      </c>
      <c r="C331">
        <v>6</v>
      </c>
      <c r="D331">
        <v>2</v>
      </c>
      <c r="E331">
        <v>12</v>
      </c>
      <c r="F331">
        <v>1976.4359529999999</v>
      </c>
      <c r="G331">
        <v>5237.5552749999997</v>
      </c>
      <c r="H331">
        <v>822.39499999999998</v>
      </c>
      <c r="I331">
        <v>0.82239499999999999</v>
      </c>
      <c r="J331">
        <v>8.2239499999999996E-4</v>
      </c>
      <c r="K331">
        <v>1.813068465</v>
      </c>
      <c r="L331">
        <v>6.0000000000000001E-3</v>
      </c>
      <c r="M331">
        <v>3.1</v>
      </c>
      <c r="N331">
        <v>45.401890719999997</v>
      </c>
      <c r="O331">
        <v>28.6411666449706</v>
      </c>
      <c r="P331">
        <v>197.16164515638499</v>
      </c>
      <c r="Q331">
        <v>473.832360385448</v>
      </c>
      <c r="R331">
        <v>1255.65575502144</v>
      </c>
      <c r="S331">
        <v>31.4</v>
      </c>
      <c r="T331">
        <v>0.19</v>
      </c>
      <c r="U331">
        <v>-0.8</v>
      </c>
    </row>
    <row r="332" spans="1:21" x14ac:dyDescent="0.25">
      <c r="A332" t="s">
        <v>93</v>
      </c>
      <c r="B332" t="s">
        <v>94</v>
      </c>
      <c r="C332">
        <v>6</v>
      </c>
      <c r="D332">
        <v>9</v>
      </c>
      <c r="E332">
        <v>54</v>
      </c>
      <c r="F332">
        <v>1772528841</v>
      </c>
      <c r="G332">
        <v>4697201430</v>
      </c>
      <c r="H332">
        <v>737549250.70000005</v>
      </c>
      <c r="I332">
        <v>737549.25069999998</v>
      </c>
      <c r="J332">
        <v>737.54925070000002</v>
      </c>
      <c r="K332">
        <v>1626015.8289999999</v>
      </c>
      <c r="L332" s="2">
        <v>1.7000000000000001E-2</v>
      </c>
      <c r="M332">
        <v>3</v>
      </c>
      <c r="N332">
        <v>1544.971041</v>
      </c>
      <c r="O332" s="2">
        <v>1584.9578270846901</v>
      </c>
      <c r="P332" s="2">
        <v>67686499.428307399</v>
      </c>
      <c r="Q332" s="2">
        <v>162668828.23433599</v>
      </c>
      <c r="R332" s="2">
        <v>431072394.82099098</v>
      </c>
      <c r="S332">
        <v>1584.96</v>
      </c>
      <c r="T332" s="2">
        <v>0.25</v>
      </c>
      <c r="U332">
        <v>0</v>
      </c>
    </row>
    <row r="333" spans="1:21" x14ac:dyDescent="0.25">
      <c r="A333" t="s">
        <v>109</v>
      </c>
      <c r="B333" t="s">
        <v>110</v>
      </c>
      <c r="C333">
        <v>6</v>
      </c>
      <c r="D333">
        <v>5</v>
      </c>
      <c r="E333">
        <v>30</v>
      </c>
      <c r="F333">
        <v>7359.7297799999997</v>
      </c>
      <c r="G333">
        <v>19503.283920000002</v>
      </c>
      <c r="H333">
        <v>3062.3835610000001</v>
      </c>
      <c r="I333">
        <v>3.0623835609999999</v>
      </c>
      <c r="J333">
        <v>3.062384E-3</v>
      </c>
      <c r="K333">
        <v>6.7513920470000004</v>
      </c>
      <c r="L333">
        <v>4.3E-3</v>
      </c>
      <c r="M333">
        <v>3.1</v>
      </c>
      <c r="N333">
        <v>77.256071860000006</v>
      </c>
      <c r="O333">
        <v>151.36354730010001</v>
      </c>
      <c r="P333">
        <v>24633.973887026499</v>
      </c>
      <c r="Q333">
        <v>59202.052119746499</v>
      </c>
      <c r="R333">
        <v>156885.43811732801</v>
      </c>
      <c r="S333">
        <v>186</v>
      </c>
      <c r="T333">
        <v>4.5999999999999999E-2</v>
      </c>
      <c r="U333">
        <v>-6.54</v>
      </c>
    </row>
    <row r="334" spans="1:21" x14ac:dyDescent="0.25">
      <c r="A334" t="s">
        <v>99</v>
      </c>
      <c r="B334" t="s">
        <v>100</v>
      </c>
      <c r="C334">
        <v>6</v>
      </c>
      <c r="D334">
        <v>2</v>
      </c>
      <c r="E334">
        <v>12</v>
      </c>
      <c r="F334">
        <v>1976.4359529999999</v>
      </c>
      <c r="G334">
        <v>5237.5552749999997</v>
      </c>
      <c r="H334">
        <v>822.39499999999998</v>
      </c>
      <c r="I334">
        <v>0.82239499999999999</v>
      </c>
      <c r="J334">
        <v>8.2239499999999996E-4</v>
      </c>
      <c r="K334">
        <v>1.813068465</v>
      </c>
      <c r="L334">
        <v>1.4999999999999999E-2</v>
      </c>
      <c r="M334">
        <v>3.1</v>
      </c>
      <c r="N334">
        <v>33.783620839999998</v>
      </c>
      <c r="O334">
        <v>36.886782658754697</v>
      </c>
      <c r="P334">
        <v>1079.9177194327999</v>
      </c>
      <c r="Q334">
        <v>2595.3321784013401</v>
      </c>
      <c r="R334">
        <v>6877.6302727635502</v>
      </c>
      <c r="S334">
        <v>42.4</v>
      </c>
      <c r="T334">
        <v>0.17</v>
      </c>
      <c r="U334">
        <v>0</v>
      </c>
    </row>
    <row r="335" spans="1:21" x14ac:dyDescent="0.25">
      <c r="A335" t="s">
        <v>97</v>
      </c>
      <c r="B335" t="s">
        <v>98</v>
      </c>
      <c r="C335">
        <v>6</v>
      </c>
      <c r="D335">
        <v>2</v>
      </c>
      <c r="E335">
        <v>12</v>
      </c>
      <c r="F335">
        <v>27182.585849999999</v>
      </c>
      <c r="G335">
        <v>72033.852509999997</v>
      </c>
      <c r="H335">
        <v>11310.67397</v>
      </c>
      <c r="I335">
        <v>11.31067397</v>
      </c>
      <c r="J335">
        <v>1.1310674E-2</v>
      </c>
      <c r="K335">
        <v>24.935738050000001</v>
      </c>
      <c r="L335" s="2">
        <v>6.5000000000000002E-2</v>
      </c>
      <c r="M335">
        <v>3</v>
      </c>
      <c r="N335">
        <v>82.696315999999996</v>
      </c>
      <c r="O335">
        <v>23.5970875286236</v>
      </c>
      <c r="P335">
        <v>854.06036367353499</v>
      </c>
      <c r="Q335">
        <v>2052.5363222146998</v>
      </c>
      <c r="R335">
        <v>5439.22125386895</v>
      </c>
      <c r="S335">
        <v>23.6</v>
      </c>
      <c r="T335">
        <v>0.75</v>
      </c>
      <c r="U335">
        <v>0</v>
      </c>
    </row>
    <row r="336" spans="1:21" x14ac:dyDescent="0.25">
      <c r="A336" s="2" t="s">
        <v>47</v>
      </c>
      <c r="B336" t="s">
        <v>48</v>
      </c>
      <c r="C336">
        <v>6</v>
      </c>
      <c r="D336">
        <v>1</v>
      </c>
      <c r="E336">
        <v>6</v>
      </c>
      <c r="F336">
        <v>283.32131700000002</v>
      </c>
      <c r="G336">
        <v>750.80149010000002</v>
      </c>
      <c r="H336">
        <v>117.8900000037</v>
      </c>
      <c r="I336">
        <v>0.11789000000369999</v>
      </c>
      <c r="J336">
        <v>1.178900000037E-4</v>
      </c>
      <c r="K336">
        <v>0.25990265180815703</v>
      </c>
      <c r="L336" s="3">
        <v>1.23E-2</v>
      </c>
      <c r="M336" s="3">
        <v>3.2</v>
      </c>
      <c r="N336">
        <v>17.548548692677901</v>
      </c>
      <c r="O336" s="2">
        <v>38.033052888167802</v>
      </c>
      <c r="P336" s="2">
        <v>1400.9444367063199</v>
      </c>
      <c r="Q336" s="2">
        <v>3366.8455580541199</v>
      </c>
      <c r="R336" s="2">
        <v>8922.1407288434293</v>
      </c>
      <c r="S336" s="2">
        <v>39.200000000000003</v>
      </c>
      <c r="T336" s="2">
        <v>0.58571428571428596</v>
      </c>
      <c r="U336" s="2">
        <v>0</v>
      </c>
    </row>
    <row r="337" spans="1:21" x14ac:dyDescent="0.25">
      <c r="A337" t="s">
        <v>103</v>
      </c>
      <c r="B337" t="s">
        <v>104</v>
      </c>
      <c r="C337">
        <v>6</v>
      </c>
      <c r="D337">
        <v>1</v>
      </c>
      <c r="E337">
        <v>6</v>
      </c>
      <c r="F337">
        <v>1622.4465270000001</v>
      </c>
      <c r="G337">
        <v>4299.4832969999998</v>
      </c>
      <c r="H337">
        <v>675.09999989999994</v>
      </c>
      <c r="I337">
        <v>0.67510000000000003</v>
      </c>
      <c r="J337">
        <v>6.7509999999999998E-4</v>
      </c>
      <c r="K337">
        <v>1.488338962</v>
      </c>
      <c r="L337">
        <v>1.2999999999999999E-2</v>
      </c>
      <c r="M337">
        <v>2.8</v>
      </c>
      <c r="N337">
        <v>48.314809320000002</v>
      </c>
      <c r="O337">
        <v>43.190452622820999</v>
      </c>
      <c r="P337">
        <v>493.20681311952802</v>
      </c>
      <c r="Q337">
        <v>1185.30837087125</v>
      </c>
      <c r="R337">
        <v>3141.0671828088198</v>
      </c>
      <c r="S337">
        <v>65.400000000000006</v>
      </c>
      <c r="T337">
        <v>0.18</v>
      </c>
      <c r="U337">
        <v>0</v>
      </c>
    </row>
    <row r="338" spans="1:21" x14ac:dyDescent="0.25">
      <c r="A338" s="2" t="s">
        <v>105</v>
      </c>
      <c r="B338" t="s">
        <v>106</v>
      </c>
      <c r="C338">
        <v>6</v>
      </c>
      <c r="D338">
        <v>3</v>
      </c>
      <c r="E338">
        <v>18</v>
      </c>
      <c r="F338">
        <v>9000</v>
      </c>
      <c r="G338">
        <v>23850</v>
      </c>
      <c r="H338">
        <v>3744.9</v>
      </c>
      <c r="I338">
        <v>3.7448999999999999</v>
      </c>
      <c r="J338">
        <v>3.7448999999999998E-3</v>
      </c>
      <c r="K338">
        <v>8.2537596000000004</v>
      </c>
      <c r="L338" s="3">
        <v>1.2699999999999999E-2</v>
      </c>
      <c r="M338" s="3">
        <v>3.1</v>
      </c>
      <c r="N338">
        <v>58.129805837341102</v>
      </c>
      <c r="O338" s="2">
        <v>103.456497094178</v>
      </c>
      <c r="P338" s="2">
        <v>22364.171135055101</v>
      </c>
      <c r="Q338" s="2">
        <v>53747.106789365898</v>
      </c>
      <c r="R338" s="2">
        <v>142429.83299182</v>
      </c>
      <c r="S338">
        <v>109.97499999999999</v>
      </c>
      <c r="T338">
        <v>0.14749999999999999</v>
      </c>
      <c r="U338">
        <v>-1.1566666666666701</v>
      </c>
    </row>
    <row r="339" spans="1:21" x14ac:dyDescent="0.25">
      <c r="A339" t="s">
        <v>115</v>
      </c>
      <c r="B339" t="s">
        <v>116</v>
      </c>
      <c r="C339">
        <v>6</v>
      </c>
      <c r="D339">
        <v>7</v>
      </c>
      <c r="E339">
        <v>42</v>
      </c>
      <c r="F339">
        <v>9236055.5449999999</v>
      </c>
      <c r="G339">
        <v>24475547.190000001</v>
      </c>
      <c r="H339">
        <v>3843122.7119999998</v>
      </c>
      <c r="I339">
        <v>3843.1227119999999</v>
      </c>
      <c r="J339">
        <v>3.843122712</v>
      </c>
      <c r="K339">
        <v>8472.6251940000002</v>
      </c>
      <c r="L339" s="2">
        <v>1.4999999999999999E-2</v>
      </c>
      <c r="M339">
        <v>3</v>
      </c>
      <c r="N339">
        <v>727.04520960000002</v>
      </c>
      <c r="O339" s="2">
        <v>271.772516143796</v>
      </c>
      <c r="P339" s="2">
        <v>301097.995777231</v>
      </c>
      <c r="Q339" s="2">
        <v>723619.31212985096</v>
      </c>
      <c r="R339" s="2">
        <v>1917591.1771441</v>
      </c>
      <c r="S339">
        <v>271.77999999999997</v>
      </c>
      <c r="T339">
        <v>0.25</v>
      </c>
      <c r="U339">
        <v>0</v>
      </c>
    </row>
    <row r="340" spans="1:21" x14ac:dyDescent="0.25">
      <c r="A340" t="s">
        <v>107</v>
      </c>
      <c r="B340" t="s">
        <v>108</v>
      </c>
      <c r="C340">
        <v>6</v>
      </c>
      <c r="D340">
        <v>5</v>
      </c>
      <c r="E340">
        <v>30</v>
      </c>
      <c r="F340">
        <v>7359.7297799999997</v>
      </c>
      <c r="G340">
        <v>19503.283920000002</v>
      </c>
      <c r="H340">
        <v>3062.3835610000001</v>
      </c>
      <c r="I340">
        <v>3.0623835609999999</v>
      </c>
      <c r="J340">
        <v>3.062384E-3</v>
      </c>
      <c r="K340">
        <v>6.7513920470000004</v>
      </c>
      <c r="L340">
        <v>3.5999999999999999E-3</v>
      </c>
      <c r="M340">
        <v>3</v>
      </c>
      <c r="N340">
        <v>94.751412889999997</v>
      </c>
      <c r="O340">
        <v>114.863682080684</v>
      </c>
      <c r="P340">
        <v>5455.7027820230496</v>
      </c>
      <c r="Q340">
        <v>13111.5183418002</v>
      </c>
      <c r="R340">
        <v>34745.523605770402</v>
      </c>
      <c r="S340">
        <v>150</v>
      </c>
      <c r="T340">
        <v>4.1000000000000002E-2</v>
      </c>
      <c r="U340">
        <v>-5.4</v>
      </c>
    </row>
    <row r="341" spans="1:21" x14ac:dyDescent="0.25">
      <c r="A341" t="s">
        <v>41</v>
      </c>
      <c r="B341" t="s">
        <v>42</v>
      </c>
      <c r="C341">
        <v>6</v>
      </c>
      <c r="D341">
        <v>4</v>
      </c>
      <c r="E341">
        <v>24</v>
      </c>
      <c r="F341">
        <v>17035.09101</v>
      </c>
      <c r="G341">
        <v>45142.991179999997</v>
      </c>
      <c r="H341">
        <v>7088.3013689999998</v>
      </c>
      <c r="I341">
        <v>7.0883013689999999</v>
      </c>
      <c r="J341">
        <v>7.088301E-3</v>
      </c>
      <c r="K341">
        <v>15.62701096</v>
      </c>
      <c r="L341">
        <v>1.34E-2</v>
      </c>
      <c r="M341">
        <v>3.1</v>
      </c>
      <c r="N341">
        <v>70.189172310000004</v>
      </c>
      <c r="O341">
        <v>87.147549706914603</v>
      </c>
      <c r="P341">
        <v>13864.233325167101</v>
      </c>
      <c r="Q341">
        <v>33319.474465674401</v>
      </c>
      <c r="R341">
        <v>88296.607334037195</v>
      </c>
      <c r="S341">
        <v>91.5</v>
      </c>
      <c r="T341">
        <v>0.12690000000000001</v>
      </c>
      <c r="U341">
        <v>0</v>
      </c>
    </row>
    <row r="342" spans="1:21" x14ac:dyDescent="0.25">
      <c r="A342" t="s">
        <v>111</v>
      </c>
      <c r="B342" t="s">
        <v>112</v>
      </c>
      <c r="C342">
        <v>6</v>
      </c>
      <c r="D342">
        <v>2</v>
      </c>
      <c r="E342">
        <v>12</v>
      </c>
      <c r="F342">
        <v>1976.4359529999999</v>
      </c>
      <c r="G342">
        <v>5237.5552749999997</v>
      </c>
      <c r="H342">
        <v>822.39499999999998</v>
      </c>
      <c r="I342">
        <v>0.82239499999999999</v>
      </c>
      <c r="J342">
        <v>8.2239499999999996E-4</v>
      </c>
      <c r="K342">
        <v>1.813068465</v>
      </c>
      <c r="L342">
        <v>1.2200000000000001E-2</v>
      </c>
      <c r="M342">
        <v>2.9</v>
      </c>
      <c r="N342">
        <v>46.246202820000001</v>
      </c>
      <c r="O342">
        <v>89.414955880966403</v>
      </c>
      <c r="P342">
        <v>5564.7968412451701</v>
      </c>
      <c r="Q342">
        <v>13373.700651875</v>
      </c>
      <c r="R342">
        <v>35440.306727468596</v>
      </c>
      <c r="S342">
        <v>98.7</v>
      </c>
      <c r="T342">
        <v>0.158</v>
      </c>
      <c r="U342">
        <v>-2.96</v>
      </c>
    </row>
    <row r="343" spans="1:21" x14ac:dyDescent="0.25">
      <c r="A343" t="s">
        <v>113</v>
      </c>
      <c r="B343" t="s">
        <v>114</v>
      </c>
      <c r="C343">
        <v>6</v>
      </c>
      <c r="D343">
        <v>2</v>
      </c>
      <c r="E343">
        <v>12</v>
      </c>
      <c r="F343">
        <v>2919.850997</v>
      </c>
      <c r="G343">
        <v>7737.6051429999998</v>
      </c>
      <c r="H343">
        <v>1214.95</v>
      </c>
      <c r="I343">
        <v>1.21495</v>
      </c>
      <c r="J343">
        <v>1.21495E-3</v>
      </c>
      <c r="K343">
        <v>2.678503069</v>
      </c>
      <c r="L343">
        <v>1.2E-2</v>
      </c>
      <c r="M343">
        <v>3.05</v>
      </c>
      <c r="N343">
        <v>43.763018099999996</v>
      </c>
      <c r="O343">
        <v>79.391013054437593</v>
      </c>
      <c r="P343">
        <v>7472.8083505459499</v>
      </c>
      <c r="Q343">
        <v>17959.164505037101</v>
      </c>
      <c r="R343">
        <v>47591.785938348403</v>
      </c>
      <c r="S343">
        <v>85.9</v>
      </c>
      <c r="T343">
        <v>0.215</v>
      </c>
      <c r="U343">
        <v>0</v>
      </c>
    </row>
    <row r="344" spans="1:21" x14ac:dyDescent="0.25">
      <c r="A344" t="s">
        <v>117</v>
      </c>
      <c r="B344" t="s">
        <v>118</v>
      </c>
      <c r="C344">
        <v>6</v>
      </c>
      <c r="D344">
        <v>2</v>
      </c>
      <c r="E344">
        <v>12</v>
      </c>
      <c r="F344">
        <v>1976.4359529999999</v>
      </c>
      <c r="G344">
        <v>5237.5552749999997</v>
      </c>
      <c r="H344">
        <v>822.39499999999998</v>
      </c>
      <c r="I344">
        <v>0.82239499999999999</v>
      </c>
      <c r="J344">
        <v>8.2239499999999996E-4</v>
      </c>
      <c r="K344">
        <v>1.813068465</v>
      </c>
      <c r="L344">
        <v>1.4999999999999999E-2</v>
      </c>
      <c r="M344">
        <v>3</v>
      </c>
      <c r="N344">
        <v>37.989455370000002</v>
      </c>
      <c r="O344">
        <v>51.152583688026802</v>
      </c>
      <c r="P344">
        <v>2007.6776427407499</v>
      </c>
      <c r="Q344">
        <v>4824.9883267021196</v>
      </c>
      <c r="R344">
        <v>12786.219065760601</v>
      </c>
      <c r="S344">
        <v>73.2</v>
      </c>
      <c r="T344">
        <v>0.1</v>
      </c>
      <c r="U344">
        <v>0</v>
      </c>
    </row>
    <row r="345" spans="1:21" x14ac:dyDescent="0.25">
      <c r="A345" t="s">
        <v>123</v>
      </c>
      <c r="B345" t="s">
        <v>124</v>
      </c>
      <c r="C345">
        <v>6</v>
      </c>
      <c r="D345">
        <v>2</v>
      </c>
      <c r="E345">
        <v>12</v>
      </c>
      <c r="F345">
        <v>1976.4359529999999</v>
      </c>
      <c r="G345">
        <v>5237.5552749999997</v>
      </c>
      <c r="H345">
        <v>822.39499999999998</v>
      </c>
      <c r="I345">
        <v>0.82239499999999999</v>
      </c>
      <c r="J345">
        <v>8.2239499999999996E-4</v>
      </c>
      <c r="K345">
        <v>1.813068465</v>
      </c>
      <c r="L345">
        <v>9.4999999999999998E-3</v>
      </c>
      <c r="M345">
        <v>3.1</v>
      </c>
      <c r="N345">
        <v>39.146754289999997</v>
      </c>
      <c r="O345">
        <v>86.998167026862603</v>
      </c>
      <c r="P345">
        <v>9776.9844196191898</v>
      </c>
      <c r="Q345">
        <v>23496.718143761598</v>
      </c>
      <c r="R345">
        <v>62266.303080968202</v>
      </c>
      <c r="S345">
        <v>111</v>
      </c>
      <c r="T345">
        <v>0.13</v>
      </c>
      <c r="U345">
        <v>0.22</v>
      </c>
    </row>
    <row r="346" spans="1:21" x14ac:dyDescent="0.25">
      <c r="A346" t="s">
        <v>121</v>
      </c>
      <c r="B346" t="s">
        <v>122</v>
      </c>
      <c r="C346">
        <v>6</v>
      </c>
      <c r="D346">
        <v>7</v>
      </c>
      <c r="E346">
        <v>42</v>
      </c>
      <c r="F346">
        <v>9236055.5449999999</v>
      </c>
      <c r="G346">
        <v>24475547.190000001</v>
      </c>
      <c r="H346">
        <v>3843122.7119999998</v>
      </c>
      <c r="I346">
        <v>3843.1227119999999</v>
      </c>
      <c r="J346">
        <v>3.843122712</v>
      </c>
      <c r="K346">
        <v>8472.6251940000002</v>
      </c>
      <c r="L346" s="2">
        <v>1E-3</v>
      </c>
      <c r="M346">
        <v>3</v>
      </c>
      <c r="N346">
        <v>727.04520960000002</v>
      </c>
      <c r="O346" s="2">
        <v>2615.68797125725</v>
      </c>
      <c r="P346" s="2">
        <v>17896075.595150799</v>
      </c>
      <c r="Q346" s="2">
        <v>43009073.768687397</v>
      </c>
      <c r="R346" s="2">
        <v>113974045.487022</v>
      </c>
      <c r="S346">
        <v>2615.7600000000002</v>
      </c>
      <c r="T346">
        <v>0.25</v>
      </c>
      <c r="U346">
        <v>0</v>
      </c>
    </row>
    <row r="347" spans="1:21" x14ac:dyDescent="0.25">
      <c r="A347" t="s">
        <v>119</v>
      </c>
      <c r="B347" t="s">
        <v>120</v>
      </c>
      <c r="C347">
        <v>6</v>
      </c>
      <c r="D347">
        <v>3</v>
      </c>
      <c r="E347">
        <v>18</v>
      </c>
      <c r="F347">
        <v>182386.1888</v>
      </c>
      <c r="G347">
        <v>483323.40029999998</v>
      </c>
      <c r="H347">
        <v>75890.893160000007</v>
      </c>
      <c r="I347">
        <v>75.890893160000005</v>
      </c>
      <c r="J347">
        <v>7.5890893000000001E-2</v>
      </c>
      <c r="K347">
        <v>167.31058089999999</v>
      </c>
      <c r="L347">
        <v>2.1399999999999999E-2</v>
      </c>
      <c r="M347">
        <v>2.96</v>
      </c>
      <c r="N347">
        <v>163.21577260000001</v>
      </c>
      <c r="O347" s="2">
        <v>131.05897364559999</v>
      </c>
      <c r="P347" s="2">
        <v>39638.3337957205</v>
      </c>
      <c r="Q347" s="2">
        <v>95261.556827014007</v>
      </c>
      <c r="R347" s="2">
        <v>252443.12559158701</v>
      </c>
      <c r="S347">
        <v>133.76666666666699</v>
      </c>
      <c r="T347">
        <v>0.3</v>
      </c>
      <c r="U347">
        <v>5</v>
      </c>
    </row>
    <row r="348" spans="1:21" x14ac:dyDescent="0.25">
      <c r="A348" t="s">
        <v>89</v>
      </c>
      <c r="B348" t="s">
        <v>90</v>
      </c>
      <c r="C348">
        <v>6</v>
      </c>
      <c r="D348">
        <v>8</v>
      </c>
      <c r="E348">
        <v>48</v>
      </c>
      <c r="F348">
        <v>48000</v>
      </c>
      <c r="G348">
        <v>127000</v>
      </c>
      <c r="H348">
        <v>19972.8</v>
      </c>
      <c r="I348">
        <v>19.972799999999999</v>
      </c>
      <c r="J348">
        <v>1.9972799999999999E-2</v>
      </c>
      <c r="K348">
        <v>44.032434340000002</v>
      </c>
      <c r="L348" s="2">
        <v>0.05</v>
      </c>
      <c r="M348" s="2">
        <v>3.2</v>
      </c>
      <c r="N348">
        <v>170.3228407</v>
      </c>
      <c r="O348">
        <v>114.28748933038101</v>
      </c>
      <c r="P348">
        <v>2985.5618482265199</v>
      </c>
      <c r="Q348">
        <v>7175.1065806933902</v>
      </c>
      <c r="R348">
        <v>19014.032438837501</v>
      </c>
      <c r="S348">
        <v>114.3</v>
      </c>
      <c r="T348">
        <v>0.19</v>
      </c>
      <c r="U348">
        <v>0</v>
      </c>
    </row>
    <row r="349" spans="1:21" x14ac:dyDescent="0.25">
      <c r="A349" t="s">
        <v>125</v>
      </c>
      <c r="B349" t="s">
        <v>126</v>
      </c>
      <c r="C349">
        <v>6</v>
      </c>
      <c r="D349">
        <v>1</v>
      </c>
      <c r="E349">
        <v>6</v>
      </c>
      <c r="F349">
        <v>6412.8815189999996</v>
      </c>
      <c r="G349">
        <v>16994.136030000001</v>
      </c>
      <c r="H349">
        <v>2668.4</v>
      </c>
      <c r="I349">
        <v>2.6684000000000001</v>
      </c>
      <c r="J349">
        <v>2.6684E-3</v>
      </c>
      <c r="K349">
        <v>5.8828080079999996</v>
      </c>
      <c r="L349">
        <v>1.4999999999999999E-2</v>
      </c>
      <c r="M349">
        <v>2.9</v>
      </c>
      <c r="N349">
        <v>64.62490047</v>
      </c>
      <c r="O349">
        <v>61.3616174912124</v>
      </c>
      <c r="P349">
        <v>2296.1062271517799</v>
      </c>
      <c r="Q349">
        <v>5518.1596422777602</v>
      </c>
      <c r="R349">
        <v>14623.1230520361</v>
      </c>
      <c r="S349">
        <v>136</v>
      </c>
      <c r="T349">
        <v>0.1</v>
      </c>
      <c r="U349">
        <v>0</v>
      </c>
    </row>
    <row r="350" spans="1:21" x14ac:dyDescent="0.25">
      <c r="A350" t="s">
        <v>131</v>
      </c>
      <c r="B350" t="s">
        <v>132</v>
      </c>
      <c r="C350">
        <v>6</v>
      </c>
      <c r="D350">
        <v>2</v>
      </c>
      <c r="E350">
        <v>12</v>
      </c>
      <c r="F350">
        <v>2919.850997</v>
      </c>
      <c r="G350">
        <v>7737.6051429999998</v>
      </c>
      <c r="H350">
        <v>1214.95</v>
      </c>
      <c r="I350">
        <v>1.21495</v>
      </c>
      <c r="J350">
        <v>1.21495E-3</v>
      </c>
      <c r="K350">
        <v>2.678503069</v>
      </c>
      <c r="L350">
        <v>1.4E-2</v>
      </c>
      <c r="M350">
        <v>2.9</v>
      </c>
      <c r="N350">
        <v>50.45532687</v>
      </c>
      <c r="O350">
        <v>41.554189534673903</v>
      </c>
      <c r="P350">
        <v>692.00782131257404</v>
      </c>
      <c r="Q350">
        <v>1663.08056071275</v>
      </c>
      <c r="R350">
        <v>4407.1634858887801</v>
      </c>
      <c r="S350">
        <v>45.7</v>
      </c>
      <c r="T350">
        <v>0.2</v>
      </c>
      <c r="U350">
        <v>0</v>
      </c>
    </row>
    <row r="351" spans="1:21" x14ac:dyDescent="0.25">
      <c r="A351" t="s">
        <v>133</v>
      </c>
      <c r="B351" t="s">
        <v>134</v>
      </c>
      <c r="C351">
        <v>6</v>
      </c>
      <c r="D351">
        <v>3</v>
      </c>
      <c r="E351">
        <v>18</v>
      </c>
      <c r="F351">
        <v>9000</v>
      </c>
      <c r="G351">
        <v>23850</v>
      </c>
      <c r="H351">
        <v>3744.9</v>
      </c>
      <c r="I351">
        <v>3.7448999999999999</v>
      </c>
      <c r="J351">
        <v>3.7448999999999998E-3</v>
      </c>
      <c r="K351">
        <v>8.2560814380000007</v>
      </c>
      <c r="L351">
        <v>1.2699999999999999E-2</v>
      </c>
      <c r="M351">
        <v>3.1</v>
      </c>
      <c r="N351">
        <v>58.129805840000003</v>
      </c>
      <c r="O351">
        <v>95.155926742739098</v>
      </c>
      <c r="P351">
        <v>17256.584213301299</v>
      </c>
      <c r="Q351">
        <v>41472.204309784502</v>
      </c>
      <c r="R351">
        <v>109901.34142092901</v>
      </c>
      <c r="S351">
        <v>114</v>
      </c>
      <c r="T351">
        <v>0.1</v>
      </c>
      <c r="U351">
        <v>0</v>
      </c>
    </row>
    <row r="352" spans="1:21" x14ac:dyDescent="0.25">
      <c r="A352" t="s">
        <v>127</v>
      </c>
      <c r="B352" t="s">
        <v>128</v>
      </c>
      <c r="C352">
        <v>6</v>
      </c>
      <c r="D352">
        <v>2</v>
      </c>
      <c r="E352">
        <v>12</v>
      </c>
      <c r="F352">
        <v>2919.850997</v>
      </c>
      <c r="G352">
        <v>7737.6051429999998</v>
      </c>
      <c r="H352">
        <v>1214.95</v>
      </c>
      <c r="I352">
        <v>1.21495</v>
      </c>
      <c r="J352">
        <v>1.21495E-3</v>
      </c>
      <c r="K352">
        <v>2.678503069</v>
      </c>
      <c r="L352">
        <v>1.4E-2</v>
      </c>
      <c r="M352">
        <v>3</v>
      </c>
      <c r="N352">
        <v>44.273459269999996</v>
      </c>
      <c r="O352">
        <v>60.715831029561201</v>
      </c>
      <c r="P352">
        <v>3133.5300703345201</v>
      </c>
      <c r="Q352">
        <v>7530.7139397609299</v>
      </c>
      <c r="R352">
        <v>19956.391940366499</v>
      </c>
      <c r="S352">
        <v>62.2</v>
      </c>
      <c r="T352">
        <v>0.31</v>
      </c>
      <c r="U352">
        <v>-0.05</v>
      </c>
    </row>
    <row r="353" spans="1:21" x14ac:dyDescent="0.25">
      <c r="A353" t="s">
        <v>135</v>
      </c>
      <c r="B353" t="s">
        <v>136</v>
      </c>
      <c r="C353">
        <v>6</v>
      </c>
      <c r="D353">
        <v>2</v>
      </c>
      <c r="E353">
        <v>12</v>
      </c>
      <c r="F353">
        <v>2919.850997</v>
      </c>
      <c r="G353">
        <v>7737.6051429999998</v>
      </c>
      <c r="H353">
        <v>1214.95</v>
      </c>
      <c r="I353">
        <v>1.21495</v>
      </c>
      <c r="J353">
        <v>1.21495E-3</v>
      </c>
      <c r="K353">
        <v>2.678503069</v>
      </c>
      <c r="L353">
        <v>1.2E-2</v>
      </c>
      <c r="M353">
        <v>3</v>
      </c>
      <c r="N353">
        <v>46.607848230000002</v>
      </c>
      <c r="O353">
        <v>42.057765915686602</v>
      </c>
      <c r="P353">
        <v>892.72941441720604</v>
      </c>
      <c r="Q353">
        <v>2145.4684316683602</v>
      </c>
      <c r="R353">
        <v>5685.4913439211596</v>
      </c>
      <c r="S353">
        <v>60.5</v>
      </c>
      <c r="T353">
        <v>9.9000000000000005E-2</v>
      </c>
      <c r="U353">
        <v>0</v>
      </c>
    </row>
    <row r="354" spans="1:21" x14ac:dyDescent="0.25">
      <c r="A354" t="s">
        <v>129</v>
      </c>
      <c r="B354" t="s">
        <v>130</v>
      </c>
      <c r="C354">
        <v>6</v>
      </c>
      <c r="D354">
        <v>2</v>
      </c>
      <c r="E354">
        <v>12</v>
      </c>
      <c r="F354">
        <v>1976.4359529999999</v>
      </c>
      <c r="G354">
        <v>5237.5552749999997</v>
      </c>
      <c r="H354">
        <v>822.39499999999998</v>
      </c>
      <c r="I354">
        <v>0.82239499999999999</v>
      </c>
      <c r="J354">
        <v>8.2239499999999996E-4</v>
      </c>
      <c r="K354">
        <v>1.813068465</v>
      </c>
      <c r="L354">
        <v>1.2500000000000001E-2</v>
      </c>
      <c r="M354">
        <v>2.88</v>
      </c>
      <c r="N354">
        <v>47.095113740000002</v>
      </c>
      <c r="O354">
        <v>63.689263957451402</v>
      </c>
      <c r="P354">
        <v>1961.64653301096</v>
      </c>
      <c r="Q354">
        <v>4714.3632131962504</v>
      </c>
      <c r="R354">
        <v>12493.062514970001</v>
      </c>
      <c r="S354">
        <v>158</v>
      </c>
      <c r="T354">
        <v>4.2999999999999997E-2</v>
      </c>
      <c r="U354">
        <v>0</v>
      </c>
    </row>
    <row r="355" spans="1:21" x14ac:dyDescent="0.25">
      <c r="A355" t="s">
        <v>137</v>
      </c>
      <c r="B355" t="s">
        <v>138</v>
      </c>
      <c r="C355">
        <v>6</v>
      </c>
      <c r="D355">
        <v>1</v>
      </c>
      <c r="E355">
        <v>6</v>
      </c>
      <c r="F355">
        <v>1659.2165339999999</v>
      </c>
      <c r="G355">
        <v>4396.9238160000004</v>
      </c>
      <c r="H355">
        <v>690.39999980000005</v>
      </c>
      <c r="I355">
        <v>0.69040000000000001</v>
      </c>
      <c r="J355">
        <v>6.9039999999999998E-4</v>
      </c>
      <c r="K355">
        <v>1.522069648</v>
      </c>
      <c r="L355">
        <v>1.2500000000000001E-2</v>
      </c>
      <c r="M355">
        <v>2.82</v>
      </c>
      <c r="N355">
        <v>48.042758149999997</v>
      </c>
      <c r="O355">
        <v>43.300566266559798</v>
      </c>
      <c r="P355">
        <v>515.01739410924904</v>
      </c>
      <c r="Q355">
        <v>1237.72505193283</v>
      </c>
      <c r="R355">
        <v>3279.9713876219898</v>
      </c>
      <c r="S355">
        <v>50</v>
      </c>
      <c r="T355">
        <v>0.33500000000000002</v>
      </c>
      <c r="U355">
        <v>0</v>
      </c>
    </row>
    <row r="356" spans="1:21" x14ac:dyDescent="0.25">
      <c r="A356" t="s">
        <v>21</v>
      </c>
      <c r="B356" t="s">
        <v>22</v>
      </c>
      <c r="C356">
        <v>7</v>
      </c>
      <c r="D356">
        <v>1</v>
      </c>
      <c r="E356">
        <v>7</v>
      </c>
      <c r="F356">
        <v>283.32131700000002</v>
      </c>
      <c r="G356">
        <v>750.80149010000002</v>
      </c>
      <c r="H356">
        <v>117.89</v>
      </c>
      <c r="I356">
        <v>0.11788999999999999</v>
      </c>
      <c r="J356">
        <v>1.1789E-4</v>
      </c>
      <c r="K356">
        <v>0.25990265200000001</v>
      </c>
      <c r="L356">
        <v>1.6E-2</v>
      </c>
      <c r="M356">
        <v>3</v>
      </c>
      <c r="N356">
        <v>19.458931759999999</v>
      </c>
      <c r="O356">
        <v>11.405274543948799</v>
      </c>
      <c r="P356">
        <v>23.737622253013601</v>
      </c>
      <c r="Q356">
        <v>57.0478785220227</v>
      </c>
      <c r="R356">
        <v>151.17687808336001</v>
      </c>
      <c r="S356">
        <v>13.8</v>
      </c>
      <c r="T356">
        <v>0.21</v>
      </c>
      <c r="U356">
        <v>-1.34</v>
      </c>
    </row>
    <row r="357" spans="1:21" x14ac:dyDescent="0.25">
      <c r="A357" t="s">
        <v>95</v>
      </c>
      <c r="B357" s="2" t="s">
        <v>96</v>
      </c>
      <c r="C357">
        <v>7</v>
      </c>
      <c r="D357">
        <v>2</v>
      </c>
      <c r="E357">
        <v>14</v>
      </c>
      <c r="F357">
        <v>2275.6669069999998</v>
      </c>
      <c r="G357">
        <v>6030.517304</v>
      </c>
      <c r="H357">
        <v>946.90499999999997</v>
      </c>
      <c r="I357">
        <v>0.946905</v>
      </c>
      <c r="J357">
        <v>9.4690499999999995E-4</v>
      </c>
      <c r="K357">
        <v>2.0875657009999999</v>
      </c>
      <c r="L357">
        <v>0.01</v>
      </c>
      <c r="M357">
        <v>3</v>
      </c>
      <c r="N357">
        <v>41.240527700000001</v>
      </c>
      <c r="O357">
        <v>127.72983148297</v>
      </c>
      <c r="P357">
        <v>28132.659259456599</v>
      </c>
      <c r="Q357">
        <v>67610.332274589397</v>
      </c>
      <c r="R357">
        <v>179167.380527662</v>
      </c>
      <c r="S357">
        <v>136</v>
      </c>
      <c r="T357">
        <v>0.2</v>
      </c>
      <c r="U357">
        <v>0</v>
      </c>
    </row>
    <row r="358" spans="1:21" x14ac:dyDescent="0.25">
      <c r="A358" t="s">
        <v>101</v>
      </c>
      <c r="B358" t="s">
        <v>102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1.2E-2</v>
      </c>
      <c r="M358">
        <v>3.1</v>
      </c>
      <c r="N358">
        <v>37.994242890000002</v>
      </c>
      <c r="O358" s="2">
        <v>89.439639532726702</v>
      </c>
      <c r="P358" s="2">
        <v>13456.260024838401</v>
      </c>
      <c r="Q358" s="2">
        <v>32339.005106557001</v>
      </c>
      <c r="R358" s="2">
        <v>85698.363532375995</v>
      </c>
      <c r="S358">
        <v>150.03333333333299</v>
      </c>
      <c r="T358">
        <v>0.11333333333333299</v>
      </c>
      <c r="U358">
        <v>6</v>
      </c>
    </row>
    <row r="359" spans="1:21" x14ac:dyDescent="0.25">
      <c r="A359" t="s">
        <v>37</v>
      </c>
      <c r="B359" t="s">
        <v>38</v>
      </c>
      <c r="C359">
        <v>7</v>
      </c>
      <c r="D359">
        <v>9</v>
      </c>
      <c r="E359">
        <v>63</v>
      </c>
      <c r="F359">
        <v>1772528859</v>
      </c>
      <c r="G359">
        <v>4697201478</v>
      </c>
      <c r="H359">
        <v>737549258.20000005</v>
      </c>
      <c r="I359">
        <v>737549.25820000004</v>
      </c>
      <c r="J359">
        <v>737.54925820000005</v>
      </c>
      <c r="K359">
        <v>1626015.8459999999</v>
      </c>
      <c r="L359" s="2">
        <v>6.0000000000000001E-3</v>
      </c>
      <c r="M359">
        <v>3</v>
      </c>
      <c r="N359">
        <v>1544.971047</v>
      </c>
      <c r="O359" s="2">
        <v>2097.3599999999601</v>
      </c>
      <c r="P359" s="2">
        <v>55356700.140478201</v>
      </c>
      <c r="Q359" s="2">
        <v>133037010.671661</v>
      </c>
      <c r="R359" s="2">
        <v>352548078.27990198</v>
      </c>
      <c r="S359" s="2">
        <v>2097.36</v>
      </c>
      <c r="T359" s="2">
        <v>0.5</v>
      </c>
      <c r="U359" s="2">
        <v>0</v>
      </c>
    </row>
    <row r="360" spans="1:21" x14ac:dyDescent="0.25">
      <c r="A360" s="2" t="s">
        <v>31</v>
      </c>
      <c r="B360" t="s">
        <v>32</v>
      </c>
      <c r="C360">
        <v>7</v>
      </c>
      <c r="D360">
        <v>1</v>
      </c>
      <c r="E360">
        <v>7</v>
      </c>
      <c r="F360">
        <v>283.32131700000002</v>
      </c>
      <c r="G360">
        <v>750.80149010000002</v>
      </c>
      <c r="H360">
        <v>117.8900000037</v>
      </c>
      <c r="I360">
        <v>0.11789000000369999</v>
      </c>
      <c r="J360">
        <v>1.178900000037E-4</v>
      </c>
      <c r="K360">
        <v>0.25990265180815703</v>
      </c>
      <c r="L360" s="3">
        <v>1.1599999999999999E-2</v>
      </c>
      <c r="M360" s="3">
        <v>3</v>
      </c>
      <c r="N360">
        <v>21.660725206894199</v>
      </c>
      <c r="O360" s="2">
        <v>29.128156358339801</v>
      </c>
      <c r="P360" s="2">
        <v>286.67972607794502</v>
      </c>
      <c r="Q360" s="2">
        <v>688.96833952882605</v>
      </c>
      <c r="R360" s="2">
        <v>1825.7660997513899</v>
      </c>
      <c r="S360" s="2">
        <v>29.1726666666667</v>
      </c>
      <c r="T360" s="2">
        <v>0.92646666666666699</v>
      </c>
      <c r="U360" s="2">
        <v>0</v>
      </c>
    </row>
    <row r="361" spans="1:21" x14ac:dyDescent="0.25">
      <c r="A361" t="s">
        <v>25</v>
      </c>
      <c r="B361" t="s">
        <v>26</v>
      </c>
      <c r="C361">
        <v>7</v>
      </c>
      <c r="D361">
        <v>3</v>
      </c>
      <c r="E361">
        <v>21</v>
      </c>
      <c r="F361">
        <v>186004.12839999999</v>
      </c>
      <c r="G361">
        <v>492910.94010000001</v>
      </c>
      <c r="H361">
        <v>77396.31783</v>
      </c>
      <c r="I361">
        <v>77.396317830000001</v>
      </c>
      <c r="J361">
        <v>7.7396318000000006E-2</v>
      </c>
      <c r="K361">
        <v>170.62947019999999</v>
      </c>
      <c r="L361">
        <v>2.1399999999999999E-2</v>
      </c>
      <c r="M361">
        <v>2.96</v>
      </c>
      <c r="N361">
        <v>164.30247159999999</v>
      </c>
      <c r="O361">
        <v>296.64913918135198</v>
      </c>
      <c r="P361">
        <v>444890.69960510498</v>
      </c>
      <c r="Q361">
        <v>1069191.7798728801</v>
      </c>
      <c r="R361">
        <v>2833358.2166631301</v>
      </c>
      <c r="S361">
        <v>358.7</v>
      </c>
      <c r="T361">
        <v>9.1999999999999998E-2</v>
      </c>
      <c r="U361">
        <v>-1.929</v>
      </c>
    </row>
    <row r="362" spans="1:21" x14ac:dyDescent="0.25">
      <c r="A362" t="s">
        <v>33</v>
      </c>
      <c r="B362" t="s">
        <v>34</v>
      </c>
      <c r="C362">
        <v>7</v>
      </c>
      <c r="D362">
        <v>2</v>
      </c>
      <c r="E362">
        <v>14</v>
      </c>
      <c r="F362">
        <v>2275.6669069999998</v>
      </c>
      <c r="G362">
        <v>6030.517304</v>
      </c>
      <c r="H362">
        <v>946.90499999999997</v>
      </c>
      <c r="I362">
        <v>0.946905</v>
      </c>
      <c r="J362">
        <v>9.4690499999999995E-4</v>
      </c>
      <c r="K362">
        <v>2.0875657009999999</v>
      </c>
      <c r="L362">
        <v>1.4999999999999999E-2</v>
      </c>
      <c r="M362">
        <v>3</v>
      </c>
      <c r="N362">
        <v>39.817291709999999</v>
      </c>
      <c r="O362">
        <v>56.066872880978799</v>
      </c>
      <c r="P362">
        <v>2643.6883748447099</v>
      </c>
      <c r="Q362">
        <v>6353.4928499031703</v>
      </c>
      <c r="R362">
        <v>16836.7560522434</v>
      </c>
      <c r="S362" s="4">
        <v>58.9</v>
      </c>
      <c r="T362" s="4">
        <v>0.22</v>
      </c>
      <c r="U362" s="4">
        <v>0.20699999999999999</v>
      </c>
    </row>
    <row r="363" spans="1:21" x14ac:dyDescent="0.25">
      <c r="A363" t="s">
        <v>29</v>
      </c>
      <c r="B363" t="s">
        <v>30</v>
      </c>
      <c r="C363">
        <v>7</v>
      </c>
      <c r="D363">
        <v>7</v>
      </c>
      <c r="E363" s="2">
        <v>49</v>
      </c>
      <c r="F363">
        <v>57132.702899999997</v>
      </c>
      <c r="G363">
        <v>151401.76300000001</v>
      </c>
      <c r="H363">
        <v>23772.917679999999</v>
      </c>
      <c r="I363">
        <v>23.772917679999999</v>
      </c>
      <c r="J363">
        <v>2.3772918000000001E-2</v>
      </c>
      <c r="K363">
        <v>52.41024977</v>
      </c>
      <c r="L363">
        <v>3.2499999999999999E-3</v>
      </c>
      <c r="M363">
        <v>3</v>
      </c>
      <c r="N363">
        <v>194.11825339999999</v>
      </c>
      <c r="O363">
        <v>281.967323297902</v>
      </c>
      <c r="P363">
        <v>72858.412760649197</v>
      </c>
      <c r="Q363">
        <v>175098.32434667001</v>
      </c>
      <c r="R363">
        <v>464010.55951867398</v>
      </c>
      <c r="S363">
        <v>282</v>
      </c>
      <c r="T363">
        <v>0.18</v>
      </c>
      <c r="U363">
        <v>-1.35</v>
      </c>
    </row>
    <row r="364" spans="1:21" x14ac:dyDescent="0.25">
      <c r="A364" t="s">
        <v>23</v>
      </c>
      <c r="B364" t="s">
        <v>24</v>
      </c>
      <c r="C364">
        <v>7</v>
      </c>
      <c r="D364">
        <v>3</v>
      </c>
      <c r="E364">
        <v>21</v>
      </c>
      <c r="F364">
        <v>186004.12839999999</v>
      </c>
      <c r="G364">
        <v>492910.94010000001</v>
      </c>
      <c r="H364">
        <v>77396.31783</v>
      </c>
      <c r="I364">
        <v>77.396317830000001</v>
      </c>
      <c r="J364">
        <v>7.7396318000000006E-2</v>
      </c>
      <c r="K364">
        <v>170.62947019999999</v>
      </c>
      <c r="L364">
        <v>2.5999999999999999E-2</v>
      </c>
      <c r="M364">
        <v>3</v>
      </c>
      <c r="N364">
        <v>209.0929592</v>
      </c>
      <c r="O364">
        <v>261.17786424094697</v>
      </c>
      <c r="P364">
        <v>143954.68698504401</v>
      </c>
      <c r="Q364">
        <v>345961.75675328902</v>
      </c>
      <c r="R364">
        <v>916798.65539621701</v>
      </c>
      <c r="S364">
        <v>314.89999999999998</v>
      </c>
      <c r="T364">
        <v>8.8999999999999996E-2</v>
      </c>
      <c r="U364">
        <v>-1.1299999999999999</v>
      </c>
    </row>
    <row r="365" spans="1:21" x14ac:dyDescent="0.25">
      <c r="A365" t="s">
        <v>27</v>
      </c>
      <c r="B365" t="s">
        <v>28</v>
      </c>
      <c r="C365">
        <v>7</v>
      </c>
      <c r="D365">
        <v>1</v>
      </c>
      <c r="E365">
        <v>7</v>
      </c>
      <c r="F365">
        <v>11392.21341</v>
      </c>
      <c r="G365">
        <v>30189.365549999999</v>
      </c>
      <c r="H365">
        <v>4740.3</v>
      </c>
      <c r="I365">
        <v>4.7403000000000004</v>
      </c>
      <c r="J365">
        <v>4.7403000000000002E-3</v>
      </c>
      <c r="K365">
        <v>10.450560189999999</v>
      </c>
      <c r="L365">
        <v>1.0999999999999999E-2</v>
      </c>
      <c r="M365">
        <v>2.9</v>
      </c>
      <c r="N365">
        <v>87.680109529999996</v>
      </c>
      <c r="O365">
        <v>73.047789816638499</v>
      </c>
      <c r="P365">
        <v>2791.6001798030702</v>
      </c>
      <c r="Q365">
        <v>6708.9646234152196</v>
      </c>
      <c r="R365">
        <v>17778.756252050302</v>
      </c>
      <c r="S365">
        <v>81.53</v>
      </c>
      <c r="T365">
        <v>0.31</v>
      </c>
      <c r="U365">
        <v>-0.3</v>
      </c>
    </row>
    <row r="366" spans="1:21" x14ac:dyDescent="0.25">
      <c r="A366" t="s">
        <v>35</v>
      </c>
      <c r="B366" t="s">
        <v>36</v>
      </c>
      <c r="C366">
        <v>7</v>
      </c>
      <c r="D366">
        <v>1</v>
      </c>
      <c r="E366">
        <v>7</v>
      </c>
      <c r="F366">
        <v>283.32131700000002</v>
      </c>
      <c r="G366">
        <v>750.80149010000002</v>
      </c>
      <c r="H366">
        <v>117.89</v>
      </c>
      <c r="I366">
        <v>0.11788999999999999</v>
      </c>
      <c r="J366">
        <v>1.1789E-4</v>
      </c>
      <c r="K366">
        <v>0.25990265200000001</v>
      </c>
      <c r="L366">
        <v>2.1000000000000001E-2</v>
      </c>
      <c r="M366">
        <v>3</v>
      </c>
      <c r="N366">
        <v>17.772665109999998</v>
      </c>
      <c r="O366">
        <v>20.971908009555001</v>
      </c>
      <c r="P366">
        <v>193.70156382249999</v>
      </c>
      <c r="Q366">
        <v>465.51685609829298</v>
      </c>
      <c r="R366">
        <v>1233.6196686604801</v>
      </c>
      <c r="S366" s="4">
        <v>21.02</v>
      </c>
      <c r="T366" s="4">
        <v>0.86</v>
      </c>
      <c r="U366" s="4">
        <v>-6.9989999999999997E-2</v>
      </c>
    </row>
    <row r="367" spans="1:21" x14ac:dyDescent="0.25">
      <c r="A367" t="s">
        <v>39</v>
      </c>
      <c r="B367" t="s">
        <v>40</v>
      </c>
      <c r="C367">
        <v>7</v>
      </c>
      <c r="D367">
        <v>2</v>
      </c>
      <c r="E367">
        <v>14</v>
      </c>
      <c r="F367">
        <v>49795.722179999997</v>
      </c>
      <c r="G367">
        <v>131958.66380000001</v>
      </c>
      <c r="H367">
        <v>20720</v>
      </c>
      <c r="I367">
        <v>20.72</v>
      </c>
      <c r="J367">
        <v>2.0719999999999999E-2</v>
      </c>
      <c r="K367">
        <v>45.6797264</v>
      </c>
      <c r="L367">
        <v>1.2E-2</v>
      </c>
      <c r="M367">
        <v>3</v>
      </c>
      <c r="N367">
        <v>119.9691279</v>
      </c>
      <c r="O367">
        <v>118.10743772432799</v>
      </c>
      <c r="P367">
        <v>19770.287712418001</v>
      </c>
      <c r="Q367">
        <v>47513.308609512103</v>
      </c>
      <c r="R367">
        <v>125910.267815207</v>
      </c>
      <c r="S367">
        <v>150.93</v>
      </c>
      <c r="T367">
        <v>0.11</v>
      </c>
      <c r="U367">
        <v>0.13</v>
      </c>
    </row>
    <row r="368" spans="1:21" x14ac:dyDescent="0.25">
      <c r="A368" t="s">
        <v>45</v>
      </c>
      <c r="B368" t="s">
        <v>46</v>
      </c>
      <c r="C368">
        <v>7</v>
      </c>
      <c r="D368">
        <v>5</v>
      </c>
      <c r="E368">
        <v>35</v>
      </c>
      <c r="F368">
        <v>7506.0987050000003</v>
      </c>
      <c r="G368">
        <v>19891.16157</v>
      </c>
      <c r="H368">
        <v>3123.287671</v>
      </c>
      <c r="I368">
        <v>3.1232876709999999</v>
      </c>
      <c r="J368">
        <v>3.1232880000000001E-3</v>
      </c>
      <c r="K368">
        <v>6.8856624660000003</v>
      </c>
      <c r="L368">
        <v>3.96E-3</v>
      </c>
      <c r="M368">
        <v>3.2</v>
      </c>
      <c r="N368">
        <v>69.62841358</v>
      </c>
      <c r="O368" s="2">
        <v>300.50141982901903</v>
      </c>
      <c r="P368" s="2">
        <v>336359.79302631901</v>
      </c>
      <c r="Q368" s="2">
        <v>808362.87677558104</v>
      </c>
      <c r="R368" s="2">
        <v>2142161.6234552902</v>
      </c>
      <c r="S368" s="2">
        <v>300.78571428571399</v>
      </c>
      <c r="T368" s="2">
        <v>0.24014285714285699</v>
      </c>
      <c r="U368" s="2">
        <v>6</v>
      </c>
    </row>
    <row r="369" spans="1:21" x14ac:dyDescent="0.25">
      <c r="A369" t="s">
        <v>43</v>
      </c>
      <c r="B369" t="s">
        <v>44</v>
      </c>
      <c r="C369">
        <v>7</v>
      </c>
      <c r="D369">
        <v>2</v>
      </c>
      <c r="E369">
        <v>14</v>
      </c>
      <c r="F369">
        <v>2275.6669069999998</v>
      </c>
      <c r="G369">
        <v>6030.517304</v>
      </c>
      <c r="H369">
        <v>946.90499999999997</v>
      </c>
      <c r="I369">
        <v>0.946905</v>
      </c>
      <c r="J369">
        <v>9.4690499999999995E-4</v>
      </c>
      <c r="K369">
        <v>2.0875657009999999</v>
      </c>
      <c r="L369">
        <v>1.44E-2</v>
      </c>
      <c r="M369">
        <v>3</v>
      </c>
      <c r="N369">
        <v>40.362801849999997</v>
      </c>
      <c r="O369" s="2">
        <v>47.543380264649898</v>
      </c>
      <c r="P369" s="2">
        <v>1547.50713712176</v>
      </c>
      <c r="Q369" s="2">
        <v>3719.07507118904</v>
      </c>
      <c r="R369" s="2">
        <v>9855.5489386509507</v>
      </c>
      <c r="S369" s="2">
        <v>47.633333333333297</v>
      </c>
      <c r="T369" s="2">
        <v>0.44800000000000001</v>
      </c>
      <c r="U369" s="2">
        <v>0</v>
      </c>
    </row>
    <row r="370" spans="1:21" x14ac:dyDescent="0.25">
      <c r="A370" t="s">
        <v>53</v>
      </c>
      <c r="B370" t="s">
        <v>54</v>
      </c>
      <c r="C370">
        <v>7</v>
      </c>
      <c r="D370">
        <v>2</v>
      </c>
      <c r="E370">
        <v>14</v>
      </c>
      <c r="F370">
        <v>3445.5659700000001</v>
      </c>
      <c r="G370">
        <v>9130.7498190000006</v>
      </c>
      <c r="H370">
        <v>1433.7</v>
      </c>
      <c r="I370">
        <v>1.4337</v>
      </c>
      <c r="J370">
        <v>1.4337E-3</v>
      </c>
      <c r="K370">
        <v>3.1607636939999999</v>
      </c>
      <c r="L370">
        <v>1.2E-2</v>
      </c>
      <c r="M370">
        <v>2.95</v>
      </c>
      <c r="N370">
        <v>52.615155799999997</v>
      </c>
      <c r="O370">
        <v>37.205426322075901</v>
      </c>
      <c r="P370">
        <v>515.78628244311005</v>
      </c>
      <c r="Q370">
        <v>1239.5728970033899</v>
      </c>
      <c r="R370">
        <v>3284.8681770589801</v>
      </c>
      <c r="S370">
        <v>41</v>
      </c>
      <c r="T370">
        <v>0.17</v>
      </c>
      <c r="U370">
        <v>0</v>
      </c>
    </row>
    <row r="371" spans="1:21" x14ac:dyDescent="0.25">
      <c r="A371" t="s">
        <v>57</v>
      </c>
      <c r="B371" t="s">
        <v>58</v>
      </c>
      <c r="C371">
        <v>7</v>
      </c>
      <c r="D371">
        <v>2</v>
      </c>
      <c r="E371">
        <v>14</v>
      </c>
      <c r="F371">
        <v>7769.8870479999996</v>
      </c>
      <c r="G371">
        <v>20590.200680000002</v>
      </c>
      <c r="H371">
        <v>3233.0500010000001</v>
      </c>
      <c r="I371">
        <v>3.2330500010000001</v>
      </c>
      <c r="J371">
        <v>3.2330499999999999E-3</v>
      </c>
      <c r="K371">
        <v>7.1276466919999999</v>
      </c>
      <c r="L371">
        <v>4.0000000000000001E-3</v>
      </c>
      <c r="M371">
        <v>3.1</v>
      </c>
      <c r="N371">
        <v>64.949648440000004</v>
      </c>
      <c r="O371">
        <v>72.6304257350684</v>
      </c>
      <c r="P371">
        <v>4521.0340391404197</v>
      </c>
      <c r="Q371">
        <v>10865.2584454228</v>
      </c>
      <c r="R371">
        <v>28792.9348803703</v>
      </c>
      <c r="S371">
        <v>72.900000000000006</v>
      </c>
      <c r="T371">
        <v>0.4</v>
      </c>
      <c r="U371">
        <v>0</v>
      </c>
    </row>
    <row r="372" spans="1:21" x14ac:dyDescent="0.25">
      <c r="A372" t="s">
        <v>59</v>
      </c>
      <c r="B372" t="s">
        <v>60</v>
      </c>
      <c r="C372">
        <v>7</v>
      </c>
      <c r="D372">
        <v>2</v>
      </c>
      <c r="E372">
        <v>14</v>
      </c>
      <c r="F372">
        <v>3445.5659700000001</v>
      </c>
      <c r="G372">
        <v>9130.7498190000006</v>
      </c>
      <c r="H372">
        <v>1433.7</v>
      </c>
      <c r="I372">
        <v>1.4337</v>
      </c>
      <c r="J372">
        <v>1.4337E-3</v>
      </c>
      <c r="K372">
        <v>3.1607636939999999</v>
      </c>
      <c r="L372">
        <v>1.6799999999999999E-2</v>
      </c>
      <c r="M372">
        <v>3.1</v>
      </c>
      <c r="N372">
        <v>38.966664020000003</v>
      </c>
      <c r="O372">
        <v>162.533386611716</v>
      </c>
      <c r="P372">
        <v>120013.82954317699</v>
      </c>
      <c r="Q372">
        <v>288425.44951496599</v>
      </c>
      <c r="R372">
        <v>764327.44121465995</v>
      </c>
      <c r="S372">
        <v>263.2</v>
      </c>
      <c r="T372">
        <v>7.0000000000000007E-2</v>
      </c>
      <c r="U372">
        <v>0.27</v>
      </c>
    </row>
    <row r="373" spans="1:21" x14ac:dyDescent="0.25">
      <c r="A373" t="s">
        <v>61</v>
      </c>
      <c r="B373" t="s">
        <v>62</v>
      </c>
      <c r="C373">
        <v>7</v>
      </c>
      <c r="D373">
        <v>1</v>
      </c>
      <c r="E373">
        <v>7</v>
      </c>
      <c r="F373">
        <v>418.3129055</v>
      </c>
      <c r="G373">
        <v>1108.5291999999999</v>
      </c>
      <c r="H373">
        <v>174.06</v>
      </c>
      <c r="I373">
        <v>0.17405999999999999</v>
      </c>
      <c r="J373">
        <v>1.7406E-4</v>
      </c>
      <c r="K373">
        <v>0.38373615700000002</v>
      </c>
      <c r="L373">
        <v>1.2500000000000001E-2</v>
      </c>
      <c r="M373">
        <v>3</v>
      </c>
      <c r="N373">
        <v>24.058192120000001</v>
      </c>
      <c r="O373">
        <v>29.4219476938658</v>
      </c>
      <c r="P373">
        <v>318.36423278291602</v>
      </c>
      <c r="Q373">
        <v>765.11471469097899</v>
      </c>
      <c r="R373">
        <v>2027.55399393109</v>
      </c>
      <c r="S373">
        <v>33.700000000000003</v>
      </c>
      <c r="T373">
        <v>0.32</v>
      </c>
      <c r="U373">
        <v>0.55000000000000004</v>
      </c>
    </row>
    <row r="374" spans="1:21" x14ac:dyDescent="0.25">
      <c r="A374" t="s">
        <v>63</v>
      </c>
      <c r="B374" t="s">
        <v>64</v>
      </c>
      <c r="C374">
        <v>7</v>
      </c>
      <c r="D374">
        <v>2</v>
      </c>
      <c r="E374">
        <v>14</v>
      </c>
      <c r="F374">
        <v>2275.6669069999998</v>
      </c>
      <c r="G374">
        <v>6030.517304</v>
      </c>
      <c r="H374">
        <v>946.90499999999997</v>
      </c>
      <c r="I374">
        <v>0.946905</v>
      </c>
      <c r="J374">
        <v>9.4690499999999995E-4</v>
      </c>
      <c r="K374">
        <v>2.0875657009999999</v>
      </c>
      <c r="L374">
        <v>1.2E-2</v>
      </c>
      <c r="M374">
        <v>3.1</v>
      </c>
      <c r="N374">
        <v>37.994242890000002</v>
      </c>
      <c r="O374">
        <v>42.442386359441798</v>
      </c>
      <c r="P374">
        <v>1334.6291586561599</v>
      </c>
      <c r="Q374">
        <v>3207.4721428891198</v>
      </c>
      <c r="R374">
        <v>8499.8011786561601</v>
      </c>
      <c r="S374">
        <v>42.5</v>
      </c>
      <c r="T374">
        <v>0.47</v>
      </c>
      <c r="U374">
        <v>0.05</v>
      </c>
    </row>
    <row r="375" spans="1:21" x14ac:dyDescent="0.25">
      <c r="A375" t="s">
        <v>65</v>
      </c>
      <c r="B375" t="s">
        <v>66</v>
      </c>
      <c r="C375">
        <v>7</v>
      </c>
      <c r="D375">
        <v>3</v>
      </c>
      <c r="E375">
        <v>21</v>
      </c>
      <c r="F375">
        <v>13000</v>
      </c>
      <c r="G375">
        <v>34450</v>
      </c>
      <c r="H375">
        <v>5409.3</v>
      </c>
      <c r="I375">
        <v>5.4093</v>
      </c>
      <c r="J375">
        <v>5.4092999999999997E-3</v>
      </c>
      <c r="K375">
        <v>11.92545097</v>
      </c>
      <c r="L375">
        <v>1.2699999999999999E-2</v>
      </c>
      <c r="M375">
        <v>3.1</v>
      </c>
      <c r="N375">
        <v>65.450847319999994</v>
      </c>
      <c r="O375">
        <v>52.671572109175699</v>
      </c>
      <c r="P375">
        <v>2758.6092771302801</v>
      </c>
      <c r="Q375">
        <v>6629.6786280468104</v>
      </c>
      <c r="R375">
        <v>17568.648364323999</v>
      </c>
      <c r="S375">
        <v>52.7</v>
      </c>
      <c r="T375">
        <v>0.35</v>
      </c>
      <c r="U375">
        <v>-0.5</v>
      </c>
    </row>
    <row r="376" spans="1:21" x14ac:dyDescent="0.25">
      <c r="A376" t="s">
        <v>67</v>
      </c>
      <c r="B376" t="s">
        <v>68</v>
      </c>
      <c r="C376">
        <v>7</v>
      </c>
      <c r="D376">
        <v>1</v>
      </c>
      <c r="E376">
        <v>7</v>
      </c>
      <c r="F376">
        <v>581.54999999999995</v>
      </c>
      <c r="G376">
        <v>1541.12</v>
      </c>
      <c r="H376">
        <v>241.982955</v>
      </c>
      <c r="I376">
        <v>0.241982955</v>
      </c>
      <c r="J376">
        <v>2.41983E-4</v>
      </c>
      <c r="K376">
        <v>0.53348046199999999</v>
      </c>
      <c r="L376">
        <v>1.29E-2</v>
      </c>
      <c r="M376">
        <v>3.05</v>
      </c>
      <c r="N376">
        <v>25.1795267</v>
      </c>
      <c r="O376">
        <v>36.671459170989699</v>
      </c>
      <c r="P376">
        <v>761.71181665508595</v>
      </c>
      <c r="Q376">
        <v>1830.59797321578</v>
      </c>
      <c r="R376">
        <v>4851.0846290218196</v>
      </c>
      <c r="S376">
        <v>40.6</v>
      </c>
      <c r="T376">
        <v>0.27</v>
      </c>
      <c r="U376">
        <v>-1.65</v>
      </c>
    </row>
    <row r="377" spans="1:21" x14ac:dyDescent="0.25">
      <c r="A377" t="s">
        <v>69</v>
      </c>
      <c r="B377" t="s">
        <v>70</v>
      </c>
      <c r="C377">
        <v>7</v>
      </c>
      <c r="D377">
        <v>1</v>
      </c>
      <c r="E377">
        <v>7</v>
      </c>
      <c r="F377">
        <v>314.44364339999998</v>
      </c>
      <c r="G377">
        <v>833.27565500000003</v>
      </c>
      <c r="H377">
        <v>130.84</v>
      </c>
      <c r="I377">
        <v>0.13084000000000001</v>
      </c>
      <c r="J377">
        <v>1.3083999999999999E-4</v>
      </c>
      <c r="K377">
        <v>0.28845248099999998</v>
      </c>
      <c r="L377">
        <v>0.01</v>
      </c>
      <c r="M377">
        <v>2.9</v>
      </c>
      <c r="N377">
        <v>26.276390169999999</v>
      </c>
      <c r="O377">
        <v>30.771383912721301</v>
      </c>
      <c r="P377">
        <v>206.836120365917</v>
      </c>
      <c r="Q377">
        <v>497.08272137927798</v>
      </c>
      <c r="R377">
        <v>1317.26921165509</v>
      </c>
      <c r="S377">
        <v>37.700000000000003</v>
      </c>
      <c r="T377">
        <v>0.24199999999999999</v>
      </c>
      <c r="U377">
        <v>0</v>
      </c>
    </row>
    <row r="378" spans="1:21" x14ac:dyDescent="0.25">
      <c r="A378" s="2" t="s">
        <v>71</v>
      </c>
      <c r="B378" t="s">
        <v>72</v>
      </c>
      <c r="C378">
        <v>7</v>
      </c>
      <c r="D378">
        <v>1</v>
      </c>
      <c r="E378">
        <v>7</v>
      </c>
      <c r="F378">
        <v>5.118961788</v>
      </c>
      <c r="G378">
        <v>13.565248739999999</v>
      </c>
      <c r="H378">
        <v>2.1299999999867998</v>
      </c>
      <c r="I378">
        <v>2.1299999999868E-3</v>
      </c>
      <c r="J378">
        <v>2.1299999999868002E-6</v>
      </c>
      <c r="K378">
        <v>4.6958405999709E-3</v>
      </c>
      <c r="L378" s="3">
        <v>1.0999999999999999E-2</v>
      </c>
      <c r="M378" s="3">
        <v>3.01</v>
      </c>
      <c r="N378">
        <v>5.7517012256396196</v>
      </c>
      <c r="O378" s="2">
        <v>8.2839286188619692</v>
      </c>
      <c r="P378" s="2">
        <v>6.3868114122370701</v>
      </c>
      <c r="Q378" s="2">
        <v>15.3492223317401</v>
      </c>
      <c r="R378" s="2">
        <v>40.675439179111301</v>
      </c>
      <c r="S378">
        <v>9</v>
      </c>
      <c r="T378">
        <v>0.32</v>
      </c>
      <c r="U378">
        <v>-0.91</v>
      </c>
    </row>
    <row r="379" spans="1:21" x14ac:dyDescent="0.25">
      <c r="A379" s="2" t="s">
        <v>49</v>
      </c>
      <c r="B379" t="s">
        <v>50</v>
      </c>
      <c r="C379">
        <v>7</v>
      </c>
      <c r="D379">
        <v>1</v>
      </c>
      <c r="E379">
        <v>7</v>
      </c>
      <c r="F379">
        <v>2275.6669069999998</v>
      </c>
      <c r="G379">
        <v>6030.517304</v>
      </c>
      <c r="H379">
        <v>946.90500000270004</v>
      </c>
      <c r="I379">
        <v>0.94690500000269995</v>
      </c>
      <c r="J379">
        <v>9.4690500000270004E-4</v>
      </c>
      <c r="K379">
        <v>2.0875657011059499</v>
      </c>
      <c r="L379" s="3">
        <v>1.2E-2</v>
      </c>
      <c r="M379" s="3">
        <v>3.1</v>
      </c>
      <c r="N379">
        <v>37.9942428895584</v>
      </c>
      <c r="O379" s="2">
        <v>43.059489889413399</v>
      </c>
      <c r="P379" s="2">
        <v>1395.7086685865499</v>
      </c>
      <c r="Q379" s="2">
        <v>3354.2626017460898</v>
      </c>
      <c r="R379" s="2">
        <v>8888.7958946271392</v>
      </c>
      <c r="S379" s="2">
        <v>54.3</v>
      </c>
      <c r="T379" s="2">
        <v>0.22500000000000001</v>
      </c>
      <c r="U379" s="2">
        <v>0</v>
      </c>
    </row>
    <row r="380" spans="1:21" x14ac:dyDescent="0.25">
      <c r="A380" t="s">
        <v>55</v>
      </c>
      <c r="B380" t="s">
        <v>56</v>
      </c>
      <c r="C380">
        <v>7</v>
      </c>
      <c r="D380">
        <v>1</v>
      </c>
      <c r="E380">
        <v>7</v>
      </c>
      <c r="F380">
        <v>6590.9637110000003</v>
      </c>
      <c r="G380">
        <v>17466.053830000001</v>
      </c>
      <c r="H380">
        <v>2742.5</v>
      </c>
      <c r="I380">
        <v>2.7425000000000002</v>
      </c>
      <c r="J380">
        <v>2.7425000000000001E-3</v>
      </c>
      <c r="K380">
        <v>6.0461703499999997</v>
      </c>
      <c r="L380">
        <v>1.2999999999999999E-2</v>
      </c>
      <c r="M380">
        <v>3</v>
      </c>
      <c r="N380">
        <v>59.529800620000003</v>
      </c>
      <c r="O380">
        <v>73.702120503668596</v>
      </c>
      <c r="P380">
        <v>5204.55140074882</v>
      </c>
      <c r="Q380">
        <v>12507.934152244199</v>
      </c>
      <c r="R380">
        <v>33146.025503447199</v>
      </c>
      <c r="S380">
        <v>152</v>
      </c>
      <c r="T380">
        <v>9.6000000000000002E-2</v>
      </c>
      <c r="U380">
        <v>0.09</v>
      </c>
    </row>
    <row r="381" spans="1:21" x14ac:dyDescent="0.25">
      <c r="A381" t="s">
        <v>75</v>
      </c>
      <c r="B381" t="s">
        <v>76</v>
      </c>
      <c r="C381">
        <v>7</v>
      </c>
      <c r="D381">
        <v>2</v>
      </c>
      <c r="E381">
        <v>14</v>
      </c>
      <c r="F381">
        <v>2275.6669069999998</v>
      </c>
      <c r="G381">
        <v>6030.517304</v>
      </c>
      <c r="H381">
        <v>946.90499999999997</v>
      </c>
      <c r="I381">
        <v>0.946905</v>
      </c>
      <c r="J381">
        <v>9.4690499999999995E-4</v>
      </c>
      <c r="K381">
        <v>2.0875657009999999</v>
      </c>
      <c r="L381">
        <v>2.5000000000000001E-3</v>
      </c>
      <c r="M381">
        <v>3.1</v>
      </c>
      <c r="N381">
        <v>63.01922132</v>
      </c>
      <c r="O381">
        <v>94.723622222742307</v>
      </c>
      <c r="P381">
        <v>3349.3515181154198</v>
      </c>
      <c r="Q381">
        <v>8049.3908149853996</v>
      </c>
      <c r="R381">
        <v>21330.885659711301</v>
      </c>
      <c r="S381">
        <v>122</v>
      </c>
      <c r="T381">
        <v>0.107</v>
      </c>
      <c r="U381">
        <v>0</v>
      </c>
    </row>
    <row r="382" spans="1:21" x14ac:dyDescent="0.25">
      <c r="A382" t="s">
        <v>73</v>
      </c>
      <c r="B382" t="s">
        <v>74</v>
      </c>
      <c r="C382">
        <v>7</v>
      </c>
      <c r="D382">
        <v>2</v>
      </c>
      <c r="E382">
        <v>14</v>
      </c>
      <c r="F382">
        <v>2275.6669069999998</v>
      </c>
      <c r="G382">
        <v>6030.517304</v>
      </c>
      <c r="H382">
        <v>946.90499999999997</v>
      </c>
      <c r="I382">
        <v>0.946905</v>
      </c>
      <c r="J382">
        <v>9.4690499999999995E-4</v>
      </c>
      <c r="K382">
        <v>2.0875657009999999</v>
      </c>
      <c r="L382">
        <v>1.4E-2</v>
      </c>
      <c r="M382">
        <v>2.8</v>
      </c>
      <c r="N382">
        <v>53.09623234</v>
      </c>
      <c r="O382">
        <v>42.948118856799802</v>
      </c>
      <c r="P382">
        <v>522.84341833367</v>
      </c>
      <c r="Q382">
        <v>1256.5330890018499</v>
      </c>
      <c r="R382">
        <v>3329.8126858549099</v>
      </c>
      <c r="S382">
        <v>43</v>
      </c>
      <c r="T382">
        <v>0.48</v>
      </c>
      <c r="U382">
        <v>0</v>
      </c>
    </row>
    <row r="383" spans="1:21" x14ac:dyDescent="0.25">
      <c r="A383" s="2" t="s">
        <v>51</v>
      </c>
      <c r="B383" t="s">
        <v>52</v>
      </c>
      <c r="C383">
        <v>7</v>
      </c>
      <c r="D383">
        <v>1</v>
      </c>
      <c r="E383">
        <v>7</v>
      </c>
      <c r="F383">
        <v>3445.5659700000001</v>
      </c>
      <c r="G383">
        <v>9130.7498190000006</v>
      </c>
      <c r="H383">
        <v>1433.7000001169999</v>
      </c>
      <c r="I383">
        <v>1.4337000001169999</v>
      </c>
      <c r="J383">
        <v>1.4337000001169999E-3</v>
      </c>
      <c r="K383">
        <v>3.1607636942579398</v>
      </c>
      <c r="L383" s="3">
        <v>1.24E-2</v>
      </c>
      <c r="M383" s="3">
        <v>3.2</v>
      </c>
      <c r="N383">
        <v>38.211926836032902</v>
      </c>
      <c r="O383" s="2">
        <v>15.9146721977712</v>
      </c>
      <c r="P383" s="2">
        <v>86.930928383652699</v>
      </c>
      <c r="Q383" s="2">
        <v>208.918357086404</v>
      </c>
      <c r="R383" s="2">
        <v>553.63364627897101</v>
      </c>
      <c r="S383">
        <v>20.9</v>
      </c>
      <c r="T383">
        <v>0.19500000000000001</v>
      </c>
      <c r="U383">
        <v>-0.35</v>
      </c>
    </row>
    <row r="384" spans="1:21" x14ac:dyDescent="0.25">
      <c r="A384" t="s">
        <v>85</v>
      </c>
      <c r="B384" t="s">
        <v>86</v>
      </c>
      <c r="C384">
        <v>7</v>
      </c>
      <c r="D384">
        <v>7</v>
      </c>
      <c r="E384">
        <v>49</v>
      </c>
      <c r="F384">
        <v>57132.702899999997</v>
      </c>
      <c r="G384">
        <v>151401.76300000001</v>
      </c>
      <c r="H384">
        <v>23772.917679999999</v>
      </c>
      <c r="I384">
        <v>23.772917679999999</v>
      </c>
      <c r="J384">
        <v>2.3772918000000001E-2</v>
      </c>
      <c r="K384">
        <v>52.41024977</v>
      </c>
      <c r="L384">
        <v>5.2399999999999999E-3</v>
      </c>
      <c r="M384">
        <v>3.141</v>
      </c>
      <c r="N384">
        <v>131.61625190000001</v>
      </c>
      <c r="O384" s="2">
        <v>308.37313391266599</v>
      </c>
      <c r="P384" s="2">
        <v>344763.02418618998</v>
      </c>
      <c r="Q384" s="2">
        <v>828558.09705885698</v>
      </c>
      <c r="R384" s="2">
        <v>2195678.9572059698</v>
      </c>
      <c r="S384">
        <v>309.24444444444401</v>
      </c>
      <c r="T384">
        <v>0.13655555555555601</v>
      </c>
      <c r="U384">
        <v>6</v>
      </c>
    </row>
    <row r="385" spans="1:21" x14ac:dyDescent="0.25">
      <c r="A385" t="s">
        <v>77</v>
      </c>
      <c r="B385" t="s">
        <v>78</v>
      </c>
      <c r="C385">
        <v>7</v>
      </c>
      <c r="D385">
        <v>3</v>
      </c>
      <c r="E385">
        <v>21</v>
      </c>
      <c r="F385">
        <v>182759.99249999999</v>
      </c>
      <c r="G385">
        <v>484313.98009999999</v>
      </c>
      <c r="H385">
        <v>76046.432879999993</v>
      </c>
      <c r="I385">
        <v>76.046432879999998</v>
      </c>
      <c r="J385">
        <v>7.6046432999999997E-2</v>
      </c>
      <c r="K385">
        <v>167.65348689999999</v>
      </c>
      <c r="L385">
        <v>3.5000000000000003E-2</v>
      </c>
      <c r="M385">
        <v>2.9</v>
      </c>
      <c r="N385">
        <v>153.1708558</v>
      </c>
      <c r="O385" s="2">
        <v>208.40126121119999</v>
      </c>
      <c r="P385" s="2">
        <v>185728.708506097</v>
      </c>
      <c r="Q385" s="2">
        <v>446355.94449915102</v>
      </c>
      <c r="R385" s="2">
        <v>1182843.2529227501</v>
      </c>
      <c r="S385">
        <v>208.40700000000001</v>
      </c>
      <c r="T385">
        <v>0.5</v>
      </c>
      <c r="U385">
        <v>0</v>
      </c>
    </row>
    <row r="386" spans="1:21" x14ac:dyDescent="0.25">
      <c r="A386" t="s">
        <v>79</v>
      </c>
      <c r="B386" t="s">
        <v>80</v>
      </c>
      <c r="C386">
        <v>7</v>
      </c>
      <c r="D386">
        <v>2</v>
      </c>
      <c r="E386">
        <v>14</v>
      </c>
      <c r="F386">
        <v>3445.5659700000001</v>
      </c>
      <c r="G386">
        <v>9130.7498190000006</v>
      </c>
      <c r="H386">
        <v>1433.7</v>
      </c>
      <c r="I386">
        <v>1.4337</v>
      </c>
      <c r="J386">
        <v>1.4337E-3</v>
      </c>
      <c r="K386">
        <v>3.1607636939999999</v>
      </c>
      <c r="L386">
        <v>3.3999999999999998E-3</v>
      </c>
      <c r="M386">
        <v>3.2850000000000001</v>
      </c>
      <c r="N386">
        <v>38.211926839999997</v>
      </c>
      <c r="O386">
        <v>54.356220407130401</v>
      </c>
      <c r="P386">
        <v>4428.1190491805901</v>
      </c>
      <c r="Q386">
        <v>10641.9587819769</v>
      </c>
      <c r="R386">
        <v>28201.190772238799</v>
      </c>
      <c r="S386">
        <v>59.9</v>
      </c>
      <c r="T386">
        <v>0.17</v>
      </c>
      <c r="U386">
        <v>0</v>
      </c>
    </row>
    <row r="387" spans="1:21" x14ac:dyDescent="0.25">
      <c r="A387" t="s">
        <v>81</v>
      </c>
      <c r="B387" t="s">
        <v>82</v>
      </c>
      <c r="C387">
        <v>7</v>
      </c>
      <c r="D387">
        <v>2</v>
      </c>
      <c r="E387">
        <v>14</v>
      </c>
      <c r="F387">
        <v>2275.6669069999998</v>
      </c>
      <c r="G387">
        <v>6030.517304</v>
      </c>
      <c r="H387">
        <v>946.90499999999997</v>
      </c>
      <c r="I387">
        <v>0.946905</v>
      </c>
      <c r="J387">
        <v>9.4690499999999995E-4</v>
      </c>
      <c r="K387">
        <v>2.0875657009999999</v>
      </c>
      <c r="L387">
        <v>1.4999999999999999E-2</v>
      </c>
      <c r="M387">
        <v>3</v>
      </c>
      <c r="N387">
        <v>39.817291709999999</v>
      </c>
      <c r="O387">
        <v>96.189638783903604</v>
      </c>
      <c r="P387">
        <v>13349.842458351101</v>
      </c>
      <c r="Q387">
        <v>32083.255127015502</v>
      </c>
      <c r="R387">
        <v>85020.626086591001</v>
      </c>
      <c r="S387">
        <v>106</v>
      </c>
      <c r="T387">
        <v>0.17</v>
      </c>
      <c r="U387">
        <v>0</v>
      </c>
    </row>
    <row r="388" spans="1:21" x14ac:dyDescent="0.25">
      <c r="A388" t="s">
        <v>83</v>
      </c>
      <c r="B388" t="s">
        <v>84</v>
      </c>
      <c r="C388">
        <v>7</v>
      </c>
      <c r="D388">
        <v>7</v>
      </c>
      <c r="E388">
        <v>49</v>
      </c>
      <c r="F388">
        <v>57132.702899999997</v>
      </c>
      <c r="G388">
        <v>151401.76300000001</v>
      </c>
      <c r="H388">
        <v>23772.917679999999</v>
      </c>
      <c r="I388">
        <v>23.772917679999999</v>
      </c>
      <c r="J388">
        <v>2.3772918000000001E-2</v>
      </c>
      <c r="K388">
        <v>52.41024977</v>
      </c>
      <c r="L388">
        <v>5.4000000000000003E-3</v>
      </c>
      <c r="M388">
        <v>3</v>
      </c>
      <c r="N388">
        <v>163.89394490000001</v>
      </c>
      <c r="O388">
        <v>279.04801918511998</v>
      </c>
      <c r="P388">
        <v>117335.81437704399</v>
      </c>
      <c r="Q388">
        <v>281989.460170737</v>
      </c>
      <c r="R388">
        <v>747272.06945245399</v>
      </c>
      <c r="S388">
        <v>280</v>
      </c>
      <c r="T388">
        <v>0.11600000000000001</v>
      </c>
      <c r="U388">
        <v>0</v>
      </c>
    </row>
    <row r="389" spans="1:21" x14ac:dyDescent="0.25">
      <c r="A389" t="s">
        <v>91</v>
      </c>
      <c r="B389" t="s">
        <v>92</v>
      </c>
      <c r="C389">
        <v>7</v>
      </c>
      <c r="D389">
        <v>2</v>
      </c>
      <c r="E389">
        <v>14</v>
      </c>
      <c r="F389">
        <v>2275.6669069999998</v>
      </c>
      <c r="G389">
        <v>6030.517304</v>
      </c>
      <c r="H389">
        <v>946.90499999999997</v>
      </c>
      <c r="I389">
        <v>0.946905</v>
      </c>
      <c r="J389">
        <v>9.4690499999999995E-4</v>
      </c>
      <c r="K389">
        <v>2.0875657009999999</v>
      </c>
      <c r="L389">
        <v>1.2999999999999999E-2</v>
      </c>
      <c r="M389">
        <v>3</v>
      </c>
      <c r="N389">
        <v>41.76261512</v>
      </c>
      <c r="O389">
        <v>55.9891170509717</v>
      </c>
      <c r="P389">
        <v>2281.67723045515</v>
      </c>
      <c r="Q389">
        <v>5483.4828898225196</v>
      </c>
      <c r="R389">
        <v>14531.229658029701</v>
      </c>
      <c r="S389">
        <v>60.2</v>
      </c>
      <c r="T389">
        <v>0.19</v>
      </c>
      <c r="U389">
        <v>0</v>
      </c>
    </row>
    <row r="390" spans="1:21" x14ac:dyDescent="0.25">
      <c r="A390" t="s">
        <v>87</v>
      </c>
      <c r="B390" t="s">
        <v>88</v>
      </c>
      <c r="C390">
        <v>7</v>
      </c>
      <c r="D390">
        <v>2</v>
      </c>
      <c r="E390">
        <v>14</v>
      </c>
      <c r="F390">
        <v>2275.6669069999998</v>
      </c>
      <c r="G390">
        <v>6030.517304</v>
      </c>
      <c r="H390">
        <v>946.90499999999997</v>
      </c>
      <c r="I390">
        <v>0.946905</v>
      </c>
      <c r="J390">
        <v>9.4690499999999995E-4</v>
      </c>
      <c r="K390">
        <v>2.0875657009999999</v>
      </c>
      <c r="L390">
        <v>6.0000000000000001E-3</v>
      </c>
      <c r="M390">
        <v>3.1</v>
      </c>
      <c r="N390">
        <v>47.514290099999997</v>
      </c>
      <c r="O390">
        <v>29.513340334047498</v>
      </c>
      <c r="P390">
        <v>216.375549994924</v>
      </c>
      <c r="Q390">
        <v>520.00853159078201</v>
      </c>
      <c r="R390">
        <v>1378.02260871557</v>
      </c>
      <c r="S390">
        <v>31.4</v>
      </c>
      <c r="T390">
        <v>0.19</v>
      </c>
      <c r="U390">
        <v>-0.8</v>
      </c>
    </row>
    <row r="391" spans="1:21" x14ac:dyDescent="0.25">
      <c r="A391" t="s">
        <v>93</v>
      </c>
      <c r="B391" t="s">
        <v>94</v>
      </c>
      <c r="C391">
        <v>7</v>
      </c>
      <c r="D391">
        <v>9</v>
      </c>
      <c r="E391">
        <v>63</v>
      </c>
      <c r="F391">
        <v>1772528859</v>
      </c>
      <c r="G391">
        <v>4697201478</v>
      </c>
      <c r="H391">
        <v>737549258.20000005</v>
      </c>
      <c r="I391">
        <v>737549.25820000004</v>
      </c>
      <c r="J391">
        <v>737.54925820000005</v>
      </c>
      <c r="K391">
        <v>1626015.8459999999</v>
      </c>
      <c r="L391" s="2">
        <v>1.7000000000000001E-2</v>
      </c>
      <c r="M391">
        <v>3</v>
      </c>
      <c r="N391">
        <v>1544.971047</v>
      </c>
      <c r="O391" s="2">
        <v>1584.95977097641</v>
      </c>
      <c r="P391" s="2">
        <v>67686748.473522097</v>
      </c>
      <c r="Q391" s="2">
        <v>162669426.75684199</v>
      </c>
      <c r="R391" s="2">
        <v>431073980.90563202</v>
      </c>
      <c r="S391">
        <v>1584.96</v>
      </c>
      <c r="T391" s="2">
        <v>0.25</v>
      </c>
      <c r="U391">
        <v>0</v>
      </c>
    </row>
    <row r="392" spans="1:21" x14ac:dyDescent="0.25">
      <c r="A392" t="s">
        <v>109</v>
      </c>
      <c r="B392" t="s">
        <v>110</v>
      </c>
      <c r="C392">
        <v>7</v>
      </c>
      <c r="D392">
        <v>5</v>
      </c>
      <c r="E392">
        <v>35</v>
      </c>
      <c r="F392">
        <v>7506.0987050000003</v>
      </c>
      <c r="G392">
        <v>19891.16157</v>
      </c>
      <c r="H392">
        <v>3123.287671</v>
      </c>
      <c r="I392">
        <v>3.1232876709999999</v>
      </c>
      <c r="J392">
        <v>3.1232880000000001E-3</v>
      </c>
      <c r="K392">
        <v>6.8856624660000003</v>
      </c>
      <c r="L392">
        <v>4.3E-3</v>
      </c>
      <c r="M392">
        <v>3.1</v>
      </c>
      <c r="N392">
        <v>77.748400239999995</v>
      </c>
      <c r="O392">
        <v>158.48017445841199</v>
      </c>
      <c r="P392">
        <v>28404.736933570301</v>
      </c>
      <c r="Q392">
        <v>68264.207963399007</v>
      </c>
      <c r="R392">
        <v>180900.151103007</v>
      </c>
      <c r="S392">
        <v>186</v>
      </c>
      <c r="T392">
        <v>4.5999999999999999E-2</v>
      </c>
      <c r="U392">
        <v>-6.54</v>
      </c>
    </row>
    <row r="393" spans="1:21" x14ac:dyDescent="0.25">
      <c r="A393" t="s">
        <v>99</v>
      </c>
      <c r="B393" t="s">
        <v>100</v>
      </c>
      <c r="C393">
        <v>7</v>
      </c>
      <c r="D393">
        <v>2</v>
      </c>
      <c r="E393">
        <v>14</v>
      </c>
      <c r="F393">
        <v>2275.6669069999998</v>
      </c>
      <c r="G393">
        <v>6030.517304</v>
      </c>
      <c r="H393">
        <v>946.90499999999997</v>
      </c>
      <c r="I393">
        <v>0.946905</v>
      </c>
      <c r="J393">
        <v>9.4690499999999995E-4</v>
      </c>
      <c r="K393">
        <v>2.0875657009999999</v>
      </c>
      <c r="L393">
        <v>1.4999999999999999E-2</v>
      </c>
      <c r="M393">
        <v>3.1</v>
      </c>
      <c r="N393">
        <v>35.355460659999999</v>
      </c>
      <c r="O393">
        <v>38.475855513561399</v>
      </c>
      <c r="P393">
        <v>1230.7644492500699</v>
      </c>
      <c r="Q393">
        <v>2957.8573642154902</v>
      </c>
      <c r="R393">
        <v>7838.3220151710502</v>
      </c>
      <c r="S393">
        <v>42.4</v>
      </c>
      <c r="T393">
        <v>0.17</v>
      </c>
      <c r="U393">
        <v>0</v>
      </c>
    </row>
    <row r="394" spans="1:21" x14ac:dyDescent="0.25">
      <c r="A394" t="s">
        <v>97</v>
      </c>
      <c r="B394" t="s">
        <v>98</v>
      </c>
      <c r="C394">
        <v>7</v>
      </c>
      <c r="D394">
        <v>2</v>
      </c>
      <c r="E394">
        <v>14</v>
      </c>
      <c r="F394">
        <v>27187.089510000002</v>
      </c>
      <c r="G394">
        <v>72045.787200000006</v>
      </c>
      <c r="H394">
        <v>11312.54795</v>
      </c>
      <c r="I394">
        <v>11.312547950000001</v>
      </c>
      <c r="J394">
        <v>1.1312548E-2</v>
      </c>
      <c r="K394">
        <v>24.93986945</v>
      </c>
      <c r="L394" s="2">
        <v>6.5000000000000002E-2</v>
      </c>
      <c r="M394">
        <v>3</v>
      </c>
      <c r="N394">
        <v>82.700882840000006</v>
      </c>
      <c r="O394">
        <v>23.599350139795298</v>
      </c>
      <c r="P394">
        <v>854.30606244627199</v>
      </c>
      <c r="Q394">
        <v>2053.1268023222101</v>
      </c>
      <c r="R394">
        <v>5440.7860261538599</v>
      </c>
      <c r="S394">
        <v>23.6</v>
      </c>
      <c r="T394">
        <v>0.75</v>
      </c>
      <c r="U394">
        <v>0</v>
      </c>
    </row>
    <row r="395" spans="1:21" x14ac:dyDescent="0.25">
      <c r="A395" s="2" t="s">
        <v>47</v>
      </c>
      <c r="B395" t="s">
        <v>48</v>
      </c>
      <c r="C395">
        <v>7</v>
      </c>
      <c r="D395">
        <v>1</v>
      </c>
      <c r="E395">
        <v>7</v>
      </c>
      <c r="F395">
        <v>314.44364339999998</v>
      </c>
      <c r="G395">
        <v>833.27565500000003</v>
      </c>
      <c r="H395">
        <v>130.84000001874</v>
      </c>
      <c r="I395">
        <v>0.13084000001873999</v>
      </c>
      <c r="J395">
        <v>1.3084000001873999E-4</v>
      </c>
      <c r="K395">
        <v>0.28845248084131497</v>
      </c>
      <c r="L395" s="3">
        <v>1.23E-2</v>
      </c>
      <c r="M395" s="3">
        <v>3.2</v>
      </c>
      <c r="N395">
        <v>18.1295101576066</v>
      </c>
      <c r="O395" s="2">
        <v>38.550351124251002</v>
      </c>
      <c r="P395" s="2">
        <v>1462.83651709122</v>
      </c>
      <c r="Q395" s="2">
        <v>3515.5888418438399</v>
      </c>
      <c r="R395" s="2">
        <v>9316.3104308861693</v>
      </c>
      <c r="S395" s="2">
        <v>39.200000000000003</v>
      </c>
      <c r="T395" s="2">
        <v>0.58571428571428596</v>
      </c>
      <c r="U395" s="2">
        <v>0</v>
      </c>
    </row>
    <row r="396" spans="1:21" x14ac:dyDescent="0.25">
      <c r="A396" t="s">
        <v>103</v>
      </c>
      <c r="B396" t="s">
        <v>104</v>
      </c>
      <c r="C396">
        <v>7</v>
      </c>
      <c r="D396">
        <v>1</v>
      </c>
      <c r="E396">
        <v>7</v>
      </c>
      <c r="F396">
        <v>2838.9569820000002</v>
      </c>
      <c r="G396">
        <v>7523.2360019999996</v>
      </c>
      <c r="H396">
        <v>1181.29</v>
      </c>
      <c r="I396">
        <v>1.18129</v>
      </c>
      <c r="J396">
        <v>1.18129E-3</v>
      </c>
      <c r="K396">
        <v>2.6042955600000002</v>
      </c>
      <c r="L396">
        <v>1.2999999999999999E-2</v>
      </c>
      <c r="M396">
        <v>2.8</v>
      </c>
      <c r="N396">
        <v>59.001336350000003</v>
      </c>
      <c r="O396">
        <v>46.849026666915002</v>
      </c>
      <c r="P396">
        <v>619.30552591043602</v>
      </c>
      <c r="Q396">
        <v>1488.35742828752</v>
      </c>
      <c r="R396">
        <v>3944.1471849619202</v>
      </c>
      <c r="S396">
        <v>65.400000000000006</v>
      </c>
      <c r="T396">
        <v>0.18</v>
      </c>
      <c r="U396">
        <v>0</v>
      </c>
    </row>
    <row r="397" spans="1:21" x14ac:dyDescent="0.25">
      <c r="A397" s="2" t="s">
        <v>105</v>
      </c>
      <c r="B397" t="s">
        <v>106</v>
      </c>
      <c r="C397">
        <v>7</v>
      </c>
      <c r="D397">
        <v>3</v>
      </c>
      <c r="E397">
        <v>21</v>
      </c>
      <c r="F397">
        <v>13000</v>
      </c>
      <c r="G397">
        <v>34450</v>
      </c>
      <c r="H397">
        <v>5409.3</v>
      </c>
      <c r="I397">
        <v>5.4093</v>
      </c>
      <c r="J397">
        <v>5.4092999999999997E-3</v>
      </c>
      <c r="K397">
        <v>11.9220972</v>
      </c>
      <c r="L397" s="3">
        <v>1.2699999999999999E-2</v>
      </c>
      <c r="M397" s="3">
        <v>3.1</v>
      </c>
      <c r="N397">
        <v>65.450847322550899</v>
      </c>
      <c r="O397" s="2">
        <v>105.78732899261701</v>
      </c>
      <c r="P397" s="2">
        <v>23963.378179590702</v>
      </c>
      <c r="Q397" s="2">
        <v>57590.430616656398</v>
      </c>
      <c r="R397" s="2">
        <v>152614.641134139</v>
      </c>
      <c r="S397">
        <v>109.97499999999999</v>
      </c>
      <c r="T397">
        <v>0.14749999999999999</v>
      </c>
      <c r="U397">
        <v>-1.1566666666666701</v>
      </c>
    </row>
    <row r="398" spans="1:21" x14ac:dyDescent="0.25">
      <c r="A398" t="s">
        <v>115</v>
      </c>
      <c r="B398" t="s">
        <v>116</v>
      </c>
      <c r="C398">
        <v>7</v>
      </c>
      <c r="D398">
        <v>7</v>
      </c>
      <c r="E398">
        <v>49</v>
      </c>
      <c r="F398">
        <v>9236056.2960000001</v>
      </c>
      <c r="G398">
        <v>24475549.18</v>
      </c>
      <c r="H398">
        <v>3843123.0249999999</v>
      </c>
      <c r="I398">
        <v>3843.1230249999999</v>
      </c>
      <c r="J398">
        <v>3.8431230250000001</v>
      </c>
      <c r="K398">
        <v>8472.6258830000006</v>
      </c>
      <c r="L398" s="2">
        <v>1.4999999999999999E-2</v>
      </c>
      <c r="M398">
        <v>3</v>
      </c>
      <c r="N398">
        <v>727.04522929999996</v>
      </c>
      <c r="O398" s="2">
        <v>271.77869950079503</v>
      </c>
      <c r="P398" s="2">
        <v>301118.54795210803</v>
      </c>
      <c r="Q398" s="2">
        <v>723668.704523211</v>
      </c>
      <c r="R398" s="2">
        <v>1917722.0669865101</v>
      </c>
      <c r="S398">
        <v>271.77999999999997</v>
      </c>
      <c r="T398">
        <v>0.25</v>
      </c>
      <c r="U398">
        <v>0</v>
      </c>
    </row>
    <row r="399" spans="1:21" x14ac:dyDescent="0.25">
      <c r="A399" t="s">
        <v>107</v>
      </c>
      <c r="B399" t="s">
        <v>108</v>
      </c>
      <c r="C399">
        <v>7</v>
      </c>
      <c r="D399">
        <v>5</v>
      </c>
      <c r="E399">
        <v>35</v>
      </c>
      <c r="F399">
        <v>7506.0987050000003</v>
      </c>
      <c r="G399">
        <v>19891.16157</v>
      </c>
      <c r="H399">
        <v>3123.287671</v>
      </c>
      <c r="I399">
        <v>3.1232876709999999</v>
      </c>
      <c r="J399">
        <v>3.1232880000000001E-3</v>
      </c>
      <c r="K399">
        <v>6.8856624660000003</v>
      </c>
      <c r="L399">
        <v>3.5999999999999999E-3</v>
      </c>
      <c r="M399">
        <v>3</v>
      </c>
      <c r="N399">
        <v>95.375427009999996</v>
      </c>
      <c r="O399">
        <v>121.376292898451</v>
      </c>
      <c r="P399">
        <v>6437.3053166414402</v>
      </c>
      <c r="Q399">
        <v>15470.572738864301</v>
      </c>
      <c r="R399">
        <v>40997.017757990398</v>
      </c>
      <c r="S399">
        <v>150</v>
      </c>
      <c r="T399">
        <v>4.1000000000000002E-2</v>
      </c>
      <c r="U399">
        <v>-5.4</v>
      </c>
    </row>
    <row r="400" spans="1:21" x14ac:dyDescent="0.25">
      <c r="A400" t="s">
        <v>41</v>
      </c>
      <c r="B400" t="s">
        <v>42</v>
      </c>
      <c r="C400">
        <v>7</v>
      </c>
      <c r="D400">
        <v>4</v>
      </c>
      <c r="E400">
        <v>28</v>
      </c>
      <c r="F400">
        <v>21167.198349999999</v>
      </c>
      <c r="G400">
        <v>56093.075620000003</v>
      </c>
      <c r="H400">
        <v>8807.6712329999991</v>
      </c>
      <c r="I400">
        <v>8.8076712330000007</v>
      </c>
      <c r="J400">
        <v>8.8076709999999996E-3</v>
      </c>
      <c r="K400">
        <v>19.417568150000001</v>
      </c>
      <c r="L400">
        <v>1.34E-2</v>
      </c>
      <c r="M400">
        <v>3.1</v>
      </c>
      <c r="N400">
        <v>75.282768129999994</v>
      </c>
      <c r="O400">
        <v>88.880092603551205</v>
      </c>
      <c r="P400">
        <v>14736.6491332853</v>
      </c>
      <c r="Q400">
        <v>35416.123848318501</v>
      </c>
      <c r="R400">
        <v>93852.7281980439</v>
      </c>
      <c r="S400">
        <v>91.5</v>
      </c>
      <c r="T400">
        <v>0.12690000000000001</v>
      </c>
      <c r="U400">
        <v>0</v>
      </c>
    </row>
    <row r="401" spans="1:21" x14ac:dyDescent="0.25">
      <c r="A401" t="s">
        <v>111</v>
      </c>
      <c r="B401" t="s">
        <v>112</v>
      </c>
      <c r="C401">
        <v>7</v>
      </c>
      <c r="D401">
        <v>2</v>
      </c>
      <c r="E401">
        <v>14</v>
      </c>
      <c r="F401">
        <v>2275.6669069999998</v>
      </c>
      <c r="G401">
        <v>6030.517304</v>
      </c>
      <c r="H401">
        <v>946.90499999999997</v>
      </c>
      <c r="I401">
        <v>0.946905</v>
      </c>
      <c r="J401">
        <v>9.4690499999999995E-4</v>
      </c>
      <c r="K401">
        <v>2.0875657009999999</v>
      </c>
      <c r="L401">
        <v>1.2200000000000001E-2</v>
      </c>
      <c r="M401">
        <v>2.9</v>
      </c>
      <c r="N401">
        <v>48.54991519</v>
      </c>
      <c r="O401">
        <v>91.930650839795206</v>
      </c>
      <c r="P401">
        <v>6031.0760049300598</v>
      </c>
      <c r="Q401">
        <v>14494.2946525596</v>
      </c>
      <c r="R401">
        <v>38409.880829283</v>
      </c>
      <c r="S401">
        <v>98.7</v>
      </c>
      <c r="T401">
        <v>0.158</v>
      </c>
      <c r="U401">
        <v>-2.96</v>
      </c>
    </row>
    <row r="402" spans="1:21" x14ac:dyDescent="0.25">
      <c r="A402" t="s">
        <v>113</v>
      </c>
      <c r="B402" t="s">
        <v>114</v>
      </c>
      <c r="C402">
        <v>7</v>
      </c>
      <c r="D402">
        <v>2</v>
      </c>
      <c r="E402">
        <v>14</v>
      </c>
      <c r="F402">
        <v>3445.5659700000001</v>
      </c>
      <c r="G402">
        <v>9130.7498190000006</v>
      </c>
      <c r="H402">
        <v>1433.7</v>
      </c>
      <c r="I402">
        <v>1.4337</v>
      </c>
      <c r="J402">
        <v>1.4337E-3</v>
      </c>
      <c r="K402">
        <v>3.1607636939999999</v>
      </c>
      <c r="L402">
        <v>1.2E-2</v>
      </c>
      <c r="M402">
        <v>3.05</v>
      </c>
      <c r="N402">
        <v>46.204151209999999</v>
      </c>
      <c r="O402">
        <v>81.6658447944763</v>
      </c>
      <c r="P402">
        <v>8145.2542658518996</v>
      </c>
      <c r="Q402">
        <v>19575.232554318402</v>
      </c>
      <c r="R402">
        <v>51874.366268943901</v>
      </c>
      <c r="S402">
        <v>85.9</v>
      </c>
      <c r="T402">
        <v>0.215</v>
      </c>
      <c r="U402">
        <v>0</v>
      </c>
    </row>
    <row r="403" spans="1:21" x14ac:dyDescent="0.25">
      <c r="A403" t="s">
        <v>117</v>
      </c>
      <c r="B403" t="s">
        <v>118</v>
      </c>
      <c r="C403">
        <v>7</v>
      </c>
      <c r="D403">
        <v>2</v>
      </c>
      <c r="E403">
        <v>14</v>
      </c>
      <c r="F403">
        <v>2275.6669069999998</v>
      </c>
      <c r="G403">
        <v>6030.517304</v>
      </c>
      <c r="H403">
        <v>946.90499999999997</v>
      </c>
      <c r="I403">
        <v>0.946905</v>
      </c>
      <c r="J403">
        <v>9.4690499999999995E-4</v>
      </c>
      <c r="K403">
        <v>2.0875657009999999</v>
      </c>
      <c r="L403">
        <v>1.4999999999999999E-2</v>
      </c>
      <c r="M403">
        <v>3</v>
      </c>
      <c r="N403">
        <v>39.817291709999999</v>
      </c>
      <c r="O403">
        <v>55.149102239474402</v>
      </c>
      <c r="P403">
        <v>2515.9766149775</v>
      </c>
      <c r="Q403">
        <v>6046.56720734798</v>
      </c>
      <c r="R403">
        <v>16023.4030994722</v>
      </c>
      <c r="S403">
        <v>73.2</v>
      </c>
      <c r="T403">
        <v>0.1</v>
      </c>
      <c r="U403">
        <v>0</v>
      </c>
    </row>
    <row r="404" spans="1:21" x14ac:dyDescent="0.25">
      <c r="A404" t="s">
        <v>123</v>
      </c>
      <c r="B404" t="s">
        <v>124</v>
      </c>
      <c r="C404">
        <v>7</v>
      </c>
      <c r="D404">
        <v>2</v>
      </c>
      <c r="E404">
        <v>14</v>
      </c>
      <c r="F404">
        <v>2275.6669069999998</v>
      </c>
      <c r="G404">
        <v>6030.517304</v>
      </c>
      <c r="H404">
        <v>946.90499999999997</v>
      </c>
      <c r="I404">
        <v>0.946905</v>
      </c>
      <c r="J404">
        <v>9.4690499999999995E-4</v>
      </c>
      <c r="K404">
        <v>2.0875657009999999</v>
      </c>
      <c r="L404">
        <v>9.4999999999999998E-3</v>
      </c>
      <c r="M404">
        <v>3.1</v>
      </c>
      <c r="N404">
        <v>40.96812293</v>
      </c>
      <c r="O404">
        <v>92.493348623870105</v>
      </c>
      <c r="P404">
        <v>11821.3251869711</v>
      </c>
      <c r="Q404">
        <v>28409.817800939902</v>
      </c>
      <c r="R404">
        <v>75286.017172490596</v>
      </c>
      <c r="S404">
        <v>111</v>
      </c>
      <c r="T404">
        <v>0.13</v>
      </c>
      <c r="U404">
        <v>0.22</v>
      </c>
    </row>
    <row r="405" spans="1:21" x14ac:dyDescent="0.25">
      <c r="A405" t="s">
        <v>121</v>
      </c>
      <c r="B405" t="s">
        <v>122</v>
      </c>
      <c r="C405">
        <v>7</v>
      </c>
      <c r="D405">
        <v>7</v>
      </c>
      <c r="E405">
        <v>49</v>
      </c>
      <c r="F405">
        <v>9236056.2960000001</v>
      </c>
      <c r="G405">
        <v>24475549.18</v>
      </c>
      <c r="H405">
        <v>3843123.0249999999</v>
      </c>
      <c r="I405">
        <v>3843.1230249999999</v>
      </c>
      <c r="J405">
        <v>3.8431230250000001</v>
      </c>
      <c r="K405">
        <v>8472.6258830000006</v>
      </c>
      <c r="L405" s="2">
        <v>1E-3</v>
      </c>
      <c r="M405">
        <v>3</v>
      </c>
      <c r="N405">
        <v>727.04522929999996</v>
      </c>
      <c r="O405" s="2">
        <v>2615.74748328133</v>
      </c>
      <c r="P405" s="2">
        <v>17897297.135248799</v>
      </c>
      <c r="Q405" s="2">
        <v>43012009.457459196</v>
      </c>
      <c r="R405" s="2">
        <v>113981825.06226701</v>
      </c>
      <c r="S405">
        <v>2615.7600000000002</v>
      </c>
      <c r="T405">
        <v>0.25</v>
      </c>
      <c r="U405">
        <v>0</v>
      </c>
    </row>
    <row r="406" spans="1:21" x14ac:dyDescent="0.25">
      <c r="A406" t="s">
        <v>119</v>
      </c>
      <c r="B406" t="s">
        <v>120</v>
      </c>
      <c r="C406">
        <v>7</v>
      </c>
      <c r="D406">
        <v>3</v>
      </c>
      <c r="E406">
        <v>21</v>
      </c>
      <c r="F406">
        <v>186004.12839999999</v>
      </c>
      <c r="G406">
        <v>492910.94010000001</v>
      </c>
      <c r="H406">
        <v>77396.31783</v>
      </c>
      <c r="I406">
        <v>77.396317830000001</v>
      </c>
      <c r="J406">
        <v>7.7396318000000006E-2</v>
      </c>
      <c r="K406">
        <v>170.62947019999999</v>
      </c>
      <c r="L406">
        <v>2.1399999999999999E-2</v>
      </c>
      <c r="M406">
        <v>2.96</v>
      </c>
      <c r="N406">
        <v>164.30247159999999</v>
      </c>
      <c r="O406" s="2">
        <v>132.28065322973401</v>
      </c>
      <c r="P406" s="2">
        <v>40742.053315997902</v>
      </c>
      <c r="Q406" s="2">
        <v>97914.091122321406</v>
      </c>
      <c r="R406" s="2">
        <v>259472.341474152</v>
      </c>
      <c r="S406">
        <v>133.76666666666699</v>
      </c>
      <c r="T406">
        <v>0.3</v>
      </c>
      <c r="U406">
        <v>6</v>
      </c>
    </row>
    <row r="407" spans="1:21" x14ac:dyDescent="0.25">
      <c r="A407" t="s">
        <v>89</v>
      </c>
      <c r="B407" t="s">
        <v>90</v>
      </c>
      <c r="C407">
        <v>7</v>
      </c>
      <c r="D407">
        <v>8</v>
      </c>
      <c r="E407">
        <v>56</v>
      </c>
      <c r="F407">
        <v>60000</v>
      </c>
      <c r="G407">
        <v>160000</v>
      </c>
      <c r="H407">
        <v>24966</v>
      </c>
      <c r="I407">
        <v>24.966000000000001</v>
      </c>
      <c r="J407">
        <v>2.4965999999999999E-2</v>
      </c>
      <c r="K407">
        <v>55.04054292</v>
      </c>
      <c r="L407" s="2">
        <v>0.05</v>
      </c>
      <c r="M407" s="2">
        <v>3.2</v>
      </c>
      <c r="N407">
        <v>183.45654730000001</v>
      </c>
      <c r="O407">
        <v>114.29726376783999</v>
      </c>
      <c r="P407">
        <v>2986.32793426841</v>
      </c>
      <c r="Q407">
        <v>7176.9476911040801</v>
      </c>
      <c r="R407">
        <v>19018.911381425802</v>
      </c>
      <c r="S407">
        <v>114.3</v>
      </c>
      <c r="T407">
        <v>0.19</v>
      </c>
      <c r="U407">
        <v>0</v>
      </c>
    </row>
    <row r="408" spans="1:21" x14ac:dyDescent="0.25">
      <c r="A408" t="s">
        <v>125</v>
      </c>
      <c r="B408" t="s">
        <v>126</v>
      </c>
      <c r="C408">
        <v>7</v>
      </c>
      <c r="D408">
        <v>1</v>
      </c>
      <c r="E408">
        <v>7</v>
      </c>
      <c r="F408">
        <v>9491.9490490000007</v>
      </c>
      <c r="G408">
        <v>25153.664980000001</v>
      </c>
      <c r="H408">
        <v>3949.599999</v>
      </c>
      <c r="I408">
        <v>3.9495999990000001</v>
      </c>
      <c r="J408">
        <v>3.9496000000000002E-3</v>
      </c>
      <c r="K408">
        <v>8.7073671499999996</v>
      </c>
      <c r="L408">
        <v>1.4999999999999999E-2</v>
      </c>
      <c r="M408">
        <v>2.9</v>
      </c>
      <c r="N408">
        <v>73.981780240000006</v>
      </c>
      <c r="O408">
        <v>68.464398684368305</v>
      </c>
      <c r="P408">
        <v>3154.5627713873801</v>
      </c>
      <c r="Q408">
        <v>7581.2611665161803</v>
      </c>
      <c r="R408">
        <v>20090.342091267899</v>
      </c>
      <c r="S408">
        <v>136</v>
      </c>
      <c r="T408">
        <v>0.1</v>
      </c>
      <c r="U408">
        <v>0</v>
      </c>
    </row>
    <row r="409" spans="1:21" x14ac:dyDescent="0.25">
      <c r="A409" t="s">
        <v>131</v>
      </c>
      <c r="B409" t="s">
        <v>132</v>
      </c>
      <c r="C409">
        <v>7</v>
      </c>
      <c r="D409">
        <v>2</v>
      </c>
      <c r="E409">
        <v>14</v>
      </c>
      <c r="F409">
        <v>3445.5659700000001</v>
      </c>
      <c r="G409">
        <v>9130.7498190000006</v>
      </c>
      <c r="H409">
        <v>1433.7</v>
      </c>
      <c r="I409">
        <v>1.4337</v>
      </c>
      <c r="J409">
        <v>1.4337E-3</v>
      </c>
      <c r="K409">
        <v>3.1607636939999999</v>
      </c>
      <c r="L409">
        <v>1.4E-2</v>
      </c>
      <c r="M409">
        <v>2.9</v>
      </c>
      <c r="N409">
        <v>53.419532879999998</v>
      </c>
      <c r="O409">
        <v>42.920980138027602</v>
      </c>
      <c r="P409">
        <v>760.09865717706396</v>
      </c>
      <c r="Q409">
        <v>1826.72111794536</v>
      </c>
      <c r="R409">
        <v>4840.8109625551997</v>
      </c>
      <c r="S409">
        <v>45.7</v>
      </c>
      <c r="T409">
        <v>0.2</v>
      </c>
      <c r="U409">
        <v>0</v>
      </c>
    </row>
    <row r="410" spans="1:21" x14ac:dyDescent="0.25">
      <c r="A410" t="s">
        <v>133</v>
      </c>
      <c r="B410" t="s">
        <v>134</v>
      </c>
      <c r="C410">
        <v>7</v>
      </c>
      <c r="D410">
        <v>3</v>
      </c>
      <c r="E410">
        <v>21</v>
      </c>
      <c r="F410">
        <v>13000</v>
      </c>
      <c r="G410">
        <v>34450</v>
      </c>
      <c r="H410">
        <v>5409.3</v>
      </c>
      <c r="I410">
        <v>5.4093</v>
      </c>
      <c r="J410">
        <v>5.4092999999999997E-3</v>
      </c>
      <c r="K410">
        <v>11.92545097</v>
      </c>
      <c r="L410">
        <v>1.2699999999999999E-2</v>
      </c>
      <c r="M410">
        <v>3.1</v>
      </c>
      <c r="N410">
        <v>65.450847319999994</v>
      </c>
      <c r="O410">
        <v>100.03996717916</v>
      </c>
      <c r="P410">
        <v>20153.092430026401</v>
      </c>
      <c r="Q410">
        <v>48433.291107970203</v>
      </c>
      <c r="R410">
        <v>128348.22143612101</v>
      </c>
      <c r="S410">
        <v>114</v>
      </c>
      <c r="T410">
        <v>0.1</v>
      </c>
      <c r="U410">
        <v>0</v>
      </c>
    </row>
    <row r="411" spans="1:21" x14ac:dyDescent="0.25">
      <c r="A411" t="s">
        <v>127</v>
      </c>
      <c r="B411" t="s">
        <v>128</v>
      </c>
      <c r="C411">
        <v>7</v>
      </c>
      <c r="D411">
        <v>2</v>
      </c>
      <c r="E411">
        <v>14</v>
      </c>
      <c r="F411">
        <v>3445.5659700000001</v>
      </c>
      <c r="G411">
        <v>9130.7498190000006</v>
      </c>
      <c r="H411">
        <v>1433.7</v>
      </c>
      <c r="I411">
        <v>1.4337</v>
      </c>
      <c r="J411">
        <v>1.4337E-3</v>
      </c>
      <c r="K411">
        <v>3.1607636939999999</v>
      </c>
      <c r="L411">
        <v>1.4E-2</v>
      </c>
      <c r="M411">
        <v>3</v>
      </c>
      <c r="N411">
        <v>46.785371589999997</v>
      </c>
      <c r="O411">
        <v>61.401599557901797</v>
      </c>
      <c r="P411">
        <v>3240.9108939090602</v>
      </c>
      <c r="Q411">
        <v>7788.77888466488</v>
      </c>
      <c r="R411">
        <v>20640.264044361898</v>
      </c>
      <c r="S411">
        <v>62.2</v>
      </c>
      <c r="T411">
        <v>0.31</v>
      </c>
      <c r="U411">
        <v>-0.05</v>
      </c>
    </row>
    <row r="412" spans="1:21" x14ac:dyDescent="0.25">
      <c r="A412" t="s">
        <v>135</v>
      </c>
      <c r="B412" t="s">
        <v>136</v>
      </c>
      <c r="C412">
        <v>7</v>
      </c>
      <c r="D412">
        <v>2</v>
      </c>
      <c r="E412">
        <v>14</v>
      </c>
      <c r="F412">
        <v>3445.5659700000001</v>
      </c>
      <c r="G412">
        <v>9130.7498190000006</v>
      </c>
      <c r="H412">
        <v>1433.7</v>
      </c>
      <c r="I412">
        <v>1.4337</v>
      </c>
      <c r="J412">
        <v>1.4337E-3</v>
      </c>
      <c r="K412">
        <v>3.1607636939999999</v>
      </c>
      <c r="L412">
        <v>1.2E-2</v>
      </c>
      <c r="M412">
        <v>3</v>
      </c>
      <c r="N412">
        <v>49.252205150000002</v>
      </c>
      <c r="O412">
        <v>45.370547132718301</v>
      </c>
      <c r="P412">
        <v>1120.7359308993</v>
      </c>
      <c r="Q412">
        <v>2693.4292980035998</v>
      </c>
      <c r="R412">
        <v>7137.5876397095499</v>
      </c>
      <c r="S412">
        <v>60.5</v>
      </c>
      <c r="T412">
        <v>9.9000000000000005E-2</v>
      </c>
      <c r="U412">
        <v>0</v>
      </c>
    </row>
    <row r="413" spans="1:21" x14ac:dyDescent="0.25">
      <c r="A413" t="s">
        <v>129</v>
      </c>
      <c r="B413" t="s">
        <v>130</v>
      </c>
      <c r="C413">
        <v>7</v>
      </c>
      <c r="D413">
        <v>2</v>
      </c>
      <c r="E413">
        <v>14</v>
      </c>
      <c r="F413">
        <v>2275.6669069999998</v>
      </c>
      <c r="G413">
        <v>6030.517304</v>
      </c>
      <c r="H413">
        <v>946.90499999999997</v>
      </c>
      <c r="I413">
        <v>0.946905</v>
      </c>
      <c r="J413">
        <v>9.4690499999999995E-4</v>
      </c>
      <c r="K413">
        <v>2.0875657009999999</v>
      </c>
      <c r="L413">
        <v>1.2500000000000001E-2</v>
      </c>
      <c r="M413">
        <v>2.88</v>
      </c>
      <c r="N413">
        <v>49.457807510000002</v>
      </c>
      <c r="O413">
        <v>71.461012665231095</v>
      </c>
      <c r="P413">
        <v>2732.9344287040599</v>
      </c>
      <c r="Q413">
        <v>6567.9750749917403</v>
      </c>
      <c r="R413">
        <v>17405.1339487281</v>
      </c>
      <c r="S413">
        <v>158</v>
      </c>
      <c r="T413">
        <v>4.2999999999999997E-2</v>
      </c>
      <c r="U413">
        <v>0</v>
      </c>
    </row>
    <row r="414" spans="1:21" x14ac:dyDescent="0.25">
      <c r="A414" t="s">
        <v>137</v>
      </c>
      <c r="B414" t="s">
        <v>138</v>
      </c>
      <c r="C414">
        <v>7</v>
      </c>
      <c r="D414">
        <v>1</v>
      </c>
      <c r="E414">
        <v>7</v>
      </c>
      <c r="F414">
        <v>2118.4811340000001</v>
      </c>
      <c r="G414">
        <v>5613.9750059999997</v>
      </c>
      <c r="H414">
        <v>881.49999990000003</v>
      </c>
      <c r="I414">
        <v>0.88149999999999995</v>
      </c>
      <c r="J414">
        <v>8.8150000000000001E-4</v>
      </c>
      <c r="K414">
        <v>1.94337253</v>
      </c>
      <c r="L414">
        <v>1.2500000000000001E-2</v>
      </c>
      <c r="M414">
        <v>2.82</v>
      </c>
      <c r="N414">
        <v>52.391361189999998</v>
      </c>
      <c r="O414">
        <v>45.207639893475097</v>
      </c>
      <c r="P414">
        <v>581.57722029877402</v>
      </c>
      <c r="Q414">
        <v>1397.68618192448</v>
      </c>
      <c r="R414">
        <v>3703.8683820998599</v>
      </c>
      <c r="S414">
        <v>50</v>
      </c>
      <c r="T414">
        <v>0.33500000000000002</v>
      </c>
      <c r="U414">
        <v>0</v>
      </c>
    </row>
    <row r="415" spans="1:21" x14ac:dyDescent="0.25">
      <c r="A415" t="s">
        <v>21</v>
      </c>
      <c r="B415" t="s">
        <v>22</v>
      </c>
      <c r="C415">
        <v>8</v>
      </c>
      <c r="D415">
        <v>1</v>
      </c>
      <c r="E415">
        <v>8</v>
      </c>
      <c r="F415">
        <v>314.44364339999998</v>
      </c>
      <c r="G415">
        <v>833.27565500000003</v>
      </c>
      <c r="H415">
        <v>130.84</v>
      </c>
      <c r="I415">
        <v>0.13084000000000001</v>
      </c>
      <c r="J415">
        <v>1.3083999999999999E-4</v>
      </c>
      <c r="K415">
        <v>0.28845248099999998</v>
      </c>
      <c r="L415">
        <v>1.6E-2</v>
      </c>
      <c r="M415">
        <v>3</v>
      </c>
      <c r="N415">
        <v>20.14683599</v>
      </c>
      <c r="O415">
        <v>11.858873271901199</v>
      </c>
      <c r="P415">
        <v>26.6839591327501</v>
      </c>
      <c r="Q415">
        <v>64.128716973684504</v>
      </c>
      <c r="R415">
        <v>169.941099980264</v>
      </c>
      <c r="S415">
        <v>13.8</v>
      </c>
      <c r="T415">
        <v>0.21</v>
      </c>
      <c r="U415">
        <v>-1.34</v>
      </c>
    </row>
    <row r="416" spans="1:21" x14ac:dyDescent="0.25">
      <c r="A416" t="s">
        <v>95</v>
      </c>
      <c r="B416" s="2" t="s">
        <v>96</v>
      </c>
      <c r="C416">
        <v>8</v>
      </c>
      <c r="D416">
        <v>2</v>
      </c>
      <c r="E416">
        <v>16</v>
      </c>
      <c r="F416">
        <v>2451.3338140000001</v>
      </c>
      <c r="G416">
        <v>6496.0346079999999</v>
      </c>
      <c r="H416">
        <v>1020</v>
      </c>
      <c r="I416">
        <v>1.02</v>
      </c>
      <c r="J416">
        <v>1.0200000000000001E-3</v>
      </c>
      <c r="K416">
        <v>2.2487124000000001</v>
      </c>
      <c r="L416">
        <v>0.01</v>
      </c>
      <c r="M416">
        <v>3</v>
      </c>
      <c r="N416">
        <v>42.275504699999999</v>
      </c>
      <c r="O416">
        <v>130.45634025894199</v>
      </c>
      <c r="P416">
        <v>29972.9397906187</v>
      </c>
      <c r="Q416">
        <v>72033.020405236006</v>
      </c>
      <c r="R416">
        <v>190887.50407387601</v>
      </c>
      <c r="S416">
        <v>136</v>
      </c>
      <c r="T416">
        <v>0.2</v>
      </c>
      <c r="U416">
        <v>0</v>
      </c>
    </row>
    <row r="417" spans="1:21" x14ac:dyDescent="0.25">
      <c r="A417" t="s">
        <v>101</v>
      </c>
      <c r="B417" t="s">
        <v>102</v>
      </c>
      <c r="C417">
        <v>8</v>
      </c>
      <c r="D417">
        <v>2</v>
      </c>
      <c r="E417">
        <v>16</v>
      </c>
      <c r="F417">
        <v>2451.3338140000001</v>
      </c>
      <c r="G417">
        <v>6496.0346079999999</v>
      </c>
      <c r="H417">
        <v>1020</v>
      </c>
      <c r="I417">
        <v>1.02</v>
      </c>
      <c r="J417">
        <v>1.0200000000000001E-3</v>
      </c>
      <c r="K417">
        <v>2.2487124000000001</v>
      </c>
      <c r="L417">
        <v>1.2E-2</v>
      </c>
      <c r="M417">
        <v>3.1</v>
      </c>
      <c r="N417">
        <v>38.916622109999999</v>
      </c>
      <c r="O417" s="2">
        <v>95.932072476032502</v>
      </c>
      <c r="P417" s="2">
        <v>16721.264219498698</v>
      </c>
      <c r="Q417" s="2">
        <v>40185.686660655498</v>
      </c>
      <c r="R417" s="2">
        <v>106492.069650737</v>
      </c>
      <c r="S417">
        <v>150.03333333333299</v>
      </c>
      <c r="T417">
        <v>0.11333333333333299</v>
      </c>
      <c r="U417">
        <v>7</v>
      </c>
    </row>
    <row r="418" spans="1:21" x14ac:dyDescent="0.25">
      <c r="A418" t="s">
        <v>37</v>
      </c>
      <c r="B418" t="s">
        <v>38</v>
      </c>
      <c r="C418">
        <v>8</v>
      </c>
      <c r="D418">
        <v>9</v>
      </c>
      <c r="E418">
        <v>72</v>
      </c>
      <c r="F418">
        <v>1772528860</v>
      </c>
      <c r="G418">
        <v>4697201480</v>
      </c>
      <c r="H418">
        <v>737549258.60000002</v>
      </c>
      <c r="I418">
        <v>737549.25859999994</v>
      </c>
      <c r="J418">
        <v>737.54925860000003</v>
      </c>
      <c r="K418">
        <v>1626015.8470000001</v>
      </c>
      <c r="L418" s="2">
        <v>6.0000000000000001E-3</v>
      </c>
      <c r="M418">
        <v>3</v>
      </c>
      <c r="N418">
        <v>1544.971047</v>
      </c>
      <c r="O418" s="2">
        <v>2097.36</v>
      </c>
      <c r="P418" s="2">
        <v>55356700.140481502</v>
      </c>
      <c r="Q418" s="2">
        <v>133037010.67166901</v>
      </c>
      <c r="R418" s="2">
        <v>352548078.27992302</v>
      </c>
      <c r="S418" s="2">
        <v>2097.36</v>
      </c>
      <c r="T418" s="2">
        <v>0.5</v>
      </c>
      <c r="U418" s="2">
        <v>0</v>
      </c>
    </row>
    <row r="419" spans="1:21" x14ac:dyDescent="0.25">
      <c r="A419" s="2" t="s">
        <v>31</v>
      </c>
      <c r="B419" t="s">
        <v>32</v>
      </c>
      <c r="C419">
        <v>8</v>
      </c>
      <c r="D419">
        <v>1</v>
      </c>
      <c r="E419">
        <v>8</v>
      </c>
      <c r="F419">
        <v>314.44364339999998</v>
      </c>
      <c r="G419">
        <v>833.27565500000003</v>
      </c>
      <c r="H419">
        <v>130.84000001874</v>
      </c>
      <c r="I419">
        <v>0.13084000001873999</v>
      </c>
      <c r="J419">
        <v>1.3084000001873999E-4</v>
      </c>
      <c r="K419">
        <v>0.28845248084131497</v>
      </c>
      <c r="L419" s="3">
        <v>1.1599999999999999E-2</v>
      </c>
      <c r="M419" s="3">
        <v>3</v>
      </c>
      <c r="N419">
        <v>22.4264663428077</v>
      </c>
      <c r="O419" s="2">
        <v>29.155042798247401</v>
      </c>
      <c r="P419" s="2">
        <v>287.474309221856</v>
      </c>
      <c r="Q419" s="2">
        <v>690.87793612558403</v>
      </c>
      <c r="R419" s="2">
        <v>1830.8265307327999</v>
      </c>
      <c r="S419" s="2">
        <v>29.1726666666667</v>
      </c>
      <c r="T419" s="2">
        <v>0.92646666666666699</v>
      </c>
      <c r="U419" s="2">
        <v>0</v>
      </c>
    </row>
    <row r="420" spans="1:21" x14ac:dyDescent="0.25">
      <c r="A420" t="s">
        <v>25</v>
      </c>
      <c r="B420" t="s">
        <v>26</v>
      </c>
      <c r="C420">
        <v>8</v>
      </c>
      <c r="D420">
        <v>3</v>
      </c>
      <c r="E420">
        <v>24</v>
      </c>
      <c r="F420">
        <v>187644.9615</v>
      </c>
      <c r="G420">
        <v>497259.14809999999</v>
      </c>
      <c r="H420">
        <v>78079.068480000002</v>
      </c>
      <c r="I420">
        <v>78.079068480000004</v>
      </c>
      <c r="J420">
        <v>7.8079068000000001E-2</v>
      </c>
      <c r="K420">
        <v>172.13467600000001</v>
      </c>
      <c r="L420">
        <v>2.1399999999999999E-2</v>
      </c>
      <c r="M420">
        <v>2.96</v>
      </c>
      <c r="N420">
        <v>164.790708</v>
      </c>
      <c r="O420">
        <v>311.61500444594401</v>
      </c>
      <c r="P420">
        <v>514664.39223161998</v>
      </c>
      <c r="Q420">
        <v>1236876.6936592599</v>
      </c>
      <c r="R420">
        <v>3277723.2381970501</v>
      </c>
      <c r="S420">
        <v>358.7</v>
      </c>
      <c r="T420">
        <v>9.1999999999999998E-2</v>
      </c>
      <c r="U420">
        <v>-1.929</v>
      </c>
    </row>
    <row r="421" spans="1:21" x14ac:dyDescent="0.25">
      <c r="A421" t="s">
        <v>33</v>
      </c>
      <c r="B421" t="s">
        <v>34</v>
      </c>
      <c r="C421">
        <v>8</v>
      </c>
      <c r="D421">
        <v>2</v>
      </c>
      <c r="E421">
        <v>16</v>
      </c>
      <c r="F421">
        <v>2451.3338140000001</v>
      </c>
      <c r="G421">
        <v>6496.0346079999999</v>
      </c>
      <c r="H421">
        <v>1020</v>
      </c>
      <c r="I421">
        <v>1.02</v>
      </c>
      <c r="J421">
        <v>1.0200000000000001E-3</v>
      </c>
      <c r="K421">
        <v>2.2487124000000001</v>
      </c>
      <c r="L421">
        <v>1.4999999999999999E-2</v>
      </c>
      <c r="M421">
        <v>3</v>
      </c>
      <c r="N421">
        <v>40.816551019999999</v>
      </c>
      <c r="O421">
        <v>57.075362949792002</v>
      </c>
      <c r="P421">
        <v>2788.9280146025999</v>
      </c>
      <c r="Q421">
        <v>6702.5426931088796</v>
      </c>
      <c r="R421">
        <v>17761.738136738499</v>
      </c>
      <c r="S421" s="4">
        <v>58.9</v>
      </c>
      <c r="T421" s="4">
        <v>0.22</v>
      </c>
      <c r="U421" s="4">
        <v>0.20699999999999999</v>
      </c>
    </row>
    <row r="422" spans="1:21" x14ac:dyDescent="0.25">
      <c r="A422" t="s">
        <v>29</v>
      </c>
      <c r="B422" t="s">
        <v>30</v>
      </c>
      <c r="C422">
        <v>8</v>
      </c>
      <c r="D422">
        <v>7</v>
      </c>
      <c r="E422" s="2">
        <v>56</v>
      </c>
      <c r="F422">
        <v>61342.911800000002</v>
      </c>
      <c r="G422">
        <v>162558.266</v>
      </c>
      <c r="H422">
        <v>25524.785599999999</v>
      </c>
      <c r="I422">
        <v>25.524785600000001</v>
      </c>
      <c r="J422">
        <v>2.5524786000000001E-2</v>
      </c>
      <c r="K422">
        <v>56.272452829999999</v>
      </c>
      <c r="L422">
        <v>3.2499999999999999E-3</v>
      </c>
      <c r="M422">
        <v>3</v>
      </c>
      <c r="N422">
        <v>198.7740015</v>
      </c>
      <c r="O422">
        <v>281.99073112187699</v>
      </c>
      <c r="P422">
        <v>72876.559528140206</v>
      </c>
      <c r="Q422">
        <v>175141.93590036099</v>
      </c>
      <c r="R422">
        <v>464126.13013595698</v>
      </c>
      <c r="S422">
        <v>282</v>
      </c>
      <c r="T422">
        <v>0.18</v>
      </c>
      <c r="U422">
        <v>-1.35</v>
      </c>
    </row>
    <row r="423" spans="1:21" x14ac:dyDescent="0.25">
      <c r="A423" t="s">
        <v>23</v>
      </c>
      <c r="B423" t="s">
        <v>24</v>
      </c>
      <c r="C423">
        <v>8</v>
      </c>
      <c r="D423">
        <v>3</v>
      </c>
      <c r="E423">
        <v>24</v>
      </c>
      <c r="F423">
        <v>187644.9615</v>
      </c>
      <c r="G423">
        <v>497259.14809999999</v>
      </c>
      <c r="H423">
        <v>78079.068480000002</v>
      </c>
      <c r="I423">
        <v>78.079068480000004</v>
      </c>
      <c r="J423">
        <v>7.8079068000000001E-2</v>
      </c>
      <c r="K423">
        <v>172.13467600000001</v>
      </c>
      <c r="L423">
        <v>2.5999999999999999E-2</v>
      </c>
      <c r="M423">
        <v>3</v>
      </c>
      <c r="N423">
        <v>209.75221239999999</v>
      </c>
      <c r="O423">
        <v>273.76640730768599</v>
      </c>
      <c r="P423">
        <v>164158.73057242401</v>
      </c>
      <c r="Q423">
        <v>394517.49716996902</v>
      </c>
      <c r="R423">
        <v>1045471.36750042</v>
      </c>
      <c r="S423">
        <v>314.89999999999998</v>
      </c>
      <c r="T423">
        <v>8.8999999999999996E-2</v>
      </c>
      <c r="U423">
        <v>-1.1299999999999999</v>
      </c>
    </row>
    <row r="424" spans="1:21" x14ac:dyDescent="0.25">
      <c r="A424" t="s">
        <v>27</v>
      </c>
      <c r="B424" t="s">
        <v>28</v>
      </c>
      <c r="C424">
        <v>8</v>
      </c>
      <c r="D424">
        <v>1</v>
      </c>
      <c r="E424">
        <v>8</v>
      </c>
      <c r="F424">
        <v>12774.81374</v>
      </c>
      <c r="G424">
        <v>33853.256419999998</v>
      </c>
      <c r="H424">
        <v>5315.5999970000003</v>
      </c>
      <c r="I424">
        <v>5.3155999969999996</v>
      </c>
      <c r="J424">
        <v>5.3156000000000002E-3</v>
      </c>
      <c r="K424">
        <v>11.718878070000001</v>
      </c>
      <c r="L424">
        <v>1.0999999999999999E-2</v>
      </c>
      <c r="M424">
        <v>2.9</v>
      </c>
      <c r="N424">
        <v>91.212642349999996</v>
      </c>
      <c r="O424">
        <v>75.308748758958799</v>
      </c>
      <c r="P424">
        <v>3049.61094600149</v>
      </c>
      <c r="Q424">
        <v>7329.0337563121702</v>
      </c>
      <c r="R424">
        <v>19421.939454227198</v>
      </c>
      <c r="S424">
        <v>81.53</v>
      </c>
      <c r="T424">
        <v>0.31</v>
      </c>
      <c r="U424">
        <v>-0.3</v>
      </c>
    </row>
    <row r="425" spans="1:21" x14ac:dyDescent="0.25">
      <c r="A425" t="s">
        <v>35</v>
      </c>
      <c r="B425" t="s">
        <v>36</v>
      </c>
      <c r="C425">
        <v>8</v>
      </c>
      <c r="D425">
        <v>1</v>
      </c>
      <c r="E425">
        <v>8</v>
      </c>
      <c r="F425">
        <v>314.44364339999998</v>
      </c>
      <c r="G425">
        <v>833.27565500000003</v>
      </c>
      <c r="H425">
        <v>130.84</v>
      </c>
      <c r="I425">
        <v>0.13084000000000001</v>
      </c>
      <c r="J425">
        <v>1.3083999999999999E-4</v>
      </c>
      <c r="K425">
        <v>0.28845248099999998</v>
      </c>
      <c r="L425">
        <v>2.1000000000000001E-2</v>
      </c>
      <c r="M425">
        <v>3</v>
      </c>
      <c r="N425">
        <v>18.400957129999998</v>
      </c>
      <c r="O425">
        <v>20.9996492931805</v>
      </c>
      <c r="P425">
        <v>194.471256475155</v>
      </c>
      <c r="Q425">
        <v>467.366634162835</v>
      </c>
      <c r="R425">
        <v>1238.5215805315099</v>
      </c>
      <c r="S425" s="4">
        <v>21.02</v>
      </c>
      <c r="T425" s="4">
        <v>0.86</v>
      </c>
      <c r="U425" s="4">
        <v>-6.9989999999999997E-2</v>
      </c>
    </row>
    <row r="426" spans="1:21" x14ac:dyDescent="0.25">
      <c r="A426" t="s">
        <v>39</v>
      </c>
      <c r="B426" t="s">
        <v>40</v>
      </c>
      <c r="C426">
        <v>8</v>
      </c>
      <c r="D426">
        <v>2</v>
      </c>
      <c r="E426">
        <v>16</v>
      </c>
      <c r="F426">
        <v>52871.905789999997</v>
      </c>
      <c r="G426">
        <v>140110.5503</v>
      </c>
      <c r="H426">
        <v>22000</v>
      </c>
      <c r="I426">
        <v>22</v>
      </c>
      <c r="J426">
        <v>2.1999999999999999E-2</v>
      </c>
      <c r="K426">
        <v>48.501640000000002</v>
      </c>
      <c r="L426">
        <v>1.2E-2</v>
      </c>
      <c r="M426">
        <v>3</v>
      </c>
      <c r="N426">
        <v>122.39034100000001</v>
      </c>
      <c r="O426">
        <v>124.589276776479</v>
      </c>
      <c r="P426">
        <v>23207.226476381598</v>
      </c>
      <c r="Q426">
        <v>55773.195088636297</v>
      </c>
      <c r="R426">
        <v>147798.96698488601</v>
      </c>
      <c r="S426">
        <v>150.93</v>
      </c>
      <c r="T426">
        <v>0.11</v>
      </c>
      <c r="U426">
        <v>0.13</v>
      </c>
    </row>
    <row r="427" spans="1:21" x14ac:dyDescent="0.25">
      <c r="A427" t="s">
        <v>45</v>
      </c>
      <c r="B427" t="s">
        <v>46</v>
      </c>
      <c r="C427">
        <v>8</v>
      </c>
      <c r="D427">
        <v>5</v>
      </c>
      <c r="E427">
        <v>40</v>
      </c>
      <c r="F427">
        <v>7633.7023829999998</v>
      </c>
      <c r="G427">
        <v>20229.311320000001</v>
      </c>
      <c r="H427">
        <v>3176.383562</v>
      </c>
      <c r="I427">
        <v>3.1763835619999998</v>
      </c>
      <c r="J427">
        <v>3.176384E-3</v>
      </c>
      <c r="K427">
        <v>7.0027187279999996</v>
      </c>
      <c r="L427">
        <v>3.96E-3</v>
      </c>
      <c r="M427">
        <v>3.2</v>
      </c>
      <c r="N427">
        <v>69.99617336</v>
      </c>
      <c r="O427" s="2">
        <v>300.67692214542598</v>
      </c>
      <c r="P427" s="2">
        <v>336988.82013305998</v>
      </c>
      <c r="Q427" s="2">
        <v>809874.59777231305</v>
      </c>
      <c r="R427" s="2">
        <v>2146167.6840966302</v>
      </c>
      <c r="S427" s="2">
        <v>300.78571428571399</v>
      </c>
      <c r="T427" s="2">
        <v>0.24014285714285699</v>
      </c>
      <c r="U427" s="2">
        <v>7</v>
      </c>
    </row>
    <row r="428" spans="1:21" x14ac:dyDescent="0.25">
      <c r="A428" t="s">
        <v>43</v>
      </c>
      <c r="B428" t="s">
        <v>44</v>
      </c>
      <c r="C428">
        <v>8</v>
      </c>
      <c r="D428">
        <v>2</v>
      </c>
      <c r="E428">
        <v>16</v>
      </c>
      <c r="F428">
        <v>2451.3338140000001</v>
      </c>
      <c r="G428">
        <v>6496.0346079999999</v>
      </c>
      <c r="H428">
        <v>1020</v>
      </c>
      <c r="I428">
        <v>1.02</v>
      </c>
      <c r="J428">
        <v>1.0200000000000001E-3</v>
      </c>
      <c r="K428">
        <v>2.2487124000000001</v>
      </c>
      <c r="L428">
        <v>1.44E-2</v>
      </c>
      <c r="M428">
        <v>3</v>
      </c>
      <c r="N428">
        <v>41.375751340000001</v>
      </c>
      <c r="O428" s="2">
        <v>47.596614563084003</v>
      </c>
      <c r="P428" s="2">
        <v>1552.7111885852801</v>
      </c>
      <c r="Q428" s="2">
        <v>3731.58180385791</v>
      </c>
      <c r="R428" s="2">
        <v>9888.6917802234693</v>
      </c>
      <c r="S428" s="2">
        <v>47.633333333333297</v>
      </c>
      <c r="T428" s="2">
        <v>0.44800000000000001</v>
      </c>
      <c r="U428" s="2">
        <v>0</v>
      </c>
    </row>
    <row r="429" spans="1:21" x14ac:dyDescent="0.25">
      <c r="A429" t="s">
        <v>53</v>
      </c>
      <c r="B429" t="s">
        <v>54</v>
      </c>
      <c r="C429">
        <v>8</v>
      </c>
      <c r="D429">
        <v>2</v>
      </c>
      <c r="E429">
        <v>16</v>
      </c>
      <c r="F429">
        <v>3970.9204519999998</v>
      </c>
      <c r="G429">
        <v>10522.939200000001</v>
      </c>
      <c r="H429">
        <v>1652.3</v>
      </c>
      <c r="I429">
        <v>1.6523000000000001</v>
      </c>
      <c r="J429">
        <v>1.6523E-3</v>
      </c>
      <c r="K429">
        <v>3.6426936259999998</v>
      </c>
      <c r="L429">
        <v>1.2E-2</v>
      </c>
      <c r="M429">
        <v>2.95</v>
      </c>
      <c r="N429">
        <v>55.208073880000001</v>
      </c>
      <c r="O429">
        <v>38.299135068517501</v>
      </c>
      <c r="P429">
        <v>561.80900521213903</v>
      </c>
      <c r="Q429">
        <v>1350.1778543911</v>
      </c>
      <c r="R429">
        <v>3577.97131413643</v>
      </c>
      <c r="S429">
        <v>41</v>
      </c>
      <c r="T429">
        <v>0.17</v>
      </c>
      <c r="U429">
        <v>0</v>
      </c>
    </row>
    <row r="430" spans="1:21" x14ac:dyDescent="0.25">
      <c r="A430" t="s">
        <v>57</v>
      </c>
      <c r="B430" t="s">
        <v>58</v>
      </c>
      <c r="C430">
        <v>8</v>
      </c>
      <c r="D430">
        <v>2</v>
      </c>
      <c r="E430">
        <v>16</v>
      </c>
      <c r="F430">
        <v>8090.60322</v>
      </c>
      <c r="G430">
        <v>21440.098529999999</v>
      </c>
      <c r="H430">
        <v>3366.5</v>
      </c>
      <c r="I430">
        <v>3.3664999999999998</v>
      </c>
      <c r="J430">
        <v>3.3665000000000001E-3</v>
      </c>
      <c r="K430">
        <v>7.42185323</v>
      </c>
      <c r="L430">
        <v>4.0000000000000001E-3</v>
      </c>
      <c r="M430">
        <v>3.1</v>
      </c>
      <c r="N430">
        <v>65.831265509999994</v>
      </c>
      <c r="O430">
        <v>72.778872474785601</v>
      </c>
      <c r="P430">
        <v>4548.8118772293401</v>
      </c>
      <c r="Q430">
        <v>10932.0160471746</v>
      </c>
      <c r="R430">
        <v>28969.842525012598</v>
      </c>
      <c r="S430">
        <v>72.900000000000006</v>
      </c>
      <c r="T430">
        <v>0.4</v>
      </c>
      <c r="U430">
        <v>0</v>
      </c>
    </row>
    <row r="431" spans="1:21" x14ac:dyDescent="0.25">
      <c r="A431" t="s">
        <v>59</v>
      </c>
      <c r="B431" t="s">
        <v>60</v>
      </c>
      <c r="C431">
        <v>8</v>
      </c>
      <c r="D431">
        <v>2</v>
      </c>
      <c r="E431">
        <v>16</v>
      </c>
      <c r="F431">
        <v>3970.9204519999998</v>
      </c>
      <c r="G431">
        <v>10522.939200000001</v>
      </c>
      <c r="H431">
        <v>1652.3</v>
      </c>
      <c r="I431">
        <v>1.6523000000000001</v>
      </c>
      <c r="J431">
        <v>1.6523E-3</v>
      </c>
      <c r="K431">
        <v>3.6426936259999998</v>
      </c>
      <c r="L431">
        <v>1.6799999999999999E-2</v>
      </c>
      <c r="M431">
        <v>3.1</v>
      </c>
      <c r="N431">
        <v>40.791912869999997</v>
      </c>
      <c r="O431">
        <v>175.68465062118801</v>
      </c>
      <c r="P431">
        <v>152751.020932416</v>
      </c>
      <c r="Q431">
        <v>367101.70856144303</v>
      </c>
      <c r="R431">
        <v>972819.52768782398</v>
      </c>
      <c r="S431">
        <v>263.2</v>
      </c>
      <c r="T431">
        <v>7.0000000000000007E-2</v>
      </c>
      <c r="U431">
        <v>0.27</v>
      </c>
    </row>
    <row r="432" spans="1:21" x14ac:dyDescent="0.25">
      <c r="A432" t="s">
        <v>61</v>
      </c>
      <c r="B432" t="s">
        <v>62</v>
      </c>
      <c r="C432">
        <v>8</v>
      </c>
      <c r="D432">
        <v>1</v>
      </c>
      <c r="E432">
        <v>8</v>
      </c>
      <c r="F432">
        <v>455.49146839999997</v>
      </c>
      <c r="G432">
        <v>1207.0523909999999</v>
      </c>
      <c r="H432">
        <v>189.53</v>
      </c>
      <c r="I432">
        <v>0.18953</v>
      </c>
      <c r="J432">
        <v>1.8953000000000001E-4</v>
      </c>
      <c r="K432">
        <v>0.41784162899999999</v>
      </c>
      <c r="L432">
        <v>1.2500000000000001E-2</v>
      </c>
      <c r="M432">
        <v>3</v>
      </c>
      <c r="N432">
        <v>24.750804309999999</v>
      </c>
      <c r="O432">
        <v>30.5934964373497</v>
      </c>
      <c r="P432">
        <v>357.92938568447698</v>
      </c>
      <c r="Q432">
        <v>860.20039818427495</v>
      </c>
      <c r="R432">
        <v>2279.5310551883299</v>
      </c>
      <c r="S432">
        <v>33.700000000000003</v>
      </c>
      <c r="T432">
        <v>0.32</v>
      </c>
      <c r="U432">
        <v>0.55000000000000004</v>
      </c>
    </row>
    <row r="433" spans="1:21" x14ac:dyDescent="0.25">
      <c r="A433" t="s">
        <v>63</v>
      </c>
      <c r="B433" t="s">
        <v>64</v>
      </c>
      <c r="C433">
        <v>8</v>
      </c>
      <c r="D433">
        <v>2</v>
      </c>
      <c r="E433">
        <v>16</v>
      </c>
      <c r="F433">
        <v>2451.3338140000001</v>
      </c>
      <c r="G433">
        <v>6496.0346079999999</v>
      </c>
      <c r="H433">
        <v>1020</v>
      </c>
      <c r="I433">
        <v>1.02</v>
      </c>
      <c r="J433">
        <v>1.0200000000000001E-3</v>
      </c>
      <c r="K433">
        <v>2.2487124000000001</v>
      </c>
      <c r="L433">
        <v>1.2E-2</v>
      </c>
      <c r="M433">
        <v>3.1</v>
      </c>
      <c r="N433">
        <v>38.916622109999999</v>
      </c>
      <c r="O433">
        <v>42.477494508301596</v>
      </c>
      <c r="P433">
        <v>1338.0545295157699</v>
      </c>
      <c r="Q433">
        <v>3215.7042285887301</v>
      </c>
      <c r="R433">
        <v>8521.6162057601505</v>
      </c>
      <c r="S433">
        <v>42.5</v>
      </c>
      <c r="T433">
        <v>0.47</v>
      </c>
      <c r="U433">
        <v>0.05</v>
      </c>
    </row>
    <row r="434" spans="1:21" x14ac:dyDescent="0.25">
      <c r="A434" t="s">
        <v>65</v>
      </c>
      <c r="B434" t="s">
        <v>66</v>
      </c>
      <c r="C434">
        <v>8</v>
      </c>
      <c r="D434">
        <v>3</v>
      </c>
      <c r="E434">
        <v>24</v>
      </c>
      <c r="F434">
        <v>18000</v>
      </c>
      <c r="G434">
        <v>40770</v>
      </c>
      <c r="H434">
        <v>7489.8</v>
      </c>
      <c r="I434">
        <v>7.4897999999999998</v>
      </c>
      <c r="J434">
        <v>7.4897999999999996E-3</v>
      </c>
      <c r="K434">
        <v>16.512162880000002</v>
      </c>
      <c r="L434">
        <v>1.2699999999999999E-2</v>
      </c>
      <c r="M434">
        <v>3.1</v>
      </c>
      <c r="N434">
        <v>72.695130840000004</v>
      </c>
      <c r="O434">
        <v>52.690052007873</v>
      </c>
      <c r="P434">
        <v>2761.6107551957498</v>
      </c>
      <c r="Q434">
        <v>6636.8919855701697</v>
      </c>
      <c r="R434">
        <v>17587.7637617609</v>
      </c>
      <c r="S434">
        <v>52.7</v>
      </c>
      <c r="T434">
        <v>0.35</v>
      </c>
      <c r="U434">
        <v>-0.5</v>
      </c>
    </row>
    <row r="435" spans="1:21" x14ac:dyDescent="0.25">
      <c r="A435" t="s">
        <v>67</v>
      </c>
      <c r="B435" t="s">
        <v>68</v>
      </c>
      <c r="C435">
        <v>8</v>
      </c>
      <c r="D435">
        <v>1</v>
      </c>
      <c r="E435">
        <v>8</v>
      </c>
      <c r="F435">
        <v>607.61</v>
      </c>
      <c r="G435">
        <v>1610.16</v>
      </c>
      <c r="H435">
        <v>252.82652100000001</v>
      </c>
      <c r="I435">
        <v>0.25282652100000003</v>
      </c>
      <c r="J435">
        <v>2.5282700000000001E-4</v>
      </c>
      <c r="K435">
        <v>0.55738640500000003</v>
      </c>
      <c r="L435">
        <v>1.29E-2</v>
      </c>
      <c r="M435">
        <v>3.05</v>
      </c>
      <c r="N435">
        <v>25.54403387</v>
      </c>
      <c r="O435">
        <v>37.601032488468398</v>
      </c>
      <c r="P435">
        <v>822.14611713593297</v>
      </c>
      <c r="Q435">
        <v>1975.8378205622</v>
      </c>
      <c r="R435">
        <v>5235.9702244898399</v>
      </c>
      <c r="S435">
        <v>40.6</v>
      </c>
      <c r="T435">
        <v>0.27</v>
      </c>
      <c r="U435">
        <v>-1.65</v>
      </c>
    </row>
    <row r="436" spans="1:21" x14ac:dyDescent="0.25">
      <c r="A436" t="s">
        <v>69</v>
      </c>
      <c r="B436" t="s">
        <v>70</v>
      </c>
      <c r="C436">
        <v>8</v>
      </c>
      <c r="D436">
        <v>1</v>
      </c>
      <c r="E436">
        <v>8</v>
      </c>
      <c r="F436">
        <v>345.5659698</v>
      </c>
      <c r="G436">
        <v>915.74981979999995</v>
      </c>
      <c r="H436">
        <v>143.79</v>
      </c>
      <c r="I436">
        <v>0.14379</v>
      </c>
      <c r="J436">
        <v>1.4379E-4</v>
      </c>
      <c r="K436">
        <v>0.31700231000000001</v>
      </c>
      <c r="L436">
        <v>0.01</v>
      </c>
      <c r="M436">
        <v>2.9</v>
      </c>
      <c r="N436">
        <v>27.145606300000001</v>
      </c>
      <c r="O436">
        <v>32.260647138796898</v>
      </c>
      <c r="P436">
        <v>237.220336363054</v>
      </c>
      <c r="Q436">
        <v>570.10414891385301</v>
      </c>
      <c r="R436">
        <v>1510.77599462171</v>
      </c>
      <c r="S436">
        <v>37.700000000000003</v>
      </c>
      <c r="T436">
        <v>0.24199999999999999</v>
      </c>
      <c r="U436">
        <v>0</v>
      </c>
    </row>
    <row r="437" spans="1:21" x14ac:dyDescent="0.25">
      <c r="A437" s="2" t="s">
        <v>71</v>
      </c>
      <c r="B437" t="s">
        <v>72</v>
      </c>
      <c r="C437">
        <v>8</v>
      </c>
      <c r="D437">
        <v>1</v>
      </c>
      <c r="E437">
        <v>8</v>
      </c>
      <c r="F437">
        <v>5.1309781299999999</v>
      </c>
      <c r="G437">
        <v>13.597092050000001</v>
      </c>
      <c r="H437">
        <v>2.134999999893</v>
      </c>
      <c r="I437">
        <v>2.1349999998929998E-3</v>
      </c>
      <c r="J437">
        <v>2.1349999998930001E-6</v>
      </c>
      <c r="K437">
        <v>4.7068636997641099E-3</v>
      </c>
      <c r="L437" s="3">
        <v>1.0999999999999999E-2</v>
      </c>
      <c r="M437" s="3">
        <v>3.01</v>
      </c>
      <c r="N437">
        <v>5.7561833111503402</v>
      </c>
      <c r="O437" s="2">
        <v>8.4800254561105906</v>
      </c>
      <c r="P437" s="2">
        <v>6.8528010659645897</v>
      </c>
      <c r="Q437" s="2">
        <v>16.469120562279699</v>
      </c>
      <c r="R437" s="2">
        <v>43.643169490041302</v>
      </c>
      <c r="S437">
        <v>9</v>
      </c>
      <c r="T437">
        <v>0.32</v>
      </c>
      <c r="U437">
        <v>-0.91</v>
      </c>
    </row>
    <row r="438" spans="1:21" x14ac:dyDescent="0.25">
      <c r="A438" s="2" t="s">
        <v>49</v>
      </c>
      <c r="B438" t="s">
        <v>50</v>
      </c>
      <c r="C438">
        <v>8</v>
      </c>
      <c r="D438">
        <v>1</v>
      </c>
      <c r="E438">
        <v>8</v>
      </c>
      <c r="F438">
        <v>2451.3338140000001</v>
      </c>
      <c r="G438">
        <v>6496.0346079999999</v>
      </c>
      <c r="H438">
        <v>1020.0000000054</v>
      </c>
      <c r="I438">
        <v>1.0200000000053999</v>
      </c>
      <c r="J438">
        <v>1.0200000000054001E-3</v>
      </c>
      <c r="K438">
        <v>2.2487124000118999</v>
      </c>
      <c r="L438" s="3">
        <v>1.2E-2</v>
      </c>
      <c r="M438" s="3">
        <v>3.1</v>
      </c>
      <c r="N438">
        <v>38.916622113975301</v>
      </c>
      <c r="O438" s="2">
        <v>45.324270369567799</v>
      </c>
      <c r="P438" s="2">
        <v>1636.08850313776</v>
      </c>
      <c r="Q438" s="2">
        <v>3931.9598729578402</v>
      </c>
      <c r="R438" s="2">
        <v>10419.693663338299</v>
      </c>
      <c r="S438" s="2">
        <v>54.3</v>
      </c>
      <c r="T438" s="2">
        <v>0.22500000000000001</v>
      </c>
      <c r="U438" s="2">
        <v>0</v>
      </c>
    </row>
    <row r="439" spans="1:21" x14ac:dyDescent="0.25">
      <c r="A439" t="s">
        <v>55</v>
      </c>
      <c r="B439" t="s">
        <v>56</v>
      </c>
      <c r="C439">
        <v>8</v>
      </c>
      <c r="D439">
        <v>1</v>
      </c>
      <c r="E439">
        <v>8</v>
      </c>
      <c r="F439">
        <v>10846.19082</v>
      </c>
      <c r="G439">
        <v>28742.40567</v>
      </c>
      <c r="H439">
        <v>4513.1000000000004</v>
      </c>
      <c r="I439">
        <v>4.5130999999999997</v>
      </c>
      <c r="J439">
        <v>4.5130999999999999E-3</v>
      </c>
      <c r="K439">
        <v>9.9496705219999999</v>
      </c>
      <c r="L439">
        <v>1.2999999999999999E-2</v>
      </c>
      <c r="M439">
        <v>3</v>
      </c>
      <c r="N439">
        <v>70.281960589999997</v>
      </c>
      <c r="O439">
        <v>80.869193943099205</v>
      </c>
      <c r="P439">
        <v>6875.3164990699797</v>
      </c>
      <c r="Q439">
        <v>16523.231192189302</v>
      </c>
      <c r="R439">
        <v>43786.5626593017</v>
      </c>
      <c r="S439">
        <v>152</v>
      </c>
      <c r="T439">
        <v>9.6000000000000002E-2</v>
      </c>
      <c r="U439">
        <v>0.09</v>
      </c>
    </row>
    <row r="440" spans="1:21" x14ac:dyDescent="0.25">
      <c r="A440" t="s">
        <v>75</v>
      </c>
      <c r="B440" t="s">
        <v>76</v>
      </c>
      <c r="C440">
        <v>8</v>
      </c>
      <c r="D440">
        <v>2</v>
      </c>
      <c r="E440">
        <v>16</v>
      </c>
      <c r="F440">
        <v>2451.3338140000001</v>
      </c>
      <c r="G440">
        <v>6496.0346079999999</v>
      </c>
      <c r="H440">
        <v>1020</v>
      </c>
      <c r="I440">
        <v>1.02</v>
      </c>
      <c r="J440">
        <v>1.0200000000000001E-3</v>
      </c>
      <c r="K440">
        <v>2.2487124000000001</v>
      </c>
      <c r="L440">
        <v>2.5000000000000001E-3</v>
      </c>
      <c r="M440">
        <v>3.1</v>
      </c>
      <c r="N440">
        <v>64.549127330000005</v>
      </c>
      <c r="O440">
        <v>99.978460452262397</v>
      </c>
      <c r="P440">
        <v>3959.5878935679498</v>
      </c>
      <c r="Q440">
        <v>9515.9526401536805</v>
      </c>
      <c r="R440">
        <v>25217.274496407299</v>
      </c>
      <c r="S440">
        <v>122</v>
      </c>
      <c r="T440">
        <v>0.107</v>
      </c>
      <c r="U440">
        <v>0</v>
      </c>
    </row>
    <row r="441" spans="1:21" x14ac:dyDescent="0.25">
      <c r="A441" t="s">
        <v>73</v>
      </c>
      <c r="B441" t="s">
        <v>74</v>
      </c>
      <c r="C441">
        <v>8</v>
      </c>
      <c r="D441">
        <v>2</v>
      </c>
      <c r="E441">
        <v>16</v>
      </c>
      <c r="F441">
        <v>2451.3338140000001</v>
      </c>
      <c r="G441">
        <v>6496.0346079999999</v>
      </c>
      <c r="H441">
        <v>1020</v>
      </c>
      <c r="I441">
        <v>1.02</v>
      </c>
      <c r="J441">
        <v>1.0200000000000001E-3</v>
      </c>
      <c r="K441">
        <v>2.2487124000000001</v>
      </c>
      <c r="L441">
        <v>1.4E-2</v>
      </c>
      <c r="M441">
        <v>2.8</v>
      </c>
      <c r="N441">
        <v>54.525190479999999</v>
      </c>
      <c r="O441">
        <v>42.980135079352401</v>
      </c>
      <c r="P441">
        <v>523.93547948044704</v>
      </c>
      <c r="Q441">
        <v>1259.157605096</v>
      </c>
      <c r="R441">
        <v>3336.7676535044102</v>
      </c>
      <c r="S441">
        <v>43</v>
      </c>
      <c r="T441">
        <v>0.48</v>
      </c>
      <c r="U441">
        <v>0</v>
      </c>
    </row>
    <row r="442" spans="1:21" x14ac:dyDescent="0.25">
      <c r="A442" s="2" t="s">
        <v>51</v>
      </c>
      <c r="B442" t="s">
        <v>52</v>
      </c>
      <c r="C442">
        <v>8</v>
      </c>
      <c r="D442">
        <v>1</v>
      </c>
      <c r="E442">
        <v>8</v>
      </c>
      <c r="F442">
        <v>3970.9204519999998</v>
      </c>
      <c r="G442">
        <v>10522.939200000001</v>
      </c>
      <c r="H442">
        <v>1652.3000000771999</v>
      </c>
      <c r="I442">
        <v>1.6523000000771999</v>
      </c>
      <c r="J442">
        <v>1.6523000000772E-3</v>
      </c>
      <c r="K442">
        <v>3.6426936261702001</v>
      </c>
      <c r="L442" s="3">
        <v>1.24E-2</v>
      </c>
      <c r="M442" s="3">
        <v>3.2</v>
      </c>
      <c r="N442">
        <v>39.944639456634</v>
      </c>
      <c r="O442" s="2">
        <v>16.7978995025559</v>
      </c>
      <c r="P442" s="2">
        <v>103.33266183026301</v>
      </c>
      <c r="Q442" s="2">
        <v>248.33612552334299</v>
      </c>
      <c r="R442" s="2">
        <v>658.09073263685798</v>
      </c>
      <c r="S442">
        <v>20.9</v>
      </c>
      <c r="T442">
        <v>0.19500000000000001</v>
      </c>
      <c r="U442">
        <v>-0.35</v>
      </c>
    </row>
    <row r="443" spans="1:21" x14ac:dyDescent="0.25">
      <c r="A443" t="s">
        <v>85</v>
      </c>
      <c r="B443" t="s">
        <v>86</v>
      </c>
      <c r="C443">
        <v>8</v>
      </c>
      <c r="D443">
        <v>7</v>
      </c>
      <c r="E443">
        <v>56</v>
      </c>
      <c r="F443">
        <v>61342.911800000002</v>
      </c>
      <c r="G443">
        <v>162558.266</v>
      </c>
      <c r="H443">
        <v>25524.785599999999</v>
      </c>
      <c r="I443">
        <v>25.524785600000001</v>
      </c>
      <c r="J443">
        <v>2.5524786000000001E-2</v>
      </c>
      <c r="K443">
        <v>56.272452829999999</v>
      </c>
      <c r="L443">
        <v>5.2399999999999999E-3</v>
      </c>
      <c r="M443">
        <v>3.141</v>
      </c>
      <c r="N443">
        <v>134.6296327</v>
      </c>
      <c r="O443" s="2">
        <v>308.86043578488801</v>
      </c>
      <c r="P443" s="2">
        <v>346477.15773133398</v>
      </c>
      <c r="Q443" s="2">
        <v>832677.62011856202</v>
      </c>
      <c r="R443" s="2">
        <v>2206595.69331419</v>
      </c>
      <c r="S443">
        <v>309.24444444444401</v>
      </c>
      <c r="T443">
        <v>0.13655555555555601</v>
      </c>
      <c r="U443">
        <v>7</v>
      </c>
    </row>
    <row r="444" spans="1:21" x14ac:dyDescent="0.25">
      <c r="A444" t="s">
        <v>77</v>
      </c>
      <c r="B444" t="s">
        <v>78</v>
      </c>
      <c r="C444">
        <v>8</v>
      </c>
      <c r="D444">
        <v>3</v>
      </c>
      <c r="E444">
        <v>24</v>
      </c>
      <c r="F444">
        <v>184322.0116</v>
      </c>
      <c r="G444">
        <v>488453.3308</v>
      </c>
      <c r="H444">
        <v>76696.389030000006</v>
      </c>
      <c r="I444">
        <v>76.696389030000006</v>
      </c>
      <c r="J444">
        <v>7.6696389000000004E-2</v>
      </c>
      <c r="K444">
        <v>169.0863932</v>
      </c>
      <c r="L444">
        <v>3.5000000000000003E-2</v>
      </c>
      <c r="M444">
        <v>2.9</v>
      </c>
      <c r="N444">
        <v>153.62102049999999</v>
      </c>
      <c r="O444" s="2">
        <v>208.405719503136</v>
      </c>
      <c r="P444" s="2">
        <v>185740.23119995199</v>
      </c>
      <c r="Q444" s="2">
        <v>446383.63662569498</v>
      </c>
      <c r="R444" s="2">
        <v>1182916.63705809</v>
      </c>
      <c r="S444">
        <v>208.40700000000001</v>
      </c>
      <c r="T444">
        <v>0.5</v>
      </c>
      <c r="U444">
        <v>0</v>
      </c>
    </row>
    <row r="445" spans="1:21" x14ac:dyDescent="0.25">
      <c r="A445" t="s">
        <v>79</v>
      </c>
      <c r="B445" t="s">
        <v>80</v>
      </c>
      <c r="C445">
        <v>8</v>
      </c>
      <c r="D445">
        <v>2</v>
      </c>
      <c r="E445">
        <v>16</v>
      </c>
      <c r="F445">
        <v>3970.9204519999998</v>
      </c>
      <c r="G445">
        <v>10522.939200000001</v>
      </c>
      <c r="H445">
        <v>1652.3</v>
      </c>
      <c r="I445">
        <v>1.6523000000000001</v>
      </c>
      <c r="J445">
        <v>1.6523E-3</v>
      </c>
      <c r="K445">
        <v>3.6426936259999998</v>
      </c>
      <c r="L445">
        <v>3.3999999999999998E-3</v>
      </c>
      <c r="M445">
        <v>3.2850000000000001</v>
      </c>
      <c r="N445">
        <v>39.944639459999998</v>
      </c>
      <c r="O445">
        <v>55.954102209858497</v>
      </c>
      <c r="P445">
        <v>4858.2948320605801</v>
      </c>
      <c r="Q445">
        <v>11675.786666812201</v>
      </c>
      <c r="R445">
        <v>30940.834667052401</v>
      </c>
      <c r="S445">
        <v>59.9</v>
      </c>
      <c r="T445">
        <v>0.17</v>
      </c>
      <c r="U445">
        <v>0</v>
      </c>
    </row>
    <row r="446" spans="1:21" x14ac:dyDescent="0.25">
      <c r="A446" t="s">
        <v>81</v>
      </c>
      <c r="B446" t="s">
        <v>82</v>
      </c>
      <c r="C446">
        <v>8</v>
      </c>
      <c r="D446">
        <v>2</v>
      </c>
      <c r="E446">
        <v>16</v>
      </c>
      <c r="F446">
        <v>2451.3338140000001</v>
      </c>
      <c r="G446">
        <v>6496.0346079999999</v>
      </c>
      <c r="H446">
        <v>1020</v>
      </c>
      <c r="I446">
        <v>1.02</v>
      </c>
      <c r="J446">
        <v>1.0200000000000001E-3</v>
      </c>
      <c r="K446">
        <v>2.2487124000000001</v>
      </c>
      <c r="L446">
        <v>1.4999999999999999E-2</v>
      </c>
      <c r="M446">
        <v>3</v>
      </c>
      <c r="N446">
        <v>40.816551019999999</v>
      </c>
      <c r="O446">
        <v>99.017276030801298</v>
      </c>
      <c r="P446">
        <v>14562.1058367269</v>
      </c>
      <c r="Q446">
        <v>34996.649451398502</v>
      </c>
      <c r="R446">
        <v>92741.121046206099</v>
      </c>
      <c r="S446">
        <v>106</v>
      </c>
      <c r="T446">
        <v>0.17</v>
      </c>
      <c r="U446">
        <v>0</v>
      </c>
    </row>
    <row r="447" spans="1:21" x14ac:dyDescent="0.25">
      <c r="A447" t="s">
        <v>83</v>
      </c>
      <c r="B447" t="s">
        <v>84</v>
      </c>
      <c r="C447">
        <v>8</v>
      </c>
      <c r="D447">
        <v>7</v>
      </c>
      <c r="E447">
        <v>56</v>
      </c>
      <c r="F447">
        <v>61342.911800000002</v>
      </c>
      <c r="G447">
        <v>162558.266</v>
      </c>
      <c r="H447">
        <v>25524.785599999999</v>
      </c>
      <c r="I447">
        <v>25.524785600000001</v>
      </c>
      <c r="J447">
        <v>2.5524786000000001E-2</v>
      </c>
      <c r="K447">
        <v>56.272452829999999</v>
      </c>
      <c r="L447">
        <v>5.4000000000000003E-3</v>
      </c>
      <c r="M447">
        <v>3</v>
      </c>
      <c r="N447">
        <v>167.82479069999999</v>
      </c>
      <c r="O447">
        <v>279.577349801872</v>
      </c>
      <c r="P447">
        <v>118004.81030881401</v>
      </c>
      <c r="Q447">
        <v>283597.23698345199</v>
      </c>
      <c r="R447">
        <v>751532.67800614797</v>
      </c>
      <c r="S447">
        <v>280</v>
      </c>
      <c r="T447">
        <v>0.11600000000000001</v>
      </c>
      <c r="U447">
        <v>0</v>
      </c>
    </row>
    <row r="448" spans="1:21" x14ac:dyDescent="0.25">
      <c r="A448" t="s">
        <v>91</v>
      </c>
      <c r="B448" t="s">
        <v>92</v>
      </c>
      <c r="C448">
        <v>8</v>
      </c>
      <c r="D448">
        <v>2</v>
      </c>
      <c r="E448">
        <v>16</v>
      </c>
      <c r="F448">
        <v>2451.3338140000001</v>
      </c>
      <c r="G448">
        <v>6496.0346079999999</v>
      </c>
      <c r="H448">
        <v>1020</v>
      </c>
      <c r="I448">
        <v>1.02</v>
      </c>
      <c r="J448">
        <v>1.0200000000000001E-3</v>
      </c>
      <c r="K448">
        <v>2.2487124000000001</v>
      </c>
      <c r="L448">
        <v>1.2999999999999999E-2</v>
      </c>
      <c r="M448">
        <v>3</v>
      </c>
      <c r="N448">
        <v>42.810694490000003</v>
      </c>
      <c r="O448">
        <v>57.320339652449299</v>
      </c>
      <c r="P448">
        <v>2448.3281037301599</v>
      </c>
      <c r="Q448">
        <v>5883.98967491026</v>
      </c>
      <c r="R448">
        <v>15592.5726385122</v>
      </c>
      <c r="S448">
        <v>60.2</v>
      </c>
      <c r="T448">
        <v>0.19</v>
      </c>
      <c r="U448">
        <v>0</v>
      </c>
    </row>
    <row r="449" spans="1:21" x14ac:dyDescent="0.25">
      <c r="A449" t="s">
        <v>87</v>
      </c>
      <c r="B449" t="s">
        <v>88</v>
      </c>
      <c r="C449">
        <v>8</v>
      </c>
      <c r="D449">
        <v>2</v>
      </c>
      <c r="E449">
        <v>16</v>
      </c>
      <c r="F449">
        <v>2451.3338140000001</v>
      </c>
      <c r="G449">
        <v>6496.0346079999999</v>
      </c>
      <c r="H449">
        <v>1020</v>
      </c>
      <c r="I449">
        <v>1.02</v>
      </c>
      <c r="J449">
        <v>1.0200000000000001E-3</v>
      </c>
      <c r="K449">
        <v>2.2487124000000001</v>
      </c>
      <c r="L449">
        <v>6.0000000000000001E-3</v>
      </c>
      <c r="M449">
        <v>3.1</v>
      </c>
      <c r="N449">
        <v>48.667785760000001</v>
      </c>
      <c r="O449">
        <v>30.1097862621376</v>
      </c>
      <c r="P449">
        <v>230.2210527645</v>
      </c>
      <c r="Q449">
        <v>553.28299150324494</v>
      </c>
      <c r="R449">
        <v>1466.1999274836</v>
      </c>
      <c r="S449">
        <v>31.4</v>
      </c>
      <c r="T449">
        <v>0.19</v>
      </c>
      <c r="U449">
        <v>-0.8</v>
      </c>
    </row>
    <row r="450" spans="1:21" x14ac:dyDescent="0.25">
      <c r="A450" t="s">
        <v>93</v>
      </c>
      <c r="B450" t="s">
        <v>94</v>
      </c>
      <c r="C450">
        <v>8</v>
      </c>
      <c r="D450">
        <v>9</v>
      </c>
      <c r="E450">
        <v>72</v>
      </c>
      <c r="F450">
        <v>1772528860</v>
      </c>
      <c r="G450">
        <v>4697201480</v>
      </c>
      <c r="H450">
        <v>737549258.60000002</v>
      </c>
      <c r="I450">
        <v>737549.25859999994</v>
      </c>
      <c r="J450">
        <v>737.54925860000003</v>
      </c>
      <c r="K450">
        <v>1626015.8470000001</v>
      </c>
      <c r="L450" s="2">
        <v>1.7000000000000001E-2</v>
      </c>
      <c r="M450">
        <v>3</v>
      </c>
      <c r="N450">
        <v>1544.971047</v>
      </c>
      <c r="O450" s="2">
        <v>1584.95997586109</v>
      </c>
      <c r="P450" s="2">
        <v>67686774.722730204</v>
      </c>
      <c r="Q450" s="2">
        <v>162669489.840736</v>
      </c>
      <c r="R450" s="2">
        <v>431074148.07795</v>
      </c>
      <c r="S450">
        <v>1584.96</v>
      </c>
      <c r="T450" s="2">
        <v>0.25</v>
      </c>
      <c r="U450">
        <v>0</v>
      </c>
    </row>
    <row r="451" spans="1:21" x14ac:dyDescent="0.25">
      <c r="A451" t="s">
        <v>109</v>
      </c>
      <c r="B451" t="s">
        <v>110</v>
      </c>
      <c r="C451">
        <v>8</v>
      </c>
      <c r="D451">
        <v>5</v>
      </c>
      <c r="E451">
        <v>40</v>
      </c>
      <c r="F451">
        <v>7633.7023829999998</v>
      </c>
      <c r="G451">
        <v>20229.311320000001</v>
      </c>
      <c r="H451">
        <v>3176.383562</v>
      </c>
      <c r="I451">
        <v>3.1763835619999998</v>
      </c>
      <c r="J451">
        <v>3.176384E-3</v>
      </c>
      <c r="K451">
        <v>7.0027187279999996</v>
      </c>
      <c r="L451">
        <v>4.3E-3</v>
      </c>
      <c r="M451">
        <v>3.1</v>
      </c>
      <c r="N451">
        <v>78.172330489999993</v>
      </c>
      <c r="O451">
        <v>164.134573872179</v>
      </c>
      <c r="P451">
        <v>31665.6697956155</v>
      </c>
      <c r="Q451">
        <v>76101.105012294007</v>
      </c>
      <c r="R451">
        <v>201667.928282579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99</v>
      </c>
      <c r="B452" t="s">
        <v>100</v>
      </c>
      <c r="C452">
        <v>8</v>
      </c>
      <c r="D452">
        <v>2</v>
      </c>
      <c r="E452">
        <v>16</v>
      </c>
      <c r="F452">
        <v>2451.3338140000001</v>
      </c>
      <c r="G452">
        <v>6496.0346079999999</v>
      </c>
      <c r="H452">
        <v>1020</v>
      </c>
      <c r="I452">
        <v>1.02</v>
      </c>
      <c r="J452">
        <v>1.0200000000000001E-3</v>
      </c>
      <c r="K452">
        <v>2.2487124000000001</v>
      </c>
      <c r="L452">
        <v>1.4999999999999999E-2</v>
      </c>
      <c r="M452">
        <v>3.1</v>
      </c>
      <c r="N452">
        <v>36.213778660000003</v>
      </c>
      <c r="O452">
        <v>39.606910412320502</v>
      </c>
      <c r="P452">
        <v>1346.42216903089</v>
      </c>
      <c r="Q452">
        <v>3235.8139125952798</v>
      </c>
      <c r="R452">
        <v>8574.9068683774894</v>
      </c>
      <c r="S452">
        <v>42.4</v>
      </c>
      <c r="T452">
        <v>0.17</v>
      </c>
      <c r="U452">
        <v>0</v>
      </c>
    </row>
    <row r="453" spans="1:21" x14ac:dyDescent="0.25">
      <c r="A453" t="s">
        <v>97</v>
      </c>
      <c r="B453" t="s">
        <v>98</v>
      </c>
      <c r="C453">
        <v>8</v>
      </c>
      <c r="D453">
        <v>2</v>
      </c>
      <c r="E453">
        <v>16</v>
      </c>
      <c r="F453">
        <v>27187.840120000001</v>
      </c>
      <c r="G453">
        <v>72047.776320000004</v>
      </c>
      <c r="H453">
        <v>11312.860269999999</v>
      </c>
      <c r="I453">
        <v>11.31286027</v>
      </c>
      <c r="J453">
        <v>1.1312859999999999E-2</v>
      </c>
      <c r="K453">
        <v>24.940558020000001</v>
      </c>
      <c r="L453" s="2">
        <v>6.5000000000000002E-2</v>
      </c>
      <c r="M453">
        <v>3</v>
      </c>
      <c r="N453">
        <v>82.701643930000003</v>
      </c>
      <c r="O453">
        <v>23.599854996588501</v>
      </c>
      <c r="P453">
        <v>854.36089168224396</v>
      </c>
      <c r="Q453">
        <v>2053.2585716948902</v>
      </c>
      <c r="R453">
        <v>5441.1352149914601</v>
      </c>
      <c r="S453">
        <v>23.6</v>
      </c>
      <c r="T453">
        <v>0.75</v>
      </c>
      <c r="U453">
        <v>0</v>
      </c>
    </row>
    <row r="454" spans="1:21" x14ac:dyDescent="0.25">
      <c r="A454" s="2" t="s">
        <v>47</v>
      </c>
      <c r="B454" t="s">
        <v>48</v>
      </c>
      <c r="C454">
        <v>8</v>
      </c>
      <c r="D454">
        <v>1</v>
      </c>
      <c r="E454">
        <v>8</v>
      </c>
      <c r="F454">
        <v>345.5659698</v>
      </c>
      <c r="G454">
        <v>915.74981979999995</v>
      </c>
      <c r="H454">
        <v>143.79000003377999</v>
      </c>
      <c r="I454">
        <v>0.14379000003378001</v>
      </c>
      <c r="J454">
        <v>1.4379000003378E-4</v>
      </c>
      <c r="K454">
        <v>0.31700230987447198</v>
      </c>
      <c r="L454" s="3">
        <v>1.23E-2</v>
      </c>
      <c r="M454" s="3">
        <v>3.2</v>
      </c>
      <c r="N454">
        <v>18.672173165729799</v>
      </c>
      <c r="O454" s="2">
        <v>38.838335227464299</v>
      </c>
      <c r="P454" s="2">
        <v>1498.0939513752</v>
      </c>
      <c r="Q454" s="2">
        <v>3600.3219211132</v>
      </c>
      <c r="R454" s="2">
        <v>9540.8530909499696</v>
      </c>
      <c r="S454" s="2">
        <v>39.200000000000003</v>
      </c>
      <c r="T454" s="2">
        <v>0.58571428571428596</v>
      </c>
      <c r="U454" s="2">
        <v>0</v>
      </c>
    </row>
    <row r="455" spans="1:21" x14ac:dyDescent="0.25">
      <c r="A455" t="s">
        <v>103</v>
      </c>
      <c r="B455" t="s">
        <v>104</v>
      </c>
      <c r="C455">
        <v>8</v>
      </c>
      <c r="D455">
        <v>1</v>
      </c>
      <c r="E455">
        <v>8</v>
      </c>
      <c r="F455">
        <v>3436.6738770000002</v>
      </c>
      <c r="G455">
        <v>9107.1857729999992</v>
      </c>
      <c r="H455">
        <v>1430</v>
      </c>
      <c r="I455">
        <v>1.43</v>
      </c>
      <c r="J455">
        <v>1.4300000000000001E-3</v>
      </c>
      <c r="K455">
        <v>3.1526065999999999</v>
      </c>
      <c r="L455">
        <v>1.2999999999999999E-2</v>
      </c>
      <c r="M455">
        <v>2.8</v>
      </c>
      <c r="N455">
        <v>63.168037949999999</v>
      </c>
      <c r="O455">
        <v>49.904924582189203</v>
      </c>
      <c r="P455">
        <v>739.17093633582795</v>
      </c>
      <c r="Q455">
        <v>1776.4261868200599</v>
      </c>
      <c r="R455">
        <v>4707.5293950731702</v>
      </c>
      <c r="S455">
        <v>65.400000000000006</v>
      </c>
      <c r="T455">
        <v>0.18</v>
      </c>
      <c r="U455">
        <v>0</v>
      </c>
    </row>
    <row r="456" spans="1:21" x14ac:dyDescent="0.25">
      <c r="A456" s="2" t="s">
        <v>105</v>
      </c>
      <c r="B456" t="s">
        <v>106</v>
      </c>
      <c r="C456">
        <v>8</v>
      </c>
      <c r="D456">
        <v>3</v>
      </c>
      <c r="E456">
        <v>24</v>
      </c>
      <c r="F456">
        <v>18000</v>
      </c>
      <c r="G456">
        <v>40770</v>
      </c>
      <c r="H456">
        <v>7489.8</v>
      </c>
      <c r="I456">
        <v>7.4897999999999998</v>
      </c>
      <c r="J456">
        <v>7.4897999999999996E-3</v>
      </c>
      <c r="K456">
        <v>16.507519200000001</v>
      </c>
      <c r="L456" s="3">
        <v>1.2699999999999999E-2</v>
      </c>
      <c r="M456" s="3">
        <v>3.1</v>
      </c>
      <c r="N456">
        <v>72.695130842069403</v>
      </c>
      <c r="O456" s="2">
        <v>107.28472146220599</v>
      </c>
      <c r="P456" s="2">
        <v>25030.593239997201</v>
      </c>
      <c r="Q456" s="2">
        <v>60155.234895451002</v>
      </c>
      <c r="R456" s="2">
        <v>159411.37247294499</v>
      </c>
      <c r="S456">
        <v>109.97499999999999</v>
      </c>
      <c r="T456">
        <v>0.14749999999999999</v>
      </c>
      <c r="U456">
        <v>-1.1566666666666701</v>
      </c>
    </row>
    <row r="457" spans="1:21" x14ac:dyDescent="0.25">
      <c r="A457" t="s">
        <v>115</v>
      </c>
      <c r="B457" t="s">
        <v>116</v>
      </c>
      <c r="C457">
        <v>8</v>
      </c>
      <c r="D457">
        <v>7</v>
      </c>
      <c r="E457">
        <v>56</v>
      </c>
      <c r="F457">
        <v>9236057.0460000001</v>
      </c>
      <c r="G457">
        <v>24475551.170000002</v>
      </c>
      <c r="H457">
        <v>3843123.3369999998</v>
      </c>
      <c r="I457">
        <v>3843.123337</v>
      </c>
      <c r="J457">
        <v>3.8431233370000002</v>
      </c>
      <c r="K457">
        <v>8472.6265710000007</v>
      </c>
      <c r="L457" s="2">
        <v>1.4999999999999999E-2</v>
      </c>
      <c r="M457">
        <v>3</v>
      </c>
      <c r="N457">
        <v>727.04524900000001</v>
      </c>
      <c r="O457" s="2">
        <v>271.77977400712501</v>
      </c>
      <c r="P457" s="2">
        <v>301122.11947996001</v>
      </c>
      <c r="Q457" s="2">
        <v>723677.28786339797</v>
      </c>
      <c r="R457" s="2">
        <v>1917744.812838</v>
      </c>
      <c r="S457">
        <v>271.77999999999997</v>
      </c>
      <c r="T457">
        <v>0.25</v>
      </c>
      <c r="U457">
        <v>0</v>
      </c>
    </row>
    <row r="458" spans="1:21" x14ac:dyDescent="0.25">
      <c r="A458" t="s">
        <v>107</v>
      </c>
      <c r="B458" t="s">
        <v>108</v>
      </c>
      <c r="C458">
        <v>8</v>
      </c>
      <c r="D458">
        <v>5</v>
      </c>
      <c r="E458">
        <v>40</v>
      </c>
      <c r="F458">
        <v>7633.7023829999998</v>
      </c>
      <c r="G458">
        <v>20229.311320000001</v>
      </c>
      <c r="H458">
        <v>3176.383562</v>
      </c>
      <c r="I458">
        <v>3.1763835619999998</v>
      </c>
      <c r="J458">
        <v>3.176384E-3</v>
      </c>
      <c r="K458">
        <v>7.0027187279999996</v>
      </c>
      <c r="L458">
        <v>3.5999999999999999E-3</v>
      </c>
      <c r="M458">
        <v>3</v>
      </c>
      <c r="N458">
        <v>95.912853749999996</v>
      </c>
      <c r="O458">
        <v>126.681773823976</v>
      </c>
      <c r="P458">
        <v>7318.8847471111603</v>
      </c>
      <c r="Q458">
        <v>17589.244765948501</v>
      </c>
      <c r="R458">
        <v>46611.498629763402</v>
      </c>
      <c r="S458">
        <v>150</v>
      </c>
      <c r="T458">
        <v>4.1000000000000002E-2</v>
      </c>
      <c r="U458">
        <v>-5.4</v>
      </c>
    </row>
    <row r="459" spans="1:21" x14ac:dyDescent="0.25">
      <c r="A459" t="s">
        <v>41</v>
      </c>
      <c r="B459" t="s">
        <v>42</v>
      </c>
      <c r="C459">
        <v>8</v>
      </c>
      <c r="D459">
        <v>4</v>
      </c>
      <c r="E459">
        <v>32</v>
      </c>
      <c r="F459">
        <v>24995.308690000002</v>
      </c>
      <c r="G459">
        <v>66237.568020000006</v>
      </c>
      <c r="H459">
        <v>10400.54795</v>
      </c>
      <c r="I459">
        <v>10.40054795</v>
      </c>
      <c r="J459">
        <v>1.0400548000000001E-2</v>
      </c>
      <c r="K459">
        <v>22.92925601</v>
      </c>
      <c r="L459">
        <v>1.34E-2</v>
      </c>
      <c r="M459">
        <v>3.1</v>
      </c>
      <c r="N459">
        <v>79.42995741</v>
      </c>
      <c r="O459">
        <v>89.922976874228397</v>
      </c>
      <c r="P459">
        <v>15279.315297302401</v>
      </c>
      <c r="Q459">
        <v>36720.2963165162</v>
      </c>
      <c r="R459">
        <v>97308.785238768003</v>
      </c>
      <c r="S459">
        <v>91.5</v>
      </c>
      <c r="T459">
        <v>0.12690000000000001</v>
      </c>
      <c r="U459">
        <v>0</v>
      </c>
    </row>
    <row r="460" spans="1:21" x14ac:dyDescent="0.25">
      <c r="A460" t="s">
        <v>111</v>
      </c>
      <c r="B460" t="s">
        <v>112</v>
      </c>
      <c r="C460">
        <v>8</v>
      </c>
      <c r="D460">
        <v>2</v>
      </c>
      <c r="E460">
        <v>16</v>
      </c>
      <c r="F460">
        <v>2451.3338140000001</v>
      </c>
      <c r="G460">
        <v>6496.0346079999999</v>
      </c>
      <c r="H460">
        <v>1020</v>
      </c>
      <c r="I460">
        <v>1.02</v>
      </c>
      <c r="J460">
        <v>1.0200000000000001E-3</v>
      </c>
      <c r="K460">
        <v>2.2487124000000001</v>
      </c>
      <c r="L460">
        <v>1.2200000000000001E-2</v>
      </c>
      <c r="M460">
        <v>2.9</v>
      </c>
      <c r="N460">
        <v>49.810884719999997</v>
      </c>
      <c r="O460">
        <v>93.764742023268397</v>
      </c>
      <c r="P460">
        <v>6386.6712780728703</v>
      </c>
      <c r="Q460">
        <v>15348.8855517252</v>
      </c>
      <c r="R460">
        <v>40674.546712071897</v>
      </c>
      <c r="S460">
        <v>98.7</v>
      </c>
      <c r="T460">
        <v>0.158</v>
      </c>
      <c r="U460">
        <v>-2.96</v>
      </c>
    </row>
    <row r="461" spans="1:21" x14ac:dyDescent="0.25">
      <c r="A461" t="s">
        <v>113</v>
      </c>
      <c r="B461" t="s">
        <v>114</v>
      </c>
      <c r="C461">
        <v>8</v>
      </c>
      <c r="D461">
        <v>2</v>
      </c>
      <c r="E461">
        <v>16</v>
      </c>
      <c r="F461">
        <v>3970.9204519999998</v>
      </c>
      <c r="G461">
        <v>10522.939200000001</v>
      </c>
      <c r="H461">
        <v>1652.3</v>
      </c>
      <c r="I461">
        <v>1.6523000000000001</v>
      </c>
      <c r="J461">
        <v>1.6523E-3</v>
      </c>
      <c r="K461">
        <v>3.6426936259999998</v>
      </c>
      <c r="L461">
        <v>1.2E-2</v>
      </c>
      <c r="M461">
        <v>3.05</v>
      </c>
      <c r="N461">
        <v>48.404724909999999</v>
      </c>
      <c r="O461">
        <v>83.145643530336798</v>
      </c>
      <c r="P461">
        <v>8603.8279654683902</v>
      </c>
      <c r="Q461">
        <v>20677.308256352801</v>
      </c>
      <c r="R461">
        <v>54794.866879334899</v>
      </c>
      <c r="S461">
        <v>85.9</v>
      </c>
      <c r="T461">
        <v>0.215</v>
      </c>
      <c r="U461">
        <v>0</v>
      </c>
    </row>
    <row r="462" spans="1:21" x14ac:dyDescent="0.25">
      <c r="A462" t="s">
        <v>117</v>
      </c>
      <c r="B462" t="s">
        <v>118</v>
      </c>
      <c r="C462">
        <v>8</v>
      </c>
      <c r="D462">
        <v>2</v>
      </c>
      <c r="E462">
        <v>16</v>
      </c>
      <c r="F462">
        <v>2451.3338140000001</v>
      </c>
      <c r="G462">
        <v>6496.0346079999999</v>
      </c>
      <c r="H462">
        <v>1020</v>
      </c>
      <c r="I462">
        <v>1.02</v>
      </c>
      <c r="J462">
        <v>1.0200000000000001E-3</v>
      </c>
      <c r="K462">
        <v>2.2487124000000001</v>
      </c>
      <c r="L462">
        <v>1.4999999999999999E-2</v>
      </c>
      <c r="M462">
        <v>3</v>
      </c>
      <c r="N462">
        <v>40.816551019999999</v>
      </c>
      <c r="O462">
        <v>58.421174882791199</v>
      </c>
      <c r="P462">
        <v>2990.9015578450098</v>
      </c>
      <c r="Q462">
        <v>7187.9393363254303</v>
      </c>
      <c r="R462">
        <v>19048.039241262399</v>
      </c>
      <c r="S462">
        <v>73.2</v>
      </c>
      <c r="T462">
        <v>0.1</v>
      </c>
      <c r="U462">
        <v>0</v>
      </c>
    </row>
    <row r="463" spans="1:21" x14ac:dyDescent="0.25">
      <c r="A463" t="s">
        <v>123</v>
      </c>
      <c r="B463" t="s">
        <v>124</v>
      </c>
      <c r="C463">
        <v>8</v>
      </c>
      <c r="D463">
        <v>2</v>
      </c>
      <c r="E463">
        <v>16</v>
      </c>
      <c r="F463">
        <v>2451.3338140000001</v>
      </c>
      <c r="G463">
        <v>6496.0346079999999</v>
      </c>
      <c r="H463">
        <v>1020</v>
      </c>
      <c r="I463">
        <v>1.02</v>
      </c>
      <c r="J463">
        <v>1.0200000000000001E-3</v>
      </c>
      <c r="K463">
        <v>2.2487124000000001</v>
      </c>
      <c r="L463">
        <v>9.4999999999999998E-3</v>
      </c>
      <c r="M463">
        <v>3.1</v>
      </c>
      <c r="N463">
        <v>41.962698490000001</v>
      </c>
      <c r="O463">
        <v>96.730417108521294</v>
      </c>
      <c r="P463">
        <v>13582.1678366007</v>
      </c>
      <c r="Q463">
        <v>32641.595377555099</v>
      </c>
      <c r="R463">
        <v>86500.227750520906</v>
      </c>
      <c r="S463">
        <v>111</v>
      </c>
      <c r="T463">
        <v>0.13</v>
      </c>
      <c r="U463">
        <v>0.22</v>
      </c>
    </row>
    <row r="464" spans="1:21" x14ac:dyDescent="0.25">
      <c r="A464" t="s">
        <v>121</v>
      </c>
      <c r="B464" t="s">
        <v>122</v>
      </c>
      <c r="C464">
        <v>8</v>
      </c>
      <c r="D464">
        <v>7</v>
      </c>
      <c r="E464">
        <v>56</v>
      </c>
      <c r="F464">
        <v>9236057.0460000001</v>
      </c>
      <c r="G464">
        <v>24475551.170000002</v>
      </c>
      <c r="H464">
        <v>3843123.3369999998</v>
      </c>
      <c r="I464">
        <v>3843.123337</v>
      </c>
      <c r="J464">
        <v>3.8431233370000002</v>
      </c>
      <c r="K464">
        <v>8472.6265710000007</v>
      </c>
      <c r="L464" s="2">
        <v>1E-3</v>
      </c>
      <c r="M464">
        <v>3</v>
      </c>
      <c r="N464">
        <v>727.04524900000001</v>
      </c>
      <c r="O464" s="2">
        <v>2615.7578249204398</v>
      </c>
      <c r="P464" s="2">
        <v>17897509.412757501</v>
      </c>
      <c r="Q464" s="2">
        <v>43012519.6172975</v>
      </c>
      <c r="R464" s="2">
        <v>113983176.985838</v>
      </c>
      <c r="S464">
        <v>2615.7600000000002</v>
      </c>
      <c r="T464">
        <v>0.25</v>
      </c>
      <c r="U464">
        <v>0</v>
      </c>
    </row>
    <row r="465" spans="1:21" x14ac:dyDescent="0.25">
      <c r="A465" t="s">
        <v>119</v>
      </c>
      <c r="B465" t="s">
        <v>120</v>
      </c>
      <c r="C465">
        <v>8</v>
      </c>
      <c r="D465">
        <v>3</v>
      </c>
      <c r="E465">
        <v>24</v>
      </c>
      <c r="F465">
        <v>187644.9615</v>
      </c>
      <c r="G465">
        <v>497259.14809999999</v>
      </c>
      <c r="H465">
        <v>78079.068480000002</v>
      </c>
      <c r="I465">
        <v>78.079068480000004</v>
      </c>
      <c r="J465">
        <v>7.8079068000000001E-2</v>
      </c>
      <c r="K465">
        <v>172.13467600000001</v>
      </c>
      <c r="L465">
        <v>2.1399999999999999E-2</v>
      </c>
      <c r="M465">
        <v>2.96</v>
      </c>
      <c r="N465">
        <v>164.790708</v>
      </c>
      <c r="O465" s="2">
        <v>132.951125201086</v>
      </c>
      <c r="P465" s="2">
        <v>41356.344500212603</v>
      </c>
      <c r="Q465" s="2">
        <v>99390.397741438603</v>
      </c>
      <c r="R465" s="2">
        <v>263384.55401481199</v>
      </c>
      <c r="S465">
        <v>133.76666666666699</v>
      </c>
      <c r="T465">
        <v>0.3</v>
      </c>
      <c r="U465">
        <v>7</v>
      </c>
    </row>
    <row r="466" spans="1:21" x14ac:dyDescent="0.25">
      <c r="A466" t="s">
        <v>89</v>
      </c>
      <c r="B466" t="s">
        <v>90</v>
      </c>
      <c r="C466">
        <v>8</v>
      </c>
      <c r="D466">
        <v>8</v>
      </c>
      <c r="E466">
        <v>64</v>
      </c>
      <c r="F466">
        <v>72000</v>
      </c>
      <c r="G466">
        <v>191000</v>
      </c>
      <c r="H466">
        <v>29959.200000000001</v>
      </c>
      <c r="I466">
        <v>29.959199999999999</v>
      </c>
      <c r="J466">
        <v>2.9959199999999998E-2</v>
      </c>
      <c r="K466">
        <v>66.048651500000005</v>
      </c>
      <c r="L466" s="2">
        <v>0.05</v>
      </c>
      <c r="M466" s="2">
        <v>3.2</v>
      </c>
      <c r="N466">
        <v>194.93589650000001</v>
      </c>
      <c r="O466">
        <v>114.299401553501</v>
      </c>
      <c r="P466">
        <v>2986.4955038558201</v>
      </c>
      <c r="Q466">
        <v>7177.3504058058697</v>
      </c>
      <c r="R466">
        <v>19019.978575385499</v>
      </c>
      <c r="S466">
        <v>114.3</v>
      </c>
      <c r="T466">
        <v>0.19</v>
      </c>
      <c r="U466">
        <v>0</v>
      </c>
    </row>
    <row r="467" spans="1:21" x14ac:dyDescent="0.25">
      <c r="A467" t="s">
        <v>125</v>
      </c>
      <c r="B467" t="s">
        <v>126</v>
      </c>
      <c r="C467">
        <v>8</v>
      </c>
      <c r="D467">
        <v>1</v>
      </c>
      <c r="E467">
        <v>8</v>
      </c>
      <c r="F467">
        <v>14744.532569999999</v>
      </c>
      <c r="G467">
        <v>39073.011299999998</v>
      </c>
      <c r="H467">
        <v>6135.2000019999996</v>
      </c>
      <c r="I467">
        <v>6.1352000020000004</v>
      </c>
      <c r="J467">
        <v>6.1352000000000004E-3</v>
      </c>
      <c r="K467">
        <v>13.52578463</v>
      </c>
      <c r="L467">
        <v>1.4999999999999999E-2</v>
      </c>
      <c r="M467">
        <v>2.9</v>
      </c>
      <c r="N467">
        <v>86.115610500000003</v>
      </c>
      <c r="O467">
        <v>74.891260880057899</v>
      </c>
      <c r="P467">
        <v>4092.0560363752302</v>
      </c>
      <c r="Q467">
        <v>9834.3091477414691</v>
      </c>
      <c r="R467">
        <v>26060.919241514901</v>
      </c>
      <c r="S467">
        <v>136</v>
      </c>
      <c r="T467">
        <v>0.1</v>
      </c>
      <c r="U467">
        <v>0</v>
      </c>
    </row>
    <row r="468" spans="1:21" x14ac:dyDescent="0.25">
      <c r="A468" t="s">
        <v>131</v>
      </c>
      <c r="B468" t="s">
        <v>132</v>
      </c>
      <c r="C468">
        <v>8</v>
      </c>
      <c r="D468">
        <v>2</v>
      </c>
      <c r="E468">
        <v>16</v>
      </c>
      <c r="F468">
        <v>3970.9204519999998</v>
      </c>
      <c r="G468">
        <v>10522.939200000001</v>
      </c>
      <c r="H468">
        <v>1652.3</v>
      </c>
      <c r="I468">
        <v>1.6523000000000001</v>
      </c>
      <c r="J468">
        <v>1.6523E-3</v>
      </c>
      <c r="K468">
        <v>3.6426936259999998</v>
      </c>
      <c r="L468">
        <v>1.4E-2</v>
      </c>
      <c r="M468">
        <v>2.9</v>
      </c>
      <c r="N468">
        <v>56.098600009999998</v>
      </c>
      <c r="O468">
        <v>43.837167278188701</v>
      </c>
      <c r="P468">
        <v>808.11140356816702</v>
      </c>
      <c r="Q468">
        <v>1942.1086363089801</v>
      </c>
      <c r="R468">
        <v>5146.5878862188001</v>
      </c>
      <c r="S468">
        <v>45.7</v>
      </c>
      <c r="T468">
        <v>0.2</v>
      </c>
      <c r="U468">
        <v>0</v>
      </c>
    </row>
    <row r="469" spans="1:21" x14ac:dyDescent="0.25">
      <c r="A469" t="s">
        <v>133</v>
      </c>
      <c r="B469" t="s">
        <v>134</v>
      </c>
      <c r="C469">
        <v>8</v>
      </c>
      <c r="D469">
        <v>3</v>
      </c>
      <c r="E469">
        <v>24</v>
      </c>
      <c r="F469">
        <v>18000</v>
      </c>
      <c r="G469">
        <v>40770</v>
      </c>
      <c r="H469">
        <v>7489.8</v>
      </c>
      <c r="I469">
        <v>7.4897999999999998</v>
      </c>
      <c r="J469">
        <v>7.4897999999999996E-3</v>
      </c>
      <c r="K469">
        <v>16.512162880000002</v>
      </c>
      <c r="L469">
        <v>1.2699999999999999E-2</v>
      </c>
      <c r="M469">
        <v>3.1</v>
      </c>
      <c r="N469">
        <v>72.695130840000004</v>
      </c>
      <c r="O469">
        <v>103.65815332500701</v>
      </c>
      <c r="P469">
        <v>22499.583071964</v>
      </c>
      <c r="Q469">
        <v>54072.538024426904</v>
      </c>
      <c r="R469">
        <v>143292.225764731</v>
      </c>
      <c r="S469">
        <v>114</v>
      </c>
      <c r="T469">
        <v>0.1</v>
      </c>
      <c r="U469">
        <v>0</v>
      </c>
    </row>
    <row r="470" spans="1:21" x14ac:dyDescent="0.25">
      <c r="A470" t="s">
        <v>127</v>
      </c>
      <c r="B470" t="s">
        <v>128</v>
      </c>
      <c r="C470">
        <v>8</v>
      </c>
      <c r="D470">
        <v>2</v>
      </c>
      <c r="E470">
        <v>16</v>
      </c>
      <c r="F470">
        <v>3970.9204519999998</v>
      </c>
      <c r="G470">
        <v>10522.939200000001</v>
      </c>
      <c r="H470">
        <v>1652.3</v>
      </c>
      <c r="I470">
        <v>1.6523000000000001</v>
      </c>
      <c r="J470">
        <v>1.6523E-3</v>
      </c>
      <c r="K470">
        <v>3.6426936259999998</v>
      </c>
      <c r="L470">
        <v>1.4E-2</v>
      </c>
      <c r="M470">
        <v>3</v>
      </c>
      <c r="N470">
        <v>49.051650180000003</v>
      </c>
      <c r="O470">
        <v>61.7705049232002</v>
      </c>
      <c r="P470">
        <v>3299.6774570688699</v>
      </c>
      <c r="Q470">
        <v>7930.0107115329902</v>
      </c>
      <c r="R470">
        <v>21014.5283855624</v>
      </c>
      <c r="S470">
        <v>62.2</v>
      </c>
      <c r="T470">
        <v>0.31</v>
      </c>
      <c r="U470">
        <v>-0.05</v>
      </c>
    </row>
    <row r="471" spans="1:21" x14ac:dyDescent="0.25">
      <c r="A471" t="s">
        <v>135</v>
      </c>
      <c r="B471" t="s">
        <v>136</v>
      </c>
      <c r="C471">
        <v>8</v>
      </c>
      <c r="D471">
        <v>2</v>
      </c>
      <c r="E471">
        <v>16</v>
      </c>
      <c r="F471">
        <v>3970.9204519999998</v>
      </c>
      <c r="G471">
        <v>10522.939200000001</v>
      </c>
      <c r="H471">
        <v>1652.3</v>
      </c>
      <c r="I471">
        <v>1.6523000000000001</v>
      </c>
      <c r="J471">
        <v>1.6523E-3</v>
      </c>
      <c r="K471">
        <v>3.6426936259999998</v>
      </c>
      <c r="L471">
        <v>1.2E-2</v>
      </c>
      <c r="M471">
        <v>3</v>
      </c>
      <c r="N471">
        <v>51.637976899999998</v>
      </c>
      <c r="O471">
        <v>48.088252973212398</v>
      </c>
      <c r="P471">
        <v>1334.43752153734</v>
      </c>
      <c r="Q471">
        <v>3207.01158744855</v>
      </c>
      <c r="R471">
        <v>8498.5807067386504</v>
      </c>
      <c r="S471">
        <v>60.5</v>
      </c>
      <c r="T471">
        <v>9.9000000000000005E-2</v>
      </c>
      <c r="U471">
        <v>0</v>
      </c>
    </row>
    <row r="472" spans="1:21" x14ac:dyDescent="0.25">
      <c r="A472" t="s">
        <v>129</v>
      </c>
      <c r="B472" t="s">
        <v>130</v>
      </c>
      <c r="C472">
        <v>8</v>
      </c>
      <c r="D472">
        <v>2</v>
      </c>
      <c r="E472">
        <v>16</v>
      </c>
      <c r="F472">
        <v>2451.3338140000001</v>
      </c>
      <c r="G472">
        <v>6496.0346079999999</v>
      </c>
      <c r="H472">
        <v>1020</v>
      </c>
      <c r="I472">
        <v>1.02</v>
      </c>
      <c r="J472">
        <v>1.0200000000000001E-3</v>
      </c>
      <c r="K472">
        <v>2.2487124000000001</v>
      </c>
      <c r="L472">
        <v>1.2500000000000001E-2</v>
      </c>
      <c r="M472">
        <v>2.88</v>
      </c>
      <c r="N472">
        <v>50.751393550000003</v>
      </c>
      <c r="O472">
        <v>78.5923244459823</v>
      </c>
      <c r="P472">
        <v>3594.2211705995601</v>
      </c>
      <c r="Q472">
        <v>8637.8783239595195</v>
      </c>
      <c r="R472">
        <v>22890.377558492699</v>
      </c>
      <c r="S472">
        <v>158</v>
      </c>
      <c r="T472">
        <v>4.2999999999999997E-2</v>
      </c>
      <c r="U472">
        <v>0</v>
      </c>
    </row>
    <row r="473" spans="1:21" x14ac:dyDescent="0.25">
      <c r="A473" t="s">
        <v>137</v>
      </c>
      <c r="B473" t="s">
        <v>138</v>
      </c>
      <c r="C473">
        <v>8</v>
      </c>
      <c r="D473">
        <v>1</v>
      </c>
      <c r="E473">
        <v>8</v>
      </c>
      <c r="F473">
        <v>2453.016102</v>
      </c>
      <c r="G473">
        <v>6500.492671</v>
      </c>
      <c r="H473">
        <v>1020.7</v>
      </c>
      <c r="I473">
        <v>1.0206999999999999</v>
      </c>
      <c r="J473">
        <v>1.0207E-3</v>
      </c>
      <c r="K473">
        <v>2.2502556340000002</v>
      </c>
      <c r="L473">
        <v>1.2500000000000001E-2</v>
      </c>
      <c r="M473">
        <v>2.82</v>
      </c>
      <c r="N473">
        <v>55.187376929999999</v>
      </c>
      <c r="O473">
        <v>46.5718422922861</v>
      </c>
      <c r="P473">
        <v>632.43813909693301</v>
      </c>
      <c r="Q473">
        <v>1519.91862316014</v>
      </c>
      <c r="R473">
        <v>4027.7843513743701</v>
      </c>
      <c r="S473">
        <v>50</v>
      </c>
      <c r="T473">
        <v>0.33500000000000002</v>
      </c>
      <c r="U473">
        <v>0</v>
      </c>
    </row>
    <row r="474" spans="1:21" x14ac:dyDescent="0.25">
      <c r="A474" t="s">
        <v>21</v>
      </c>
      <c r="B474" t="s">
        <v>22</v>
      </c>
      <c r="C474">
        <v>9</v>
      </c>
      <c r="D474">
        <v>1</v>
      </c>
      <c r="E474">
        <v>9</v>
      </c>
      <c r="F474">
        <v>345.5659698</v>
      </c>
      <c r="G474">
        <v>915.74981979999995</v>
      </c>
      <c r="H474">
        <v>143.79</v>
      </c>
      <c r="I474">
        <v>0.14379</v>
      </c>
      <c r="J474">
        <v>1.4379E-4</v>
      </c>
      <c r="K474">
        <v>0.31700231000000001</v>
      </c>
      <c r="L474">
        <v>1.6E-2</v>
      </c>
      <c r="M474">
        <v>3</v>
      </c>
      <c r="N474">
        <v>20.790721789999999</v>
      </c>
      <c r="O474">
        <v>12.2265532547714</v>
      </c>
      <c r="P474">
        <v>29.243686140799799</v>
      </c>
      <c r="Q474">
        <v>70.280428120162995</v>
      </c>
      <c r="R474">
        <v>186.24313451843199</v>
      </c>
      <c r="S474">
        <v>13.8</v>
      </c>
      <c r="T474">
        <v>0.21</v>
      </c>
      <c r="U474">
        <v>-1.34</v>
      </c>
    </row>
    <row r="475" spans="1:21" x14ac:dyDescent="0.25">
      <c r="A475" t="s">
        <v>95</v>
      </c>
      <c r="B475" s="2" t="s">
        <v>96</v>
      </c>
      <c r="C475">
        <v>9</v>
      </c>
      <c r="D475">
        <v>2</v>
      </c>
      <c r="E475">
        <v>18</v>
      </c>
      <c r="F475">
        <v>2643.5952900000002</v>
      </c>
      <c r="G475">
        <v>7005.5275179999999</v>
      </c>
      <c r="H475">
        <v>1100</v>
      </c>
      <c r="I475">
        <v>1.1000000000000001</v>
      </c>
      <c r="J475">
        <v>1.1000000000000001E-3</v>
      </c>
      <c r="K475">
        <v>2.4250820000000002</v>
      </c>
      <c r="L475">
        <v>0.01</v>
      </c>
      <c r="M475">
        <v>3</v>
      </c>
      <c r="N475">
        <v>43.353048229999999</v>
      </c>
      <c r="O475">
        <v>132.28397374716801</v>
      </c>
      <c r="P475">
        <v>31250.3917385233</v>
      </c>
      <c r="Q475">
        <v>75103.080361747794</v>
      </c>
      <c r="R475">
        <v>199023.16295863199</v>
      </c>
      <c r="S475">
        <v>136</v>
      </c>
      <c r="T475">
        <v>0.2</v>
      </c>
      <c r="U475">
        <v>0</v>
      </c>
    </row>
    <row r="476" spans="1:21" x14ac:dyDescent="0.25">
      <c r="A476" t="s">
        <v>101</v>
      </c>
      <c r="B476" t="s">
        <v>102</v>
      </c>
      <c r="C476">
        <v>9</v>
      </c>
      <c r="D476">
        <v>2</v>
      </c>
      <c r="E476">
        <v>18</v>
      </c>
      <c r="F476">
        <v>2643.5952900000002</v>
      </c>
      <c r="G476">
        <v>7005.5275179999999</v>
      </c>
      <c r="H476">
        <v>1100</v>
      </c>
      <c r="I476">
        <v>1.1000000000000001</v>
      </c>
      <c r="J476">
        <v>1.1000000000000001E-3</v>
      </c>
      <c r="K476">
        <v>2.4250820000000002</v>
      </c>
      <c r="L476">
        <v>1.2E-2</v>
      </c>
      <c r="M476">
        <v>3.1</v>
      </c>
      <c r="N476">
        <v>39.87616345</v>
      </c>
      <c r="O476" s="2">
        <v>101.728860660297</v>
      </c>
      <c r="P476" s="2">
        <v>20056.641216152198</v>
      </c>
      <c r="Q476" s="2">
        <v>48201.492949176201</v>
      </c>
      <c r="R476" s="2">
        <v>127733.956315317</v>
      </c>
      <c r="S476">
        <v>150.03333333333299</v>
      </c>
      <c r="T476">
        <v>0.11333333333333299</v>
      </c>
      <c r="U476">
        <v>8</v>
      </c>
    </row>
    <row r="477" spans="1:21" x14ac:dyDescent="0.25">
      <c r="A477" t="s">
        <v>37</v>
      </c>
      <c r="B477" t="s">
        <v>38</v>
      </c>
      <c r="C477">
        <v>9</v>
      </c>
      <c r="D477">
        <v>9</v>
      </c>
      <c r="E477">
        <v>81</v>
      </c>
      <c r="F477">
        <v>1772528862</v>
      </c>
      <c r="G477">
        <v>4697201484</v>
      </c>
      <c r="H477">
        <v>737549259.5</v>
      </c>
      <c r="I477">
        <v>737549.25950000004</v>
      </c>
      <c r="J477">
        <v>737.54925949999995</v>
      </c>
      <c r="K477">
        <v>1626015.848</v>
      </c>
      <c r="L477" s="2">
        <v>6.0000000000000001E-3</v>
      </c>
      <c r="M477">
        <v>3</v>
      </c>
      <c r="N477">
        <v>1544.971047</v>
      </c>
      <c r="O477" s="2">
        <v>2097.36</v>
      </c>
      <c r="P477" s="2">
        <v>55356700.140481502</v>
      </c>
      <c r="Q477" s="2">
        <v>133037010.67166901</v>
      </c>
      <c r="R477" s="2">
        <v>352548078.27992302</v>
      </c>
      <c r="S477" s="2">
        <v>2097.36</v>
      </c>
      <c r="T477" s="2">
        <v>0.5</v>
      </c>
      <c r="U477" s="2">
        <v>0</v>
      </c>
    </row>
    <row r="478" spans="1:21" x14ac:dyDescent="0.25">
      <c r="A478" s="2" t="s">
        <v>31</v>
      </c>
      <c r="B478" t="s">
        <v>32</v>
      </c>
      <c r="C478">
        <v>9</v>
      </c>
      <c r="D478">
        <v>1</v>
      </c>
      <c r="E478">
        <v>9</v>
      </c>
      <c r="F478">
        <v>345.5659698</v>
      </c>
      <c r="G478">
        <v>915.74981979999995</v>
      </c>
      <c r="H478">
        <v>143.79000003377999</v>
      </c>
      <c r="I478">
        <v>0.14379000003378001</v>
      </c>
      <c r="J478">
        <v>1.4379000003378E-4</v>
      </c>
      <c r="K478">
        <v>0.31700230987447198</v>
      </c>
      <c r="L478" s="3">
        <v>1.1599999999999999E-2</v>
      </c>
      <c r="M478" s="3">
        <v>3</v>
      </c>
      <c r="N478">
        <v>23.143208333852002</v>
      </c>
      <c r="O478" s="2">
        <v>29.165688491279099</v>
      </c>
      <c r="P478" s="2">
        <v>287.78932994100302</v>
      </c>
      <c r="Q478" s="2">
        <v>691.63501547945998</v>
      </c>
      <c r="R478" s="2">
        <v>1832.8327910205701</v>
      </c>
      <c r="S478" s="2">
        <v>29.1726666666667</v>
      </c>
      <c r="T478" s="2">
        <v>0.92646666666666699</v>
      </c>
      <c r="U478" s="2">
        <v>0</v>
      </c>
    </row>
    <row r="479" spans="1:21" x14ac:dyDescent="0.25">
      <c r="A479" t="s">
        <v>25</v>
      </c>
      <c r="B479" t="s">
        <v>26</v>
      </c>
      <c r="C479">
        <v>9</v>
      </c>
      <c r="D479">
        <v>3</v>
      </c>
      <c r="E479">
        <v>27</v>
      </c>
      <c r="F479">
        <v>188385.81349999999</v>
      </c>
      <c r="G479">
        <v>499222.4057</v>
      </c>
      <c r="H479">
        <v>78387.337</v>
      </c>
      <c r="I479">
        <v>78.387337000000002</v>
      </c>
      <c r="J479">
        <v>7.8387337000000001E-2</v>
      </c>
      <c r="K479">
        <v>172.8142909</v>
      </c>
      <c r="L479">
        <v>2.1399999999999999E-2</v>
      </c>
      <c r="M479">
        <v>2.96</v>
      </c>
      <c r="N479">
        <v>165.0102253</v>
      </c>
      <c r="O479">
        <v>322.97129652874702</v>
      </c>
      <c r="P479">
        <v>572188.33147296798</v>
      </c>
      <c r="Q479">
        <v>1375122.1616750001</v>
      </c>
      <c r="R479">
        <v>3644073.7284387499</v>
      </c>
      <c r="S479">
        <v>358.7</v>
      </c>
      <c r="T479">
        <v>9.1999999999999998E-2</v>
      </c>
      <c r="U479">
        <v>-1.929</v>
      </c>
    </row>
    <row r="480" spans="1:21" x14ac:dyDescent="0.25">
      <c r="A480" t="s">
        <v>33</v>
      </c>
      <c r="B480" t="s">
        <v>34</v>
      </c>
      <c r="C480">
        <v>9</v>
      </c>
      <c r="D480">
        <v>2</v>
      </c>
      <c r="E480">
        <v>18</v>
      </c>
      <c r="F480">
        <v>2643.5952900000002</v>
      </c>
      <c r="G480">
        <v>7005.5275179999999</v>
      </c>
      <c r="H480">
        <v>1100</v>
      </c>
      <c r="I480">
        <v>1.1000000000000001</v>
      </c>
      <c r="J480">
        <v>1.1000000000000001E-3</v>
      </c>
      <c r="K480">
        <v>2.4250820000000002</v>
      </c>
      <c r="L480">
        <v>1.4999999999999999E-2</v>
      </c>
      <c r="M480">
        <v>3</v>
      </c>
      <c r="N480">
        <v>41.85690786</v>
      </c>
      <c r="O480">
        <v>57.724867284408298</v>
      </c>
      <c r="P480">
        <v>2885.2276689179398</v>
      </c>
      <c r="Q480">
        <v>6933.9766135975597</v>
      </c>
      <c r="R480">
        <v>18375.038026033501</v>
      </c>
      <c r="S480" s="4">
        <v>58.9</v>
      </c>
      <c r="T480" s="4">
        <v>0.22</v>
      </c>
      <c r="U480" s="4">
        <v>0.20699999999999999</v>
      </c>
    </row>
    <row r="481" spans="1:21" x14ac:dyDescent="0.25">
      <c r="A481" t="s">
        <v>29</v>
      </c>
      <c r="B481" t="s">
        <v>30</v>
      </c>
      <c r="C481">
        <v>9</v>
      </c>
      <c r="D481">
        <v>7</v>
      </c>
      <c r="E481" s="2">
        <v>63</v>
      </c>
      <c r="F481">
        <v>64280.782099999997</v>
      </c>
      <c r="G481">
        <v>170344.27299999999</v>
      </c>
      <c r="H481">
        <v>26747.23343</v>
      </c>
      <c r="I481">
        <v>26.747233430000001</v>
      </c>
      <c r="J481">
        <v>2.6747232999999999E-2</v>
      </c>
      <c r="K481">
        <v>58.967485770000003</v>
      </c>
      <c r="L481">
        <v>3.2499999999999999E-3</v>
      </c>
      <c r="M481">
        <v>3</v>
      </c>
      <c r="N481">
        <v>201.89791579999999</v>
      </c>
      <c r="O481">
        <v>281.99737084539902</v>
      </c>
      <c r="P481">
        <v>72881.707480323705</v>
      </c>
      <c r="Q481">
        <v>175154.30781140001</v>
      </c>
      <c r="R481">
        <v>464158.91570021102</v>
      </c>
      <c r="S481">
        <v>282</v>
      </c>
      <c r="T481">
        <v>0.18</v>
      </c>
      <c r="U481">
        <v>-1.35</v>
      </c>
    </row>
    <row r="482" spans="1:21" x14ac:dyDescent="0.25">
      <c r="A482" t="s">
        <v>23</v>
      </c>
      <c r="B482" t="s">
        <v>24</v>
      </c>
      <c r="C482">
        <v>9</v>
      </c>
      <c r="D482">
        <v>3</v>
      </c>
      <c r="E482">
        <v>27</v>
      </c>
      <c r="F482">
        <v>188385.81349999999</v>
      </c>
      <c r="G482">
        <v>499222.4057</v>
      </c>
      <c r="H482">
        <v>78387.337</v>
      </c>
      <c r="I482">
        <v>78.387337000000002</v>
      </c>
      <c r="J482">
        <v>7.8387337000000001E-2</v>
      </c>
      <c r="K482">
        <v>172.8142909</v>
      </c>
      <c r="L482">
        <v>2.5999999999999999E-2</v>
      </c>
      <c r="M482">
        <v>3</v>
      </c>
      <c r="N482">
        <v>210.0486598</v>
      </c>
      <c r="O482">
        <v>283.40511574287001</v>
      </c>
      <c r="P482">
        <v>180796.821177259</v>
      </c>
      <c r="Q482">
        <v>434503.295307038</v>
      </c>
      <c r="R482">
        <v>1151433.73256365</v>
      </c>
      <c r="S482">
        <v>314.89999999999998</v>
      </c>
      <c r="T482">
        <v>8.8999999999999996E-2</v>
      </c>
      <c r="U482">
        <v>-1.1299999999999999</v>
      </c>
    </row>
    <row r="483" spans="1:21" x14ac:dyDescent="0.25">
      <c r="A483" t="s">
        <v>27</v>
      </c>
      <c r="B483" t="s">
        <v>28</v>
      </c>
      <c r="C483">
        <v>9</v>
      </c>
      <c r="D483">
        <v>1</v>
      </c>
      <c r="E483">
        <v>9</v>
      </c>
      <c r="F483">
        <v>13862.052390000001</v>
      </c>
      <c r="G483">
        <v>36734.438840000003</v>
      </c>
      <c r="H483">
        <v>5767.9999989999997</v>
      </c>
      <c r="I483">
        <v>5.7679999989999997</v>
      </c>
      <c r="J483">
        <v>5.7679999999999997E-3</v>
      </c>
      <c r="K483">
        <v>12.716248159999999</v>
      </c>
      <c r="L483">
        <v>1.0999999999999999E-2</v>
      </c>
      <c r="M483">
        <v>2.9</v>
      </c>
      <c r="N483">
        <v>93.818199050000004</v>
      </c>
      <c r="O483">
        <v>76.967042213351803</v>
      </c>
      <c r="P483">
        <v>3248.4530720549801</v>
      </c>
      <c r="Q483">
        <v>7806.9047634101898</v>
      </c>
      <c r="R483">
        <v>20688.297623037</v>
      </c>
      <c r="S483">
        <v>81.53</v>
      </c>
      <c r="T483">
        <v>0.31</v>
      </c>
      <c r="U483">
        <v>-0.3</v>
      </c>
    </row>
    <row r="484" spans="1:21" x14ac:dyDescent="0.25">
      <c r="A484" t="s">
        <v>35</v>
      </c>
      <c r="B484" t="s">
        <v>36</v>
      </c>
      <c r="C484">
        <v>9</v>
      </c>
      <c r="D484">
        <v>1</v>
      </c>
      <c r="E484">
        <v>9</v>
      </c>
      <c r="F484">
        <v>345.5659698</v>
      </c>
      <c r="G484">
        <v>915.74981979999995</v>
      </c>
      <c r="H484">
        <v>143.79</v>
      </c>
      <c r="I484">
        <v>0.14379</v>
      </c>
      <c r="J484">
        <v>1.4379E-4</v>
      </c>
      <c r="K484">
        <v>0.31700231000000001</v>
      </c>
      <c r="L484">
        <v>2.1000000000000001E-2</v>
      </c>
      <c r="M484">
        <v>3</v>
      </c>
      <c r="N484">
        <v>18.989045260000001</v>
      </c>
      <c r="O484">
        <v>21.0113883525256</v>
      </c>
      <c r="P484">
        <v>194.797574215157</v>
      </c>
      <c r="Q484">
        <v>468.15086329045101</v>
      </c>
      <c r="R484">
        <v>1240.5997877197001</v>
      </c>
      <c r="S484" s="4">
        <v>21.02</v>
      </c>
      <c r="T484" s="4">
        <v>0.86</v>
      </c>
      <c r="U484" s="4">
        <v>-6.9989999999999997E-2</v>
      </c>
    </row>
    <row r="485" spans="1:21" x14ac:dyDescent="0.25">
      <c r="A485" t="s">
        <v>39</v>
      </c>
      <c r="B485" t="s">
        <v>40</v>
      </c>
      <c r="C485">
        <v>9</v>
      </c>
      <c r="D485">
        <v>2</v>
      </c>
      <c r="E485">
        <v>18</v>
      </c>
      <c r="F485">
        <v>57678.44268</v>
      </c>
      <c r="G485">
        <v>152847.8731</v>
      </c>
      <c r="H485">
        <v>24000</v>
      </c>
      <c r="I485">
        <v>24</v>
      </c>
      <c r="J485">
        <v>2.4E-2</v>
      </c>
      <c r="K485">
        <v>52.910879999999999</v>
      </c>
      <c r="L485">
        <v>1.2E-2</v>
      </c>
      <c r="M485">
        <v>3</v>
      </c>
      <c r="N485">
        <v>125.992105</v>
      </c>
      <c r="O485">
        <v>129.79107446119801</v>
      </c>
      <c r="P485">
        <v>26237.093874199702</v>
      </c>
      <c r="Q485">
        <v>63054.779798605297</v>
      </c>
      <c r="R485">
        <v>167095.16646630401</v>
      </c>
      <c r="S485">
        <v>150.93</v>
      </c>
      <c r="T485">
        <v>0.11</v>
      </c>
      <c r="U485">
        <v>0.13</v>
      </c>
    </row>
    <row r="486" spans="1:21" x14ac:dyDescent="0.25">
      <c r="A486" t="s">
        <v>45</v>
      </c>
      <c r="B486" t="s">
        <v>46</v>
      </c>
      <c r="C486">
        <v>9</v>
      </c>
      <c r="D486">
        <v>5</v>
      </c>
      <c r="E486">
        <v>45</v>
      </c>
      <c r="F486">
        <v>7678.7389750000002</v>
      </c>
      <c r="G486">
        <v>20348.65828</v>
      </c>
      <c r="H486">
        <v>3195.1232869999999</v>
      </c>
      <c r="I486">
        <v>3.1951232869999999</v>
      </c>
      <c r="J486">
        <v>3.1951229999999998E-3</v>
      </c>
      <c r="K486">
        <v>7.044032702</v>
      </c>
      <c r="L486">
        <v>3.96E-3</v>
      </c>
      <c r="M486">
        <v>3.2</v>
      </c>
      <c r="N486">
        <v>70.124961499999998</v>
      </c>
      <c r="O486" s="2">
        <v>300.744082345626</v>
      </c>
      <c r="P486" s="2">
        <v>337229.74634921202</v>
      </c>
      <c r="Q486" s="2">
        <v>810453.60814518703</v>
      </c>
      <c r="R486" s="2">
        <v>2147702.0615847399</v>
      </c>
      <c r="S486" s="2">
        <v>300.78571428571399</v>
      </c>
      <c r="T486" s="2">
        <v>0.24014285714285699</v>
      </c>
      <c r="U486" s="2">
        <v>8</v>
      </c>
    </row>
    <row r="487" spans="1:21" x14ac:dyDescent="0.25">
      <c r="A487" t="s">
        <v>43</v>
      </c>
      <c r="B487" t="s">
        <v>44</v>
      </c>
      <c r="C487">
        <v>9</v>
      </c>
      <c r="D487">
        <v>2</v>
      </c>
      <c r="E487">
        <v>18</v>
      </c>
      <c r="F487">
        <v>2643.5952900000002</v>
      </c>
      <c r="G487">
        <v>7005.5275179999999</v>
      </c>
      <c r="H487">
        <v>1100</v>
      </c>
      <c r="I487">
        <v>1.1000000000000001</v>
      </c>
      <c r="J487">
        <v>1.1000000000000001E-3</v>
      </c>
      <c r="K487">
        <v>2.4250820000000002</v>
      </c>
      <c r="L487">
        <v>1.44E-2</v>
      </c>
      <c r="M487">
        <v>3</v>
      </c>
      <c r="N487">
        <v>42.430361419999997</v>
      </c>
      <c r="O487" s="2">
        <v>47.618344760866002</v>
      </c>
      <c r="P487" s="2">
        <v>1554.8388269591901</v>
      </c>
      <c r="Q487" s="2">
        <v>3736.6950900244801</v>
      </c>
      <c r="R487" s="2">
        <v>9902.2419885648796</v>
      </c>
      <c r="S487" s="2">
        <v>47.633333333333297</v>
      </c>
      <c r="T487" s="2">
        <v>0.44800000000000001</v>
      </c>
      <c r="U487" s="2">
        <v>0</v>
      </c>
    </row>
    <row r="488" spans="1:21" x14ac:dyDescent="0.25">
      <c r="A488" t="s">
        <v>53</v>
      </c>
      <c r="B488" t="s">
        <v>54</v>
      </c>
      <c r="C488">
        <v>9</v>
      </c>
      <c r="D488">
        <v>2</v>
      </c>
      <c r="E488">
        <v>18</v>
      </c>
      <c r="F488">
        <v>4109.5890410000002</v>
      </c>
      <c r="G488">
        <v>10890.410959999999</v>
      </c>
      <c r="H488">
        <v>1710</v>
      </c>
      <c r="I488">
        <v>1.71</v>
      </c>
      <c r="J488">
        <v>1.7099999999999999E-3</v>
      </c>
      <c r="K488">
        <v>3.7699001999999999</v>
      </c>
      <c r="L488">
        <v>1.2E-2</v>
      </c>
      <c r="M488">
        <v>2.95</v>
      </c>
      <c r="N488">
        <v>55.854206490000003</v>
      </c>
      <c r="O488">
        <v>39.077604495980502</v>
      </c>
      <c r="P488">
        <v>596.16798297115497</v>
      </c>
      <c r="Q488">
        <v>1432.7517014447401</v>
      </c>
      <c r="R488">
        <v>3796.79200882856</v>
      </c>
      <c r="S488">
        <v>41</v>
      </c>
      <c r="T488">
        <v>0.17</v>
      </c>
      <c r="U488">
        <v>0</v>
      </c>
    </row>
    <row r="489" spans="1:21" x14ac:dyDescent="0.25">
      <c r="A489" t="s">
        <v>57</v>
      </c>
      <c r="B489" t="s">
        <v>58</v>
      </c>
      <c r="C489">
        <v>9</v>
      </c>
      <c r="D489">
        <v>2</v>
      </c>
      <c r="E489">
        <v>18</v>
      </c>
      <c r="F489">
        <v>8291.2761339999997</v>
      </c>
      <c r="G489">
        <v>21971.88176</v>
      </c>
      <c r="H489">
        <v>3449.9999990000001</v>
      </c>
      <c r="I489">
        <v>3.4499999990000001</v>
      </c>
      <c r="J489">
        <v>3.4499999999999999E-3</v>
      </c>
      <c r="K489">
        <v>7.6059389990000001</v>
      </c>
      <c r="L489">
        <v>4.0000000000000001E-3</v>
      </c>
      <c r="M489">
        <v>3.1</v>
      </c>
      <c r="N489">
        <v>66.371102100000002</v>
      </c>
      <c r="O489">
        <v>72.845573894569299</v>
      </c>
      <c r="P489">
        <v>4561.3302233118602</v>
      </c>
      <c r="Q489">
        <v>10962.1009932993</v>
      </c>
      <c r="R489">
        <v>29049.567632243299</v>
      </c>
      <c r="S489">
        <v>72.900000000000006</v>
      </c>
      <c r="T489">
        <v>0.4</v>
      </c>
      <c r="U489">
        <v>0</v>
      </c>
    </row>
    <row r="490" spans="1:21" x14ac:dyDescent="0.25">
      <c r="A490" t="s">
        <v>59</v>
      </c>
      <c r="B490" t="s">
        <v>60</v>
      </c>
      <c r="C490">
        <v>9</v>
      </c>
      <c r="D490">
        <v>2</v>
      </c>
      <c r="E490">
        <v>18</v>
      </c>
      <c r="F490">
        <v>4109.5890410000002</v>
      </c>
      <c r="G490">
        <v>10890.410959999999</v>
      </c>
      <c r="H490">
        <v>1710</v>
      </c>
      <c r="I490">
        <v>1.71</v>
      </c>
      <c r="J490">
        <v>1.7099999999999999E-3</v>
      </c>
      <c r="K490">
        <v>3.7699001999999999</v>
      </c>
      <c r="L490">
        <v>1.6799999999999999E-2</v>
      </c>
      <c r="M490">
        <v>3.1</v>
      </c>
      <c r="N490">
        <v>41.246095969999999</v>
      </c>
      <c r="O490">
        <v>187.117810293726</v>
      </c>
      <c r="P490">
        <v>185723.20694256501</v>
      </c>
      <c r="Q490">
        <v>446342.722765118</v>
      </c>
      <c r="R490">
        <v>1182808.21532756</v>
      </c>
      <c r="S490">
        <v>263.2</v>
      </c>
      <c r="T490">
        <v>7.0000000000000007E-2</v>
      </c>
      <c r="U490">
        <v>0.27</v>
      </c>
    </row>
    <row r="491" spans="1:21" x14ac:dyDescent="0.25">
      <c r="A491" t="s">
        <v>61</v>
      </c>
      <c r="B491" t="s">
        <v>62</v>
      </c>
      <c r="C491">
        <v>9</v>
      </c>
      <c r="D491">
        <v>1</v>
      </c>
      <c r="E491">
        <v>9</v>
      </c>
      <c r="F491">
        <v>520.11535690000005</v>
      </c>
      <c r="G491">
        <v>1378.3056959999999</v>
      </c>
      <c r="H491">
        <v>216.42</v>
      </c>
      <c r="I491">
        <v>0.21642</v>
      </c>
      <c r="J491">
        <v>2.1641999999999999E-4</v>
      </c>
      <c r="K491">
        <v>0.47712386000000001</v>
      </c>
      <c r="L491">
        <v>1.2500000000000001E-2</v>
      </c>
      <c r="M491">
        <v>3</v>
      </c>
      <c r="N491">
        <v>25.869962149999999</v>
      </c>
      <c r="O491">
        <v>31.444215429315499</v>
      </c>
      <c r="P491">
        <v>388.626402273748</v>
      </c>
      <c r="Q491">
        <v>933.97356951152994</v>
      </c>
      <c r="R491">
        <v>2475.0299592055499</v>
      </c>
      <c r="S491">
        <v>33.700000000000003</v>
      </c>
      <c r="T491">
        <v>0.32</v>
      </c>
      <c r="U491">
        <v>0.55000000000000004</v>
      </c>
    </row>
    <row r="492" spans="1:21" x14ac:dyDescent="0.25">
      <c r="A492" t="s">
        <v>63</v>
      </c>
      <c r="B492" t="s">
        <v>64</v>
      </c>
      <c r="C492">
        <v>9</v>
      </c>
      <c r="D492">
        <v>2</v>
      </c>
      <c r="E492">
        <v>18</v>
      </c>
      <c r="F492">
        <v>2643.5952900000002</v>
      </c>
      <c r="G492">
        <v>7005.5275179999999</v>
      </c>
      <c r="H492">
        <v>1100</v>
      </c>
      <c r="I492">
        <v>1.1000000000000001</v>
      </c>
      <c r="J492">
        <v>1.1000000000000001E-3</v>
      </c>
      <c r="K492">
        <v>2.4250820000000002</v>
      </c>
      <c r="L492">
        <v>1.2E-2</v>
      </c>
      <c r="M492">
        <v>3.1</v>
      </c>
      <c r="N492">
        <v>39.87616345</v>
      </c>
      <c r="O492">
        <v>42.4912087284942</v>
      </c>
      <c r="P492">
        <v>1339.3941906285199</v>
      </c>
      <c r="Q492">
        <v>3218.9237938680999</v>
      </c>
      <c r="R492">
        <v>8530.1480537504704</v>
      </c>
      <c r="S492">
        <v>42.5</v>
      </c>
      <c r="T492">
        <v>0.47</v>
      </c>
      <c r="U492">
        <v>0.05</v>
      </c>
    </row>
    <row r="493" spans="1:21" x14ac:dyDescent="0.25">
      <c r="A493" t="s">
        <v>65</v>
      </c>
      <c r="B493" t="s">
        <v>66</v>
      </c>
      <c r="C493">
        <v>9</v>
      </c>
      <c r="D493">
        <v>3</v>
      </c>
      <c r="E493">
        <v>27</v>
      </c>
      <c r="F493">
        <v>30000</v>
      </c>
      <c r="G493">
        <v>79500</v>
      </c>
      <c r="H493">
        <v>12483</v>
      </c>
      <c r="I493">
        <v>12.483000000000001</v>
      </c>
      <c r="J493">
        <v>1.2482999999999999E-2</v>
      </c>
      <c r="K493">
        <v>27.52027146</v>
      </c>
      <c r="L493">
        <v>1.2699999999999999E-2</v>
      </c>
      <c r="M493">
        <v>3.1</v>
      </c>
      <c r="N493">
        <v>85.717488009999997</v>
      </c>
      <c r="O493">
        <v>52.696518822026903</v>
      </c>
      <c r="P493">
        <v>2762.6616079782798</v>
      </c>
      <c r="Q493">
        <v>6639.4174669028698</v>
      </c>
      <c r="R493">
        <v>17594.4562872926</v>
      </c>
      <c r="S493">
        <v>52.7</v>
      </c>
      <c r="T493">
        <v>0.35</v>
      </c>
      <c r="U493">
        <v>-0.5</v>
      </c>
    </row>
    <row r="494" spans="1:21" x14ac:dyDescent="0.25">
      <c r="A494" t="s">
        <v>67</v>
      </c>
      <c r="B494" t="s">
        <v>68</v>
      </c>
      <c r="C494">
        <v>9</v>
      </c>
      <c r="D494">
        <v>1</v>
      </c>
      <c r="E494">
        <v>9</v>
      </c>
      <c r="F494">
        <v>704.28</v>
      </c>
      <c r="G494">
        <v>1866.37</v>
      </c>
      <c r="H494">
        <v>293.05090799999999</v>
      </c>
      <c r="I494">
        <v>0.293050908</v>
      </c>
      <c r="J494">
        <v>2.9305100000000001E-4</v>
      </c>
      <c r="K494">
        <v>0.64606589299999995</v>
      </c>
      <c r="L494">
        <v>1.29E-2</v>
      </c>
      <c r="M494">
        <v>3.05</v>
      </c>
      <c r="N494">
        <v>26.810973130000001</v>
      </c>
      <c r="O494">
        <v>38.3106496975144</v>
      </c>
      <c r="P494">
        <v>870.39069088429505</v>
      </c>
      <c r="Q494">
        <v>2091.7824822982302</v>
      </c>
      <c r="R494">
        <v>5543.2235780903202</v>
      </c>
      <c r="S494">
        <v>40.6</v>
      </c>
      <c r="T494">
        <v>0.27</v>
      </c>
      <c r="U494">
        <v>-1.65</v>
      </c>
    </row>
    <row r="495" spans="1:21" x14ac:dyDescent="0.25">
      <c r="A495" t="s">
        <v>69</v>
      </c>
      <c r="B495" t="s">
        <v>70</v>
      </c>
      <c r="C495">
        <v>9</v>
      </c>
      <c r="D495">
        <v>1</v>
      </c>
      <c r="E495">
        <v>9</v>
      </c>
      <c r="F495">
        <v>372.74693589999998</v>
      </c>
      <c r="G495">
        <v>987.77937999999995</v>
      </c>
      <c r="H495">
        <v>155.1</v>
      </c>
      <c r="I495">
        <v>0.15509999999999999</v>
      </c>
      <c r="J495">
        <v>1.551E-4</v>
      </c>
      <c r="K495">
        <v>0.341936562</v>
      </c>
      <c r="L495">
        <v>0.01</v>
      </c>
      <c r="M495">
        <v>2.9</v>
      </c>
      <c r="N495">
        <v>27.86368495</v>
      </c>
      <c r="O495">
        <v>33.429802434428296</v>
      </c>
      <c r="P495">
        <v>263.01956122966197</v>
      </c>
      <c r="Q495">
        <v>632.10661194343197</v>
      </c>
      <c r="R495">
        <v>1675.0825216501</v>
      </c>
      <c r="S495">
        <v>37.700000000000003</v>
      </c>
      <c r="T495">
        <v>0.24199999999999999</v>
      </c>
      <c r="U495">
        <v>0</v>
      </c>
    </row>
    <row r="496" spans="1:21" x14ac:dyDescent="0.25">
      <c r="A496" s="2" t="s">
        <v>71</v>
      </c>
      <c r="B496" t="s">
        <v>72</v>
      </c>
      <c r="C496">
        <v>9</v>
      </c>
      <c r="D496">
        <v>1</v>
      </c>
      <c r="E496">
        <v>9</v>
      </c>
      <c r="F496">
        <v>5.1429944729999999</v>
      </c>
      <c r="G496">
        <v>13.628935350000001</v>
      </c>
      <c r="H496">
        <v>2.1400000002152999</v>
      </c>
      <c r="I496">
        <v>2.1400000002153E-3</v>
      </c>
      <c r="J496">
        <v>2.1400000002152999E-6</v>
      </c>
      <c r="K496">
        <v>4.7178868004746502E-3</v>
      </c>
      <c r="L496" s="3">
        <v>1.0999999999999999E-2</v>
      </c>
      <c r="M496" s="3">
        <v>3.01</v>
      </c>
      <c r="N496">
        <v>5.7606583930870299</v>
      </c>
      <c r="O496" s="2">
        <v>8.6224209856518694</v>
      </c>
      <c r="P496" s="2">
        <v>7.2050441633690196</v>
      </c>
      <c r="Q496" s="2">
        <v>17.3156552832709</v>
      </c>
      <c r="R496" s="2">
        <v>45.8864865006679</v>
      </c>
      <c r="S496">
        <v>9</v>
      </c>
      <c r="T496">
        <v>0.32</v>
      </c>
      <c r="U496">
        <v>-0.91</v>
      </c>
    </row>
    <row r="497" spans="1:21" x14ac:dyDescent="0.25">
      <c r="A497" s="2" t="s">
        <v>49</v>
      </c>
      <c r="B497" t="s">
        <v>50</v>
      </c>
      <c r="C497">
        <v>9</v>
      </c>
      <c r="D497">
        <v>1</v>
      </c>
      <c r="E497">
        <v>9</v>
      </c>
      <c r="F497">
        <v>2643.5952900000002</v>
      </c>
      <c r="G497">
        <v>7005.5275179999999</v>
      </c>
      <c r="H497">
        <v>1100.000000169</v>
      </c>
      <c r="I497">
        <v>1.100000000169</v>
      </c>
      <c r="J497">
        <v>1.1000000001690001E-3</v>
      </c>
      <c r="K497">
        <v>2.4250820003725799</v>
      </c>
      <c r="L497" s="3">
        <v>1.2E-2</v>
      </c>
      <c r="M497" s="3">
        <v>3.1</v>
      </c>
      <c r="N497">
        <v>39.876163449959897</v>
      </c>
      <c r="O497" s="2">
        <v>47.132734314900802</v>
      </c>
      <c r="P497" s="2">
        <v>1847.06175226286</v>
      </c>
      <c r="Q497" s="2">
        <v>4438.9852253373101</v>
      </c>
      <c r="R497" s="2">
        <v>11763.310847143901</v>
      </c>
      <c r="S497" s="2">
        <v>54.3</v>
      </c>
      <c r="T497" s="2">
        <v>0.22500000000000001</v>
      </c>
      <c r="U497" s="2">
        <v>0</v>
      </c>
    </row>
    <row r="498" spans="1:21" x14ac:dyDescent="0.25">
      <c r="A498" t="s">
        <v>55</v>
      </c>
      <c r="B498" t="s">
        <v>56</v>
      </c>
      <c r="C498">
        <v>9</v>
      </c>
      <c r="D498">
        <v>1</v>
      </c>
      <c r="E498">
        <v>9</v>
      </c>
      <c r="F498">
        <v>18022.110069999999</v>
      </c>
      <c r="G498">
        <v>47758.591679999998</v>
      </c>
      <c r="H498">
        <v>7499</v>
      </c>
      <c r="I498">
        <v>7.4989999999999997</v>
      </c>
      <c r="J498">
        <v>7.4989999999999996E-3</v>
      </c>
      <c r="K498">
        <v>16.532445379999999</v>
      </c>
      <c r="L498">
        <v>1.2999999999999999E-2</v>
      </c>
      <c r="M498">
        <v>3</v>
      </c>
      <c r="N498">
        <v>83.244075370000004</v>
      </c>
      <c r="O498">
        <v>87.380222263343697</v>
      </c>
      <c r="P498">
        <v>8673.2684272407605</v>
      </c>
      <c r="Q498">
        <v>20844.192326942499</v>
      </c>
      <c r="R498">
        <v>55237.109666397599</v>
      </c>
      <c r="S498">
        <v>152</v>
      </c>
      <c r="T498">
        <v>9.6000000000000002E-2</v>
      </c>
      <c r="U498">
        <v>0.09</v>
      </c>
    </row>
    <row r="499" spans="1:21" x14ac:dyDescent="0.25">
      <c r="A499" t="s">
        <v>75</v>
      </c>
      <c r="B499" t="s">
        <v>76</v>
      </c>
      <c r="C499">
        <v>9</v>
      </c>
      <c r="D499">
        <v>2</v>
      </c>
      <c r="E499">
        <v>18</v>
      </c>
      <c r="F499">
        <v>2643.5952900000002</v>
      </c>
      <c r="G499">
        <v>7005.5275179999999</v>
      </c>
      <c r="H499">
        <v>1100</v>
      </c>
      <c r="I499">
        <v>1.1000000000000001</v>
      </c>
      <c r="J499">
        <v>1.1000000000000001E-3</v>
      </c>
      <c r="K499">
        <v>2.4250820000000002</v>
      </c>
      <c r="L499">
        <v>2.5000000000000001E-3</v>
      </c>
      <c r="M499">
        <v>3.1</v>
      </c>
      <c r="N499">
        <v>66.140672339999995</v>
      </c>
      <c r="O499">
        <v>104.220945610421</v>
      </c>
      <c r="P499">
        <v>4504.0223547646401</v>
      </c>
      <c r="Q499">
        <v>10824.3748011647</v>
      </c>
      <c r="R499">
        <v>28684.5932230865</v>
      </c>
      <c r="S499">
        <v>122</v>
      </c>
      <c r="T499">
        <v>0.107</v>
      </c>
      <c r="U499">
        <v>0</v>
      </c>
    </row>
    <row r="500" spans="1:21" x14ac:dyDescent="0.25">
      <c r="A500" t="s">
        <v>73</v>
      </c>
      <c r="B500" t="s">
        <v>74</v>
      </c>
      <c r="C500">
        <v>9</v>
      </c>
      <c r="D500">
        <v>2</v>
      </c>
      <c r="E500">
        <v>18</v>
      </c>
      <c r="F500">
        <v>2643.5952900000002</v>
      </c>
      <c r="G500">
        <v>7005.5275179999999</v>
      </c>
      <c r="H500">
        <v>1100</v>
      </c>
      <c r="I500">
        <v>1.1000000000000001</v>
      </c>
      <c r="J500">
        <v>1.1000000000000001E-3</v>
      </c>
      <c r="K500">
        <v>2.4250820000000002</v>
      </c>
      <c r="L500">
        <v>1.4E-2</v>
      </c>
      <c r="M500">
        <v>2.8</v>
      </c>
      <c r="N500">
        <v>56.015575650000002</v>
      </c>
      <c r="O500">
        <v>42.992393863203603</v>
      </c>
      <c r="P500">
        <v>524.35400980298004</v>
      </c>
      <c r="Q500">
        <v>1260.1634458134599</v>
      </c>
      <c r="R500">
        <v>3339.4331314056599</v>
      </c>
      <c r="S500">
        <v>43</v>
      </c>
      <c r="T500">
        <v>0.48</v>
      </c>
      <c r="U500">
        <v>0</v>
      </c>
    </row>
    <row r="501" spans="1:21" x14ac:dyDescent="0.25">
      <c r="A501" s="2" t="s">
        <v>51</v>
      </c>
      <c r="B501" t="s">
        <v>52</v>
      </c>
      <c r="C501">
        <v>9</v>
      </c>
      <c r="D501">
        <v>1</v>
      </c>
      <c r="E501">
        <v>9</v>
      </c>
      <c r="F501">
        <v>4109.5890410000002</v>
      </c>
      <c r="G501">
        <v>10890.410959999999</v>
      </c>
      <c r="H501">
        <v>1709.9999999601</v>
      </c>
      <c r="I501">
        <v>1.7099999999601001</v>
      </c>
      <c r="J501">
        <v>1.7099999999601E-3</v>
      </c>
      <c r="K501">
        <v>3.7699001999120401</v>
      </c>
      <c r="L501" s="3">
        <v>1.24E-2</v>
      </c>
      <c r="M501" s="3">
        <v>3.2</v>
      </c>
      <c r="N501">
        <v>40.375415800387898</v>
      </c>
      <c r="O501" s="2">
        <v>17.524649539874201</v>
      </c>
      <c r="P501" s="2">
        <v>118.331284386763</v>
      </c>
      <c r="Q501" s="2">
        <v>284.38184183312501</v>
      </c>
      <c r="R501" s="2">
        <v>753.61188085778201</v>
      </c>
      <c r="S501">
        <v>20.9</v>
      </c>
      <c r="T501">
        <v>0.19500000000000001</v>
      </c>
      <c r="U501">
        <v>-0.35</v>
      </c>
    </row>
    <row r="502" spans="1:21" x14ac:dyDescent="0.25">
      <c r="A502" t="s">
        <v>85</v>
      </c>
      <c r="B502" t="s">
        <v>86</v>
      </c>
      <c r="C502">
        <v>9</v>
      </c>
      <c r="D502">
        <v>7</v>
      </c>
      <c r="E502">
        <v>63</v>
      </c>
      <c r="F502">
        <v>64280.782099999997</v>
      </c>
      <c r="G502">
        <v>170344.27299999999</v>
      </c>
      <c r="H502">
        <v>26747.23343</v>
      </c>
      <c r="I502">
        <v>26.747233430000001</v>
      </c>
      <c r="J502">
        <v>2.6747232999999999E-2</v>
      </c>
      <c r="K502">
        <v>58.967485770000003</v>
      </c>
      <c r="L502">
        <v>5.2399999999999999E-3</v>
      </c>
      <c r="M502">
        <v>3.141</v>
      </c>
      <c r="N502">
        <v>136.64977099999999</v>
      </c>
      <c r="O502" s="2">
        <v>309.07520208453201</v>
      </c>
      <c r="P502" s="2">
        <v>347234.46066853101</v>
      </c>
      <c r="Q502" s="2">
        <v>834497.6223709</v>
      </c>
      <c r="R502" s="2">
        <v>2211418.6992828799</v>
      </c>
      <c r="S502">
        <v>309.24444444444401</v>
      </c>
      <c r="T502">
        <v>0.13655555555555601</v>
      </c>
      <c r="U502">
        <v>8</v>
      </c>
    </row>
    <row r="503" spans="1:21" x14ac:dyDescent="0.25">
      <c r="A503" t="s">
        <v>77</v>
      </c>
      <c r="B503" t="s">
        <v>78</v>
      </c>
      <c r="C503">
        <v>9</v>
      </c>
      <c r="D503">
        <v>3</v>
      </c>
      <c r="E503">
        <v>27</v>
      </c>
      <c r="F503">
        <v>185026.83429999999</v>
      </c>
      <c r="G503">
        <v>490321.11090000003</v>
      </c>
      <c r="H503">
        <v>76989.66575</v>
      </c>
      <c r="I503">
        <v>76.98966575</v>
      </c>
      <c r="J503">
        <v>7.6989665999999998E-2</v>
      </c>
      <c r="K503">
        <v>169.7329569</v>
      </c>
      <c r="L503">
        <v>3.5000000000000003E-2</v>
      </c>
      <c r="M503">
        <v>2.9</v>
      </c>
      <c r="N503">
        <v>153.8233281</v>
      </c>
      <c r="O503" s="2">
        <v>208.40671428253</v>
      </c>
      <c r="P503" s="2">
        <v>185742.802324388</v>
      </c>
      <c r="Q503" s="2">
        <v>446389.81572792202</v>
      </c>
      <c r="R503" s="2">
        <v>1182933.01167899</v>
      </c>
      <c r="S503">
        <v>208.40700000000001</v>
      </c>
      <c r="T503">
        <v>0.5</v>
      </c>
      <c r="U503">
        <v>0</v>
      </c>
    </row>
    <row r="504" spans="1:21" x14ac:dyDescent="0.25">
      <c r="A504" t="s">
        <v>79</v>
      </c>
      <c r="B504" t="s">
        <v>80</v>
      </c>
      <c r="C504">
        <v>9</v>
      </c>
      <c r="D504">
        <v>2</v>
      </c>
      <c r="E504">
        <v>18</v>
      </c>
      <c r="F504">
        <v>4109.5890410000002</v>
      </c>
      <c r="G504">
        <v>10890.410959999999</v>
      </c>
      <c r="H504">
        <v>1710</v>
      </c>
      <c r="I504">
        <v>1.71</v>
      </c>
      <c r="J504">
        <v>1.7099999999999999E-3</v>
      </c>
      <c r="K504">
        <v>3.7699001999999999</v>
      </c>
      <c r="L504">
        <v>3.3999999999999998E-3</v>
      </c>
      <c r="M504">
        <v>3.2850000000000001</v>
      </c>
      <c r="N504">
        <v>40.375415799999999</v>
      </c>
      <c r="O504">
        <v>57.091427056322701</v>
      </c>
      <c r="P504">
        <v>5181.4171851236797</v>
      </c>
      <c r="Q504">
        <v>12452.3364218305</v>
      </c>
      <c r="R504">
        <v>32998.691517850901</v>
      </c>
      <c r="S504">
        <v>59.9</v>
      </c>
      <c r="T504">
        <v>0.17</v>
      </c>
      <c r="U504">
        <v>0</v>
      </c>
    </row>
    <row r="505" spans="1:21" x14ac:dyDescent="0.25">
      <c r="A505" t="s">
        <v>81</v>
      </c>
      <c r="B505" t="s">
        <v>82</v>
      </c>
      <c r="C505">
        <v>9</v>
      </c>
      <c r="D505">
        <v>2</v>
      </c>
      <c r="E505">
        <v>18</v>
      </c>
      <c r="F505">
        <v>2643.5952900000002</v>
      </c>
      <c r="G505">
        <v>7005.5275179999999</v>
      </c>
      <c r="H505">
        <v>1100</v>
      </c>
      <c r="I505">
        <v>1.1000000000000001</v>
      </c>
      <c r="J505">
        <v>1.1000000000000001E-3</v>
      </c>
      <c r="K505">
        <v>2.4250820000000002</v>
      </c>
      <c r="L505">
        <v>1.4999999999999999E-2</v>
      </c>
      <c r="M505">
        <v>3</v>
      </c>
      <c r="N505">
        <v>41.85690786</v>
      </c>
      <c r="O505">
        <v>101.029904306681</v>
      </c>
      <c r="P505">
        <v>15468.246487307701</v>
      </c>
      <c r="Q505">
        <v>37174.3486837483</v>
      </c>
      <c r="R505">
        <v>98512.024011932997</v>
      </c>
      <c r="S505">
        <v>106</v>
      </c>
      <c r="T505">
        <v>0.17</v>
      </c>
      <c r="U505">
        <v>0</v>
      </c>
    </row>
    <row r="506" spans="1:21" x14ac:dyDescent="0.25">
      <c r="A506" t="s">
        <v>83</v>
      </c>
      <c r="B506" t="s">
        <v>84</v>
      </c>
      <c r="C506">
        <v>9</v>
      </c>
      <c r="D506">
        <v>7</v>
      </c>
      <c r="E506">
        <v>63</v>
      </c>
      <c r="F506">
        <v>64280.782099999997</v>
      </c>
      <c r="G506">
        <v>170344.27299999999</v>
      </c>
      <c r="H506">
        <v>26747.23343</v>
      </c>
      <c r="I506">
        <v>26.747233430000001</v>
      </c>
      <c r="J506">
        <v>2.6747232999999999E-2</v>
      </c>
      <c r="K506">
        <v>58.967485770000003</v>
      </c>
      <c r="L506">
        <v>5.4000000000000003E-3</v>
      </c>
      <c r="M506">
        <v>3</v>
      </c>
      <c r="N506">
        <v>170.46231</v>
      </c>
      <c r="O506">
        <v>279.812356313083</v>
      </c>
      <c r="P506">
        <v>118302.637183698</v>
      </c>
      <c r="Q506">
        <v>284312.994913959</v>
      </c>
      <c r="R506">
        <v>753429.43652199197</v>
      </c>
      <c r="S506">
        <v>280</v>
      </c>
      <c r="T506">
        <v>0.11600000000000001</v>
      </c>
      <c r="U506">
        <v>0</v>
      </c>
    </row>
    <row r="507" spans="1:21" x14ac:dyDescent="0.25">
      <c r="A507" t="s">
        <v>91</v>
      </c>
      <c r="B507" t="s">
        <v>92</v>
      </c>
      <c r="C507">
        <v>9</v>
      </c>
      <c r="D507">
        <v>2</v>
      </c>
      <c r="E507">
        <v>18</v>
      </c>
      <c r="F507">
        <v>2643.5952900000002</v>
      </c>
      <c r="G507">
        <v>7005.5275179999999</v>
      </c>
      <c r="H507">
        <v>1100</v>
      </c>
      <c r="I507">
        <v>1.1000000000000001</v>
      </c>
      <c r="J507">
        <v>1.1000000000000001E-3</v>
      </c>
      <c r="K507">
        <v>2.4250820000000002</v>
      </c>
      <c r="L507">
        <v>1.2999999999999999E-2</v>
      </c>
      <c r="M507">
        <v>3</v>
      </c>
      <c r="N507">
        <v>43.901879260000001</v>
      </c>
      <c r="O507">
        <v>58.230711416670999</v>
      </c>
      <c r="P507">
        <v>2566.84497585294</v>
      </c>
      <c r="Q507">
        <v>6168.8175338931596</v>
      </c>
      <c r="R507">
        <v>16347.3664648169</v>
      </c>
      <c r="S507">
        <v>60.2</v>
      </c>
      <c r="T507">
        <v>0.19</v>
      </c>
      <c r="U507">
        <v>0</v>
      </c>
    </row>
    <row r="508" spans="1:21" x14ac:dyDescent="0.25">
      <c r="A508" t="s">
        <v>87</v>
      </c>
      <c r="B508" t="s">
        <v>88</v>
      </c>
      <c r="C508">
        <v>9</v>
      </c>
      <c r="D508">
        <v>2</v>
      </c>
      <c r="E508">
        <v>18</v>
      </c>
      <c r="F508">
        <v>2643.5952900000002</v>
      </c>
      <c r="G508">
        <v>7005.5275179999999</v>
      </c>
      <c r="H508">
        <v>1100</v>
      </c>
      <c r="I508">
        <v>1.1000000000000001</v>
      </c>
      <c r="J508">
        <v>1.1000000000000001E-3</v>
      </c>
      <c r="K508">
        <v>2.4250820000000002</v>
      </c>
      <c r="L508">
        <v>6.0000000000000001E-3</v>
      </c>
      <c r="M508">
        <v>3.1</v>
      </c>
      <c r="N508">
        <v>49.867755070000001</v>
      </c>
      <c r="O508">
        <v>30.517672615040301</v>
      </c>
      <c r="P508">
        <v>240.02728929089099</v>
      </c>
      <c r="Q508">
        <v>576.850010312162</v>
      </c>
      <c r="R508">
        <v>1528.65252732723</v>
      </c>
      <c r="S508">
        <v>31.4</v>
      </c>
      <c r="T508">
        <v>0.19</v>
      </c>
      <c r="U508">
        <v>-0.8</v>
      </c>
    </row>
    <row r="509" spans="1:21" x14ac:dyDescent="0.25">
      <c r="A509" t="s">
        <v>93</v>
      </c>
      <c r="B509" t="s">
        <v>94</v>
      </c>
      <c r="C509">
        <v>9</v>
      </c>
      <c r="D509">
        <v>9</v>
      </c>
      <c r="E509">
        <v>81</v>
      </c>
      <c r="F509">
        <v>1772528862</v>
      </c>
      <c r="G509">
        <v>4697201484</v>
      </c>
      <c r="H509">
        <v>737549259.5</v>
      </c>
      <c r="I509">
        <v>737549.25950000004</v>
      </c>
      <c r="J509">
        <v>737.54925949999995</v>
      </c>
      <c r="K509">
        <v>1626015.848</v>
      </c>
      <c r="L509" s="2">
        <v>1.7000000000000001E-2</v>
      </c>
      <c r="M509">
        <v>3</v>
      </c>
      <c r="N509">
        <v>1544.971047</v>
      </c>
      <c r="O509" s="2">
        <v>1584.95999745578</v>
      </c>
      <c r="P509" s="2">
        <v>67686777.489376798</v>
      </c>
      <c r="Q509" s="2">
        <v>162669496.48973</v>
      </c>
      <c r="R509" s="2">
        <v>431074165.69778502</v>
      </c>
      <c r="S509">
        <v>1584.96</v>
      </c>
      <c r="T509" s="2">
        <v>0.25</v>
      </c>
      <c r="U509">
        <v>0</v>
      </c>
    </row>
    <row r="510" spans="1:21" x14ac:dyDescent="0.25">
      <c r="A510" t="s">
        <v>109</v>
      </c>
      <c r="B510" t="s">
        <v>110</v>
      </c>
      <c r="C510">
        <v>9</v>
      </c>
      <c r="D510">
        <v>5</v>
      </c>
      <c r="E510">
        <v>45</v>
      </c>
      <c r="F510">
        <v>7678.7389750000002</v>
      </c>
      <c r="G510">
        <v>20348.65828</v>
      </c>
      <c r="H510">
        <v>3195.1232869999999</v>
      </c>
      <c r="I510">
        <v>3.1951232869999999</v>
      </c>
      <c r="J510">
        <v>3.1951229999999998E-3</v>
      </c>
      <c r="K510">
        <v>7.044032702</v>
      </c>
      <c r="L510">
        <v>4.3E-3</v>
      </c>
      <c r="M510">
        <v>3.1</v>
      </c>
      <c r="N510">
        <v>78.320806329999996</v>
      </c>
      <c r="O510">
        <v>168.62718420839201</v>
      </c>
      <c r="P510">
        <v>34430.551456728099</v>
      </c>
      <c r="Q510">
        <v>82745.857862840901</v>
      </c>
      <c r="R510">
        <v>219276.52333652799</v>
      </c>
      <c r="S510">
        <v>186</v>
      </c>
      <c r="T510">
        <v>4.5999999999999999E-2</v>
      </c>
      <c r="U510">
        <v>-6.54</v>
      </c>
    </row>
    <row r="511" spans="1:21" x14ac:dyDescent="0.25">
      <c r="A511" t="s">
        <v>99</v>
      </c>
      <c r="B511" t="s">
        <v>100</v>
      </c>
      <c r="C511">
        <v>9</v>
      </c>
      <c r="D511">
        <v>2</v>
      </c>
      <c r="E511">
        <v>18</v>
      </c>
      <c r="F511">
        <v>2643.5952900000002</v>
      </c>
      <c r="G511">
        <v>7005.5275179999999</v>
      </c>
      <c r="H511">
        <v>1100</v>
      </c>
      <c r="I511">
        <v>1.1000000000000001</v>
      </c>
      <c r="J511">
        <v>1.1000000000000001E-3</v>
      </c>
      <c r="K511">
        <v>2.4250820000000002</v>
      </c>
      <c r="L511">
        <v>1.4999999999999999E-2</v>
      </c>
      <c r="M511">
        <v>3.1</v>
      </c>
      <c r="N511">
        <v>37.106677779999998</v>
      </c>
      <c r="O511">
        <v>40.411961722672501</v>
      </c>
      <c r="P511">
        <v>1433.0853330964401</v>
      </c>
      <c r="Q511">
        <v>3444.08876014525</v>
      </c>
      <c r="R511">
        <v>9126.8352143849297</v>
      </c>
      <c r="S511">
        <v>42.4</v>
      </c>
      <c r="T511">
        <v>0.17</v>
      </c>
      <c r="U511">
        <v>0</v>
      </c>
    </row>
    <row r="512" spans="1:21" x14ac:dyDescent="0.25">
      <c r="A512" t="s">
        <v>97</v>
      </c>
      <c r="B512" t="s">
        <v>98</v>
      </c>
      <c r="C512">
        <v>9</v>
      </c>
      <c r="D512">
        <v>2</v>
      </c>
      <c r="E512">
        <v>18</v>
      </c>
      <c r="F512">
        <v>27188.59073</v>
      </c>
      <c r="G512">
        <v>72049.765429999999</v>
      </c>
      <c r="H512">
        <v>11313.1726</v>
      </c>
      <c r="I512">
        <v>11.3131726</v>
      </c>
      <c r="J512">
        <v>1.1313172999999999E-2</v>
      </c>
      <c r="K512">
        <v>24.941246580000001</v>
      </c>
      <c r="L512" s="2">
        <v>6.5000000000000002E-2</v>
      </c>
      <c r="M512">
        <v>3</v>
      </c>
      <c r="N512">
        <v>82.702405010000007</v>
      </c>
      <c r="O512">
        <v>23.599967645365599</v>
      </c>
      <c r="P512">
        <v>854.37312605856403</v>
      </c>
      <c r="Q512">
        <v>2053.2879741854499</v>
      </c>
      <c r="R512">
        <v>5441.2131315914303</v>
      </c>
      <c r="S512">
        <v>23.6</v>
      </c>
      <c r="T512">
        <v>0.75</v>
      </c>
      <c r="U512">
        <v>0</v>
      </c>
    </row>
    <row r="513" spans="1:21" x14ac:dyDescent="0.25">
      <c r="A513" s="2" t="s">
        <v>47</v>
      </c>
      <c r="B513" t="s">
        <v>48</v>
      </c>
      <c r="C513">
        <v>9</v>
      </c>
      <c r="D513">
        <v>1</v>
      </c>
      <c r="E513">
        <v>9</v>
      </c>
      <c r="F513">
        <v>372.74693589999998</v>
      </c>
      <c r="G513">
        <v>987.77937999999995</v>
      </c>
      <c r="H513">
        <v>155.10000002799001</v>
      </c>
      <c r="I513">
        <v>0.15510000002798999</v>
      </c>
      <c r="J513">
        <v>1.5510000002799001E-4</v>
      </c>
      <c r="K513">
        <v>0.34193656206170697</v>
      </c>
      <c r="L513" s="3">
        <v>1.23E-2</v>
      </c>
      <c r="M513" s="3">
        <v>3.2</v>
      </c>
      <c r="N513">
        <v>19.119249450601199</v>
      </c>
      <c r="O513" s="2">
        <v>38.998658302082802</v>
      </c>
      <c r="P513" s="2">
        <v>1517.97298458809</v>
      </c>
      <c r="Q513" s="2">
        <v>3648.0965743525499</v>
      </c>
      <c r="R513" s="2">
        <v>9667.4559220342508</v>
      </c>
      <c r="S513" s="2">
        <v>39.200000000000003</v>
      </c>
      <c r="T513" s="2">
        <v>0.58571428571428596</v>
      </c>
      <c r="U513" s="2">
        <v>0</v>
      </c>
    </row>
    <row r="514" spans="1:21" x14ac:dyDescent="0.25">
      <c r="A514" t="s">
        <v>103</v>
      </c>
      <c r="B514" t="s">
        <v>104</v>
      </c>
      <c r="C514">
        <v>9</v>
      </c>
      <c r="D514">
        <v>1</v>
      </c>
      <c r="E514">
        <v>9</v>
      </c>
      <c r="F514">
        <v>3845.2295119999999</v>
      </c>
      <c r="G514">
        <v>10189.85821</v>
      </c>
      <c r="H514">
        <v>1600</v>
      </c>
      <c r="I514">
        <v>1.6</v>
      </c>
      <c r="J514">
        <v>1.6000000000000001E-3</v>
      </c>
      <c r="K514">
        <v>3.5273919999999999</v>
      </c>
      <c r="L514">
        <v>1.2999999999999999E-2</v>
      </c>
      <c r="M514">
        <v>2.8</v>
      </c>
      <c r="N514">
        <v>65.753704429999999</v>
      </c>
      <c r="O514">
        <v>52.457425079931603</v>
      </c>
      <c r="P514">
        <v>849.96856780960195</v>
      </c>
      <c r="Q514">
        <v>2042.70263833118</v>
      </c>
      <c r="R514">
        <v>5413.16199157762</v>
      </c>
      <c r="S514">
        <v>65.400000000000006</v>
      </c>
      <c r="T514">
        <v>0.18</v>
      </c>
      <c r="U514">
        <v>0</v>
      </c>
    </row>
    <row r="515" spans="1:21" x14ac:dyDescent="0.25">
      <c r="A515" s="2" t="s">
        <v>105</v>
      </c>
      <c r="B515" t="s">
        <v>106</v>
      </c>
      <c r="C515">
        <v>9</v>
      </c>
      <c r="D515">
        <v>3</v>
      </c>
      <c r="E515">
        <v>27</v>
      </c>
      <c r="F515">
        <v>30000</v>
      </c>
      <c r="G515">
        <v>79500</v>
      </c>
      <c r="H515">
        <v>12483</v>
      </c>
      <c r="I515">
        <v>12.483000000000001</v>
      </c>
      <c r="J515">
        <v>1.2482999999999999E-2</v>
      </c>
      <c r="K515">
        <v>27.512532</v>
      </c>
      <c r="L515" s="3">
        <v>1.2699999999999999E-2</v>
      </c>
      <c r="M515" s="3">
        <v>3.1</v>
      </c>
      <c r="N515">
        <v>85.717488006455099</v>
      </c>
      <c r="O515" s="2">
        <v>108.24668882222301</v>
      </c>
      <c r="P515" s="2">
        <v>25732.9185013606</v>
      </c>
      <c r="Q515" s="2">
        <v>61843.111034271897</v>
      </c>
      <c r="R515" s="2">
        <v>163884.24424082099</v>
      </c>
      <c r="S515">
        <v>109.97499999999999</v>
      </c>
      <c r="T515">
        <v>0.14749999999999999</v>
      </c>
      <c r="U515">
        <v>-1.1566666666666701</v>
      </c>
    </row>
    <row r="516" spans="1:21" x14ac:dyDescent="0.25">
      <c r="A516" t="s">
        <v>115</v>
      </c>
      <c r="B516" t="s">
        <v>116</v>
      </c>
      <c r="C516">
        <v>9</v>
      </c>
      <c r="D516">
        <v>7</v>
      </c>
      <c r="E516">
        <v>63</v>
      </c>
      <c r="F516">
        <v>9236057.7970000003</v>
      </c>
      <c r="G516">
        <v>24475553.16</v>
      </c>
      <c r="H516">
        <v>3843123.6490000002</v>
      </c>
      <c r="I516">
        <v>3843.1236490000001</v>
      </c>
      <c r="J516">
        <v>3.8431236489999998</v>
      </c>
      <c r="K516">
        <v>8472.6272599999993</v>
      </c>
      <c r="L516" s="2">
        <v>1.4999999999999999E-2</v>
      </c>
      <c r="M516">
        <v>3</v>
      </c>
      <c r="N516">
        <v>727.04526869999995</v>
      </c>
      <c r="O516" s="2">
        <v>271.77996072832701</v>
      </c>
      <c r="P516" s="2">
        <v>301122.74012131902</v>
      </c>
      <c r="Q516" s="2">
        <v>723678.77943119197</v>
      </c>
      <c r="R516" s="2">
        <v>1917748.76549266</v>
      </c>
      <c r="S516">
        <v>271.77999999999997</v>
      </c>
      <c r="T516">
        <v>0.25</v>
      </c>
      <c r="U516">
        <v>0</v>
      </c>
    </row>
    <row r="517" spans="1:21" x14ac:dyDescent="0.25">
      <c r="A517" t="s">
        <v>107</v>
      </c>
      <c r="B517" t="s">
        <v>108</v>
      </c>
      <c r="C517">
        <v>9</v>
      </c>
      <c r="D517">
        <v>5</v>
      </c>
      <c r="E517">
        <v>45</v>
      </c>
      <c r="F517">
        <v>7678.7389750000002</v>
      </c>
      <c r="G517">
        <v>20348.65828</v>
      </c>
      <c r="H517">
        <v>3195.1232869999999</v>
      </c>
      <c r="I517">
        <v>3.1951232869999999</v>
      </c>
      <c r="J517">
        <v>3.1951229999999998E-3</v>
      </c>
      <c r="K517">
        <v>7.044032702</v>
      </c>
      <c r="L517">
        <v>3.5999999999999999E-3</v>
      </c>
      <c r="M517">
        <v>3</v>
      </c>
      <c r="N517">
        <v>96.101103210000005</v>
      </c>
      <c r="O517">
        <v>131.003869622228</v>
      </c>
      <c r="P517">
        <v>8093.8448123255803</v>
      </c>
      <c r="Q517">
        <v>19451.681836879499</v>
      </c>
      <c r="R517">
        <v>51546.956867730798</v>
      </c>
      <c r="S517">
        <v>150</v>
      </c>
      <c r="T517">
        <v>4.1000000000000002E-2</v>
      </c>
      <c r="U517">
        <v>-5.4</v>
      </c>
    </row>
    <row r="518" spans="1:21" x14ac:dyDescent="0.25">
      <c r="A518" t="s">
        <v>41</v>
      </c>
      <c r="B518" t="s">
        <v>42</v>
      </c>
      <c r="C518">
        <v>9</v>
      </c>
      <c r="D518">
        <v>4</v>
      </c>
      <c r="E518">
        <v>36</v>
      </c>
      <c r="F518">
        <v>28445.111649999999</v>
      </c>
      <c r="G518">
        <v>75379.545880000005</v>
      </c>
      <c r="H518">
        <v>11836.01096</v>
      </c>
      <c r="I518">
        <v>11.836010959999999</v>
      </c>
      <c r="J518">
        <v>1.1836011E-2</v>
      </c>
      <c r="K518">
        <v>26.093906480000001</v>
      </c>
      <c r="L518">
        <v>1.34E-2</v>
      </c>
      <c r="M518">
        <v>3.1</v>
      </c>
      <c r="N518">
        <v>82.812701989999994</v>
      </c>
      <c r="O518">
        <v>90.550729066764205</v>
      </c>
      <c r="P518">
        <v>15612.4063975565</v>
      </c>
      <c r="Q518">
        <v>37520.803647095803</v>
      </c>
      <c r="R518">
        <v>99430.129664803797</v>
      </c>
      <c r="S518">
        <v>91.5</v>
      </c>
      <c r="T518">
        <v>0.12690000000000001</v>
      </c>
      <c r="U518">
        <v>0</v>
      </c>
    </row>
    <row r="519" spans="1:21" x14ac:dyDescent="0.25">
      <c r="A519" t="s">
        <v>111</v>
      </c>
      <c r="B519" t="s">
        <v>112</v>
      </c>
      <c r="C519">
        <v>9</v>
      </c>
      <c r="D519">
        <v>2</v>
      </c>
      <c r="E519">
        <v>18</v>
      </c>
      <c r="F519">
        <v>2643.5952900000002</v>
      </c>
      <c r="G519">
        <v>7005.5275179999999</v>
      </c>
      <c r="H519">
        <v>1100</v>
      </c>
      <c r="I519">
        <v>1.1000000000000001</v>
      </c>
      <c r="J519">
        <v>1.1000000000000001E-3</v>
      </c>
      <c r="K519">
        <v>2.4250820000000002</v>
      </c>
      <c r="L519">
        <v>1.2200000000000001E-2</v>
      </c>
      <c r="M519">
        <v>2.9</v>
      </c>
      <c r="N519">
        <v>51.12484671</v>
      </c>
      <c r="O519">
        <v>95.101903533048699</v>
      </c>
      <c r="P519">
        <v>6654.3944211897197</v>
      </c>
      <c r="Q519">
        <v>15992.296133596999</v>
      </c>
      <c r="R519">
        <v>42379.584754032097</v>
      </c>
      <c r="S519">
        <v>98.7</v>
      </c>
      <c r="T519">
        <v>0.158</v>
      </c>
      <c r="U519">
        <v>-2.96</v>
      </c>
    </row>
    <row r="520" spans="1:21" x14ac:dyDescent="0.25">
      <c r="A520" t="s">
        <v>113</v>
      </c>
      <c r="B520" t="s">
        <v>114</v>
      </c>
      <c r="C520">
        <v>9</v>
      </c>
      <c r="D520">
        <v>2</v>
      </c>
      <c r="E520">
        <v>18</v>
      </c>
      <c r="F520">
        <v>4109.5890410000002</v>
      </c>
      <c r="G520">
        <v>10890.410959999999</v>
      </c>
      <c r="H520">
        <v>1710</v>
      </c>
      <c r="I520">
        <v>1.71</v>
      </c>
      <c r="J520">
        <v>1.7099999999999999E-3</v>
      </c>
      <c r="K520">
        <v>3.7699001999999999</v>
      </c>
      <c r="L520">
        <v>1.2E-2</v>
      </c>
      <c r="M520">
        <v>3.05</v>
      </c>
      <c r="N520">
        <v>48.952555150000002</v>
      </c>
      <c r="O520">
        <v>84.1082660663741</v>
      </c>
      <c r="P520">
        <v>8911.2621458725098</v>
      </c>
      <c r="Q520">
        <v>21416.155121058699</v>
      </c>
      <c r="R520">
        <v>56752.811070805401</v>
      </c>
      <c r="S520">
        <v>85.9</v>
      </c>
      <c r="T520">
        <v>0.215</v>
      </c>
      <c r="U520">
        <v>0</v>
      </c>
    </row>
    <row r="521" spans="1:21" x14ac:dyDescent="0.25">
      <c r="A521" t="s">
        <v>117</v>
      </c>
      <c r="B521" t="s">
        <v>118</v>
      </c>
      <c r="C521">
        <v>9</v>
      </c>
      <c r="D521">
        <v>2</v>
      </c>
      <c r="E521">
        <v>18</v>
      </c>
      <c r="F521">
        <v>2643.5952900000002</v>
      </c>
      <c r="G521">
        <v>7005.5275179999999</v>
      </c>
      <c r="H521">
        <v>1100</v>
      </c>
      <c r="I521">
        <v>1.1000000000000001</v>
      </c>
      <c r="J521">
        <v>1.1000000000000001E-3</v>
      </c>
      <c r="K521">
        <v>2.4250820000000002</v>
      </c>
      <c r="L521">
        <v>1.4999999999999999E-2</v>
      </c>
      <c r="M521">
        <v>3</v>
      </c>
      <c r="N521">
        <v>41.85690786</v>
      </c>
      <c r="O521">
        <v>61.1001213821799</v>
      </c>
      <c r="P521">
        <v>3421.50735657306</v>
      </c>
      <c r="Q521">
        <v>8222.8006646793001</v>
      </c>
      <c r="R521">
        <v>21790.421761400099</v>
      </c>
      <c r="S521">
        <v>73.2</v>
      </c>
      <c r="T521">
        <v>0.1</v>
      </c>
      <c r="U521">
        <v>0</v>
      </c>
    </row>
    <row r="522" spans="1:21" x14ac:dyDescent="0.25">
      <c r="A522" t="s">
        <v>123</v>
      </c>
      <c r="B522" t="s">
        <v>124</v>
      </c>
      <c r="C522">
        <v>9</v>
      </c>
      <c r="D522">
        <v>2</v>
      </c>
      <c r="E522">
        <v>18</v>
      </c>
      <c r="F522">
        <v>2643.5952900000002</v>
      </c>
      <c r="G522">
        <v>7005.5275179999999</v>
      </c>
      <c r="H522">
        <v>1100</v>
      </c>
      <c r="I522">
        <v>1.1000000000000001</v>
      </c>
      <c r="J522">
        <v>1.1000000000000001E-3</v>
      </c>
      <c r="K522">
        <v>2.4250820000000002</v>
      </c>
      <c r="L522">
        <v>9.4999999999999998E-3</v>
      </c>
      <c r="M522">
        <v>3.1</v>
      </c>
      <c r="N522">
        <v>42.997344910000002</v>
      </c>
      <c r="O522">
        <v>99.997415482769895</v>
      </c>
      <c r="P522">
        <v>15055.279034998401</v>
      </c>
      <c r="Q522">
        <v>36181.877036766302</v>
      </c>
      <c r="R522">
        <v>95881.974147430607</v>
      </c>
      <c r="S522">
        <v>111</v>
      </c>
      <c r="T522">
        <v>0.13</v>
      </c>
      <c r="U522">
        <v>0.22</v>
      </c>
    </row>
    <row r="523" spans="1:21" x14ac:dyDescent="0.25">
      <c r="A523" t="s">
        <v>121</v>
      </c>
      <c r="B523" t="s">
        <v>122</v>
      </c>
      <c r="C523">
        <v>9</v>
      </c>
      <c r="D523">
        <v>7</v>
      </c>
      <c r="E523">
        <v>63</v>
      </c>
      <c r="F523">
        <v>9236057.7970000003</v>
      </c>
      <c r="G523">
        <v>24475553.16</v>
      </c>
      <c r="H523">
        <v>3843123.6490000002</v>
      </c>
      <c r="I523">
        <v>3843.1236490000001</v>
      </c>
      <c r="J523">
        <v>3.8431236489999998</v>
      </c>
      <c r="K523">
        <v>8472.6272599999993</v>
      </c>
      <c r="L523" s="2">
        <v>1E-3</v>
      </c>
      <c r="M523">
        <v>3</v>
      </c>
      <c r="N523">
        <v>727.04526869999995</v>
      </c>
      <c r="O523" s="2">
        <v>2615.7596220278501</v>
      </c>
      <c r="P523" s="2">
        <v>17897546.301228501</v>
      </c>
      <c r="Q523" s="2">
        <v>43012608.270195797</v>
      </c>
      <c r="R523" s="2">
        <v>113983411.91601899</v>
      </c>
      <c r="S523">
        <v>2615.7600000000002</v>
      </c>
      <c r="T523">
        <v>0.25</v>
      </c>
      <c r="U523">
        <v>0</v>
      </c>
    </row>
    <row r="524" spans="1:21" x14ac:dyDescent="0.25">
      <c r="A524" t="s">
        <v>119</v>
      </c>
      <c r="B524" t="s">
        <v>120</v>
      </c>
      <c r="C524">
        <v>9</v>
      </c>
      <c r="D524">
        <v>3</v>
      </c>
      <c r="E524">
        <v>27</v>
      </c>
      <c r="F524">
        <v>188385.81349999999</v>
      </c>
      <c r="G524">
        <v>499222.4057</v>
      </c>
      <c r="H524">
        <v>78387.337</v>
      </c>
      <c r="I524">
        <v>78.387337000000002</v>
      </c>
      <c r="J524">
        <v>7.8387337000000001E-2</v>
      </c>
      <c r="K524">
        <v>172.8142909</v>
      </c>
      <c r="L524">
        <v>2.1399999999999999E-2</v>
      </c>
      <c r="M524">
        <v>2.96</v>
      </c>
      <c r="N524">
        <v>165.0102253</v>
      </c>
      <c r="O524" s="2">
        <v>133.31908802063899</v>
      </c>
      <c r="P524" s="2">
        <v>41696.066099314703</v>
      </c>
      <c r="Q524" s="2">
        <v>100206.839940675</v>
      </c>
      <c r="R524" s="2">
        <v>265548.12584278802</v>
      </c>
      <c r="S524">
        <v>133.76666666666699</v>
      </c>
      <c r="T524">
        <v>0.3</v>
      </c>
      <c r="U524">
        <v>8</v>
      </c>
    </row>
    <row r="525" spans="1:21" x14ac:dyDescent="0.25">
      <c r="A525" t="s">
        <v>89</v>
      </c>
      <c r="B525" t="s">
        <v>90</v>
      </c>
      <c r="C525">
        <v>9</v>
      </c>
      <c r="D525">
        <v>8</v>
      </c>
      <c r="E525">
        <v>72</v>
      </c>
      <c r="F525">
        <v>84000</v>
      </c>
      <c r="G525">
        <v>223000</v>
      </c>
      <c r="H525">
        <v>34952.400000000001</v>
      </c>
      <c r="I525">
        <v>34.952399999999997</v>
      </c>
      <c r="J525">
        <v>3.4952400000000002E-2</v>
      </c>
      <c r="K525">
        <v>77.056760089999997</v>
      </c>
      <c r="L525" s="2">
        <v>0.05</v>
      </c>
      <c r="M525" s="2">
        <v>3.2</v>
      </c>
      <c r="N525">
        <v>205.2001631</v>
      </c>
      <c r="O525">
        <v>114.299869112637</v>
      </c>
      <c r="P525">
        <v>2986.5321541518801</v>
      </c>
      <c r="Q525">
        <v>7177.4384863058904</v>
      </c>
      <c r="R525">
        <v>19020.211988710598</v>
      </c>
      <c r="S525">
        <v>114.3</v>
      </c>
      <c r="T525">
        <v>0.19</v>
      </c>
      <c r="U525">
        <v>0</v>
      </c>
    </row>
    <row r="526" spans="1:21" x14ac:dyDescent="0.25">
      <c r="A526" t="s">
        <v>125</v>
      </c>
      <c r="B526" t="s">
        <v>126</v>
      </c>
      <c r="C526">
        <v>9</v>
      </c>
      <c r="D526">
        <v>1</v>
      </c>
      <c r="E526">
        <v>9</v>
      </c>
      <c r="F526">
        <v>21457.662420000001</v>
      </c>
      <c r="G526">
        <v>56862.805410000001</v>
      </c>
      <c r="H526">
        <v>8928.5333329999994</v>
      </c>
      <c r="I526">
        <v>8.9285333330000007</v>
      </c>
      <c r="J526">
        <v>8.9285330000000006E-3</v>
      </c>
      <c r="K526">
        <v>19.684023159999999</v>
      </c>
      <c r="L526">
        <v>1.4999999999999999E-2</v>
      </c>
      <c r="M526">
        <v>2.9</v>
      </c>
      <c r="N526">
        <v>98.010368600000007</v>
      </c>
      <c r="O526">
        <v>80.706526275278506</v>
      </c>
      <c r="P526">
        <v>5083.0731391647396</v>
      </c>
      <c r="Q526">
        <v>12215.9892794154</v>
      </c>
      <c r="R526">
        <v>32372.371590450799</v>
      </c>
      <c r="S526">
        <v>136</v>
      </c>
      <c r="T526">
        <v>0.1</v>
      </c>
      <c r="U526">
        <v>0</v>
      </c>
    </row>
    <row r="527" spans="1:21" x14ac:dyDescent="0.25">
      <c r="A527" t="s">
        <v>131</v>
      </c>
      <c r="B527" t="s">
        <v>132</v>
      </c>
      <c r="C527">
        <v>9</v>
      </c>
      <c r="D527">
        <v>2</v>
      </c>
      <c r="E527">
        <v>18</v>
      </c>
      <c r="F527">
        <v>4109.5890410000002</v>
      </c>
      <c r="G527">
        <v>10890.410959999999</v>
      </c>
      <c r="H527">
        <v>1710</v>
      </c>
      <c r="I527">
        <v>1.71</v>
      </c>
      <c r="J527">
        <v>1.7099999999999999E-3</v>
      </c>
      <c r="K527">
        <v>3.7699001999999999</v>
      </c>
      <c r="L527">
        <v>1.4E-2</v>
      </c>
      <c r="M527">
        <v>2.9</v>
      </c>
      <c r="N527">
        <v>56.766542010000002</v>
      </c>
      <c r="O527">
        <v>44.4513058841587</v>
      </c>
      <c r="P527">
        <v>841.38188165621102</v>
      </c>
      <c r="Q527">
        <v>2022.06652645088</v>
      </c>
      <c r="R527">
        <v>5358.4762950948298</v>
      </c>
      <c r="S527">
        <v>45.7</v>
      </c>
      <c r="T527">
        <v>0.2</v>
      </c>
      <c r="U527">
        <v>0</v>
      </c>
    </row>
    <row r="528" spans="1:21" x14ac:dyDescent="0.25">
      <c r="A528" t="s">
        <v>133</v>
      </c>
      <c r="B528" t="s">
        <v>134</v>
      </c>
      <c r="C528">
        <v>9</v>
      </c>
      <c r="D528">
        <v>3</v>
      </c>
      <c r="E528">
        <v>27</v>
      </c>
      <c r="F528">
        <v>30000</v>
      </c>
      <c r="G528">
        <v>79500</v>
      </c>
      <c r="H528">
        <v>12483</v>
      </c>
      <c r="I528">
        <v>12.483000000000001</v>
      </c>
      <c r="J528">
        <v>1.2482999999999999E-2</v>
      </c>
      <c r="K528">
        <v>27.52027146</v>
      </c>
      <c r="L528">
        <v>1.2699999999999999E-2</v>
      </c>
      <c r="M528">
        <v>3.1</v>
      </c>
      <c r="N528">
        <v>85.717488009999997</v>
      </c>
      <c r="O528">
        <v>106.33857154766901</v>
      </c>
      <c r="P528">
        <v>24352.596306280098</v>
      </c>
      <c r="Q528">
        <v>58525.826258784298</v>
      </c>
      <c r="R528">
        <v>155093.43958577799</v>
      </c>
      <c r="S528">
        <v>114</v>
      </c>
      <c r="T528">
        <v>0.1</v>
      </c>
      <c r="U528">
        <v>0</v>
      </c>
    </row>
    <row r="529" spans="1:21" x14ac:dyDescent="0.25">
      <c r="A529" t="s">
        <v>127</v>
      </c>
      <c r="B529" t="s">
        <v>128</v>
      </c>
      <c r="C529">
        <v>9</v>
      </c>
      <c r="D529">
        <v>2</v>
      </c>
      <c r="E529">
        <v>18</v>
      </c>
      <c r="F529">
        <v>4109.5890410000002</v>
      </c>
      <c r="G529">
        <v>10890.410959999999</v>
      </c>
      <c r="H529">
        <v>1710</v>
      </c>
      <c r="I529">
        <v>1.71</v>
      </c>
      <c r="J529">
        <v>1.7099999999999999E-3</v>
      </c>
      <c r="K529">
        <v>3.7699001999999999</v>
      </c>
      <c r="L529">
        <v>1.4E-2</v>
      </c>
      <c r="M529">
        <v>3</v>
      </c>
      <c r="N529">
        <v>49.616107700000001</v>
      </c>
      <c r="O529">
        <v>61.9689555124612</v>
      </c>
      <c r="P529">
        <v>3331.58243878855</v>
      </c>
      <c r="Q529">
        <v>8006.6869473408997</v>
      </c>
      <c r="R529">
        <v>21217.720410453399</v>
      </c>
      <c r="S529">
        <v>62.2</v>
      </c>
      <c r="T529">
        <v>0.31</v>
      </c>
      <c r="U529">
        <v>-0.05</v>
      </c>
    </row>
    <row r="530" spans="1:21" x14ac:dyDescent="0.25">
      <c r="A530" t="s">
        <v>135</v>
      </c>
      <c r="B530" t="s">
        <v>136</v>
      </c>
      <c r="C530">
        <v>9</v>
      </c>
      <c r="D530">
        <v>2</v>
      </c>
      <c r="E530">
        <v>18</v>
      </c>
      <c r="F530">
        <v>4109.5890410000002</v>
      </c>
      <c r="G530">
        <v>10890.410959999999</v>
      </c>
      <c r="H530">
        <v>1710</v>
      </c>
      <c r="I530">
        <v>1.71</v>
      </c>
      <c r="J530">
        <v>1.7099999999999999E-3</v>
      </c>
      <c r="K530">
        <v>3.7699001999999999</v>
      </c>
      <c r="L530">
        <v>1.2E-2</v>
      </c>
      <c r="M530">
        <v>3</v>
      </c>
      <c r="N530">
        <v>52.232196340000002</v>
      </c>
      <c r="O530">
        <v>50.317776914450299</v>
      </c>
      <c r="P530">
        <v>1528.78207527939</v>
      </c>
      <c r="Q530">
        <v>3674.07372093101</v>
      </c>
      <c r="R530">
        <v>9736.2953604671693</v>
      </c>
      <c r="S530">
        <v>60.5</v>
      </c>
      <c r="T530">
        <v>9.9000000000000005E-2</v>
      </c>
      <c r="U530">
        <v>0</v>
      </c>
    </row>
    <row r="531" spans="1:21" x14ac:dyDescent="0.25">
      <c r="A531" t="s">
        <v>129</v>
      </c>
      <c r="B531" t="s">
        <v>130</v>
      </c>
      <c r="C531">
        <v>9</v>
      </c>
      <c r="D531">
        <v>2</v>
      </c>
      <c r="E531">
        <v>18</v>
      </c>
      <c r="F531">
        <v>2643.5952900000002</v>
      </c>
      <c r="G531">
        <v>7005.5275179999999</v>
      </c>
      <c r="H531">
        <v>1100</v>
      </c>
      <c r="I531">
        <v>1.1000000000000001</v>
      </c>
      <c r="J531">
        <v>1.1000000000000001E-3</v>
      </c>
      <c r="K531">
        <v>2.4250820000000002</v>
      </c>
      <c r="L531">
        <v>1.2500000000000001E-2</v>
      </c>
      <c r="M531">
        <v>2.88</v>
      </c>
      <c r="N531">
        <v>52.099584669999999</v>
      </c>
      <c r="O531">
        <v>85.135974997031994</v>
      </c>
      <c r="P531">
        <v>4525.1791917624996</v>
      </c>
      <c r="Q531">
        <v>10875.2203599195</v>
      </c>
      <c r="R531">
        <v>28819.3339537867</v>
      </c>
      <c r="S531">
        <v>158</v>
      </c>
      <c r="T531">
        <v>4.2999999999999997E-2</v>
      </c>
      <c r="U531">
        <v>0</v>
      </c>
    </row>
    <row r="532" spans="1:21" x14ac:dyDescent="0.25">
      <c r="A532" t="s">
        <v>137</v>
      </c>
      <c r="B532" t="s">
        <v>138</v>
      </c>
      <c r="C532">
        <v>9</v>
      </c>
      <c r="D532">
        <v>1</v>
      </c>
      <c r="E532">
        <v>9</v>
      </c>
      <c r="F532">
        <v>2682.2879109999999</v>
      </c>
      <c r="G532">
        <v>7108.0629650000001</v>
      </c>
      <c r="H532">
        <v>1116.0999999999999</v>
      </c>
      <c r="I532">
        <v>1.1161000000000001</v>
      </c>
      <c r="J532">
        <v>1.1161000000000001E-3</v>
      </c>
      <c r="K532">
        <v>2.4605763810000001</v>
      </c>
      <c r="L532">
        <v>1.2500000000000001E-2</v>
      </c>
      <c r="M532">
        <v>2.82</v>
      </c>
      <c r="N532">
        <v>56.963988270000002</v>
      </c>
      <c r="O532">
        <v>47.547708225649203</v>
      </c>
      <c r="P532">
        <v>670.52573986895095</v>
      </c>
      <c r="Q532">
        <v>1611.4533522445299</v>
      </c>
      <c r="R532">
        <v>4270.35138344801</v>
      </c>
      <c r="S532">
        <v>50</v>
      </c>
      <c r="T532">
        <v>0.33500000000000002</v>
      </c>
      <c r="U532">
        <v>0</v>
      </c>
    </row>
    <row r="533" spans="1:21" x14ac:dyDescent="0.25">
      <c r="A533" t="s">
        <v>21</v>
      </c>
      <c r="B533" t="s">
        <v>22</v>
      </c>
      <c r="C533">
        <v>10</v>
      </c>
      <c r="D533">
        <v>1</v>
      </c>
      <c r="E533">
        <v>10</v>
      </c>
      <c r="F533">
        <v>372.74693589999998</v>
      </c>
      <c r="G533">
        <v>987.77937999999995</v>
      </c>
      <c r="H533">
        <v>155.1</v>
      </c>
      <c r="I533">
        <v>0.15509999999999999</v>
      </c>
      <c r="J533">
        <v>1.551E-4</v>
      </c>
      <c r="K533">
        <v>0.341936562</v>
      </c>
      <c r="L533">
        <v>1.6E-2</v>
      </c>
      <c r="M533">
        <v>3</v>
      </c>
      <c r="N533">
        <v>21.32213089</v>
      </c>
      <c r="O533">
        <v>12.5245888564447</v>
      </c>
      <c r="P533">
        <v>31.4347794283191</v>
      </c>
      <c r="Q533">
        <v>75.546213478296295</v>
      </c>
      <c r="R533">
        <v>200.19746571748499</v>
      </c>
      <c r="S533">
        <v>13.8</v>
      </c>
      <c r="T533">
        <v>0.21</v>
      </c>
      <c r="U533">
        <v>-1.34</v>
      </c>
    </row>
    <row r="534" spans="1:21" x14ac:dyDescent="0.25">
      <c r="A534" t="s">
        <v>95</v>
      </c>
      <c r="B534" s="2" t="s">
        <v>96</v>
      </c>
      <c r="C534">
        <v>10</v>
      </c>
      <c r="D534">
        <v>2</v>
      </c>
      <c r="E534">
        <v>20</v>
      </c>
      <c r="F534">
        <v>3076.18361</v>
      </c>
      <c r="G534">
        <v>8151.8865660000001</v>
      </c>
      <c r="H534">
        <v>1280</v>
      </c>
      <c r="I534">
        <v>1.28</v>
      </c>
      <c r="J534">
        <v>1.2800000000000001E-3</v>
      </c>
      <c r="K534">
        <v>2.8219135999999998</v>
      </c>
      <c r="L534">
        <v>0.01</v>
      </c>
      <c r="M534">
        <v>3</v>
      </c>
      <c r="N534">
        <v>45.599358580000001</v>
      </c>
      <c r="O534">
        <v>133.50907311113201</v>
      </c>
      <c r="P534">
        <v>32126.699489423499</v>
      </c>
      <c r="Q534">
        <v>77209.083127669903</v>
      </c>
      <c r="R534">
        <v>204604.07028832499</v>
      </c>
      <c r="S534">
        <v>136</v>
      </c>
      <c r="T534">
        <v>0.2</v>
      </c>
      <c r="U534">
        <v>0</v>
      </c>
    </row>
    <row r="535" spans="1:21" x14ac:dyDescent="0.25">
      <c r="A535" t="s">
        <v>101</v>
      </c>
      <c r="B535" t="s">
        <v>102</v>
      </c>
      <c r="C535">
        <v>10</v>
      </c>
      <c r="D535">
        <v>2</v>
      </c>
      <c r="E535">
        <v>20</v>
      </c>
      <c r="F535">
        <v>3076.18361</v>
      </c>
      <c r="G535">
        <v>8151.8865660000001</v>
      </c>
      <c r="H535">
        <v>1280</v>
      </c>
      <c r="I535">
        <v>1.28</v>
      </c>
      <c r="J535">
        <v>1.2800000000000001E-3</v>
      </c>
      <c r="K535">
        <v>2.8219135999999998</v>
      </c>
      <c r="L535">
        <v>1.2E-2</v>
      </c>
      <c r="M535">
        <v>3.1</v>
      </c>
      <c r="N535">
        <v>41.874029010000001</v>
      </c>
      <c r="O535" s="2">
        <v>106.904540339497</v>
      </c>
      <c r="P535" s="2">
        <v>23392.105426918799</v>
      </c>
      <c r="Q535" s="2">
        <v>56217.508836622801</v>
      </c>
      <c r="R535" s="2">
        <v>148976.39841705101</v>
      </c>
      <c r="S535">
        <v>150.03333333333299</v>
      </c>
      <c r="T535">
        <v>0.11333333333333299</v>
      </c>
      <c r="U535">
        <v>9</v>
      </c>
    </row>
    <row r="536" spans="1:21" x14ac:dyDescent="0.25">
      <c r="A536" t="s">
        <v>37</v>
      </c>
      <c r="B536" t="s">
        <v>38</v>
      </c>
      <c r="C536">
        <v>10</v>
      </c>
      <c r="D536">
        <v>9</v>
      </c>
      <c r="E536">
        <v>90</v>
      </c>
      <c r="F536">
        <v>1772528862</v>
      </c>
      <c r="G536">
        <v>4697201485</v>
      </c>
      <c r="H536">
        <v>737549259.5</v>
      </c>
      <c r="I536">
        <v>737549.25950000004</v>
      </c>
      <c r="J536">
        <v>737.54925949999995</v>
      </c>
      <c r="K536">
        <v>1626015.848</v>
      </c>
      <c r="L536" s="2">
        <v>6.0000000000000001E-3</v>
      </c>
      <c r="M536">
        <v>3</v>
      </c>
      <c r="N536">
        <v>1544.971047</v>
      </c>
      <c r="O536" s="2">
        <v>2097.36</v>
      </c>
      <c r="P536" s="2">
        <v>55356700.140481502</v>
      </c>
      <c r="Q536" s="2">
        <v>133037010.67166901</v>
      </c>
      <c r="R536" s="2">
        <v>352548078.27992302</v>
      </c>
      <c r="S536" s="2">
        <v>2097.36</v>
      </c>
      <c r="T536" s="2">
        <v>0.5</v>
      </c>
      <c r="U536" s="2">
        <v>0</v>
      </c>
    </row>
    <row r="537" spans="1:21" x14ac:dyDescent="0.25">
      <c r="A537" s="2" t="s">
        <v>31</v>
      </c>
      <c r="B537" t="s">
        <v>32</v>
      </c>
      <c r="C537">
        <v>10</v>
      </c>
      <c r="D537">
        <v>1</v>
      </c>
      <c r="E537">
        <v>10</v>
      </c>
      <c r="F537">
        <v>372.74693589999998</v>
      </c>
      <c r="G537">
        <v>987.77937999999995</v>
      </c>
      <c r="H537">
        <v>155.10000002799001</v>
      </c>
      <c r="I537">
        <v>0.15510000002798999</v>
      </c>
      <c r="J537">
        <v>1.5510000002799001E-4</v>
      </c>
      <c r="K537">
        <v>0.34193656206170697</v>
      </c>
      <c r="L537" s="3">
        <v>1.1599999999999999E-2</v>
      </c>
      <c r="M537" s="3">
        <v>3</v>
      </c>
      <c r="N537">
        <v>23.734746790222701</v>
      </c>
      <c r="O537" s="2">
        <v>29.1699036562662</v>
      </c>
      <c r="P537" s="2">
        <v>287.91412605230499</v>
      </c>
      <c r="Q537" s="2">
        <v>691.93493403582204</v>
      </c>
      <c r="R537" s="2">
        <v>1833.6275751949299</v>
      </c>
      <c r="S537" s="2">
        <v>29.1726666666667</v>
      </c>
      <c r="T537" s="2">
        <v>0.92646666666666699</v>
      </c>
      <c r="U537" s="2">
        <v>0</v>
      </c>
    </row>
    <row r="538" spans="1:21" x14ac:dyDescent="0.25">
      <c r="A538" t="s">
        <v>25</v>
      </c>
      <c r="B538" t="s">
        <v>26</v>
      </c>
      <c r="C538">
        <v>10</v>
      </c>
      <c r="D538">
        <v>3</v>
      </c>
      <c r="E538">
        <v>30</v>
      </c>
      <c r="F538">
        <v>188718.33360000001</v>
      </c>
      <c r="G538">
        <v>500103.58419999998</v>
      </c>
      <c r="H538">
        <v>78525.698610000007</v>
      </c>
      <c r="I538">
        <v>78.525698610000006</v>
      </c>
      <c r="J538">
        <v>7.8525699000000004E-2</v>
      </c>
      <c r="K538">
        <v>173.11932569999999</v>
      </c>
      <c r="L538">
        <v>2.1399999999999999E-2</v>
      </c>
      <c r="M538">
        <v>2.96</v>
      </c>
      <c r="N538">
        <v>165.1085664</v>
      </c>
      <c r="O538">
        <v>331.58859780667899</v>
      </c>
      <c r="P538">
        <v>618569.57439944602</v>
      </c>
      <c r="Q538">
        <v>1486588.7392440401</v>
      </c>
      <c r="R538">
        <v>3939460.1589967101</v>
      </c>
      <c r="S538">
        <v>358.7</v>
      </c>
      <c r="T538">
        <v>9.1999999999999998E-2</v>
      </c>
      <c r="U538">
        <v>-1.929</v>
      </c>
    </row>
    <row r="539" spans="1:21" x14ac:dyDescent="0.25">
      <c r="A539" t="s">
        <v>33</v>
      </c>
      <c r="B539" t="s">
        <v>34</v>
      </c>
      <c r="C539">
        <v>10</v>
      </c>
      <c r="D539">
        <v>2</v>
      </c>
      <c r="E539">
        <v>20</v>
      </c>
      <c r="F539">
        <v>3076.18361</v>
      </c>
      <c r="G539">
        <v>8151.8865660000001</v>
      </c>
      <c r="H539">
        <v>1280</v>
      </c>
      <c r="I539">
        <v>1.28</v>
      </c>
      <c r="J539">
        <v>1.2800000000000001E-3</v>
      </c>
      <c r="K539">
        <v>2.8219135999999998</v>
      </c>
      <c r="L539">
        <v>1.4999999999999999E-2</v>
      </c>
      <c r="M539">
        <v>3</v>
      </c>
      <c r="N539">
        <v>44.02569665</v>
      </c>
      <c r="O539">
        <v>58.143171731552599</v>
      </c>
      <c r="P539">
        <v>2948.4068809014698</v>
      </c>
      <c r="Q539">
        <v>7085.8132201429098</v>
      </c>
      <c r="R539">
        <v>18777.405033378702</v>
      </c>
      <c r="S539" s="4">
        <v>58.9</v>
      </c>
      <c r="T539" s="4">
        <v>0.22</v>
      </c>
      <c r="U539" s="4">
        <v>0.20699999999999999</v>
      </c>
    </row>
    <row r="540" spans="1:21" x14ac:dyDescent="0.25">
      <c r="A540" t="s">
        <v>29</v>
      </c>
      <c r="B540" t="s">
        <v>30</v>
      </c>
      <c r="C540">
        <v>10</v>
      </c>
      <c r="D540">
        <v>7</v>
      </c>
      <c r="E540" s="2">
        <v>70</v>
      </c>
      <c r="F540">
        <v>66302.710800000001</v>
      </c>
      <c r="G540">
        <v>175702.084</v>
      </c>
      <c r="H540">
        <v>27588.557959999998</v>
      </c>
      <c r="I540">
        <v>27.588557959999999</v>
      </c>
      <c r="J540">
        <v>2.7588557999999999E-2</v>
      </c>
      <c r="K540">
        <v>60.822286660000003</v>
      </c>
      <c r="L540">
        <v>3.2499999999999999E-3</v>
      </c>
      <c r="M540">
        <v>3</v>
      </c>
      <c r="N540">
        <v>203.99297569999999</v>
      </c>
      <c r="O540">
        <v>281.99925422971103</v>
      </c>
      <c r="P540">
        <v>72883.167761823803</v>
      </c>
      <c r="Q540">
        <v>175157.817259851</v>
      </c>
      <c r="R540">
        <v>464168.21573860402</v>
      </c>
      <c r="S540">
        <v>282</v>
      </c>
      <c r="T540">
        <v>0.18</v>
      </c>
      <c r="U540">
        <v>-1.35</v>
      </c>
    </row>
    <row r="541" spans="1:21" x14ac:dyDescent="0.25">
      <c r="A541" t="s">
        <v>23</v>
      </c>
      <c r="B541" t="s">
        <v>24</v>
      </c>
      <c r="C541">
        <v>10</v>
      </c>
      <c r="D541">
        <v>3</v>
      </c>
      <c r="E541">
        <v>30</v>
      </c>
      <c r="F541">
        <v>188718.33360000001</v>
      </c>
      <c r="G541">
        <v>500103.58419999998</v>
      </c>
      <c r="H541">
        <v>78525.698610000007</v>
      </c>
      <c r="I541">
        <v>78.525698610000006</v>
      </c>
      <c r="J541">
        <v>7.8525699000000004E-2</v>
      </c>
      <c r="K541">
        <v>173.11932569999999</v>
      </c>
      <c r="L541">
        <v>2.5999999999999999E-2</v>
      </c>
      <c r="M541">
        <v>3</v>
      </c>
      <c r="N541">
        <v>210.18147250000001</v>
      </c>
      <c r="O541">
        <v>290.785215235397</v>
      </c>
      <c r="P541">
        <v>194240.65083008999</v>
      </c>
      <c r="Q541">
        <v>466812.42689279001</v>
      </c>
      <c r="R541">
        <v>1237052.9312658899</v>
      </c>
      <c r="S541">
        <v>314.89999999999998</v>
      </c>
      <c r="T541">
        <v>8.8999999999999996E-2</v>
      </c>
      <c r="U541">
        <v>-1.1299999999999999</v>
      </c>
    </row>
    <row r="542" spans="1:21" x14ac:dyDescent="0.25">
      <c r="A542" t="s">
        <v>27</v>
      </c>
      <c r="B542" t="s">
        <v>28</v>
      </c>
      <c r="C542">
        <v>10</v>
      </c>
      <c r="D542">
        <v>1</v>
      </c>
      <c r="E542">
        <v>10</v>
      </c>
      <c r="F542">
        <v>14179.28383</v>
      </c>
      <c r="G542">
        <v>37575.102140000003</v>
      </c>
      <c r="H542">
        <v>5900.0000019999998</v>
      </c>
      <c r="I542">
        <v>5.9000000019999996</v>
      </c>
      <c r="J542">
        <v>5.8999999999999999E-3</v>
      </c>
      <c r="K542">
        <v>13.007258</v>
      </c>
      <c r="L542">
        <v>1.0999999999999999E-2</v>
      </c>
      <c r="M542">
        <v>2.9</v>
      </c>
      <c r="N542">
        <v>94.553069030000003</v>
      </c>
      <c r="O542">
        <v>78.183312500002899</v>
      </c>
      <c r="P542">
        <v>3399.5660148577499</v>
      </c>
      <c r="Q542">
        <v>8170.0697304920704</v>
      </c>
      <c r="R542">
        <v>21650.684785803998</v>
      </c>
      <c r="S542">
        <v>81.53</v>
      </c>
      <c r="T542">
        <v>0.31</v>
      </c>
      <c r="U542">
        <v>-0.3</v>
      </c>
    </row>
    <row r="543" spans="1:21" x14ac:dyDescent="0.25">
      <c r="A543" t="s">
        <v>35</v>
      </c>
      <c r="B543" t="s">
        <v>36</v>
      </c>
      <c r="C543">
        <v>10</v>
      </c>
      <c r="D543">
        <v>1</v>
      </c>
      <c r="E543">
        <v>10</v>
      </c>
      <c r="F543">
        <v>372.74693589999998</v>
      </c>
      <c r="G543">
        <v>987.77937999999995</v>
      </c>
      <c r="H543">
        <v>155.1</v>
      </c>
      <c r="I543">
        <v>0.15509999999999999</v>
      </c>
      <c r="J543">
        <v>1.551E-4</v>
      </c>
      <c r="K543">
        <v>0.341936562</v>
      </c>
      <c r="L543">
        <v>2.1000000000000001E-2</v>
      </c>
      <c r="M543">
        <v>3</v>
      </c>
      <c r="N543">
        <v>19.47440366</v>
      </c>
      <c r="O543">
        <v>21.016355877322599</v>
      </c>
      <c r="P543">
        <v>194.93576935351501</v>
      </c>
      <c r="Q543">
        <v>468.48298330573198</v>
      </c>
      <c r="R543">
        <v>1241.4799057601899</v>
      </c>
      <c r="S543" s="4">
        <v>21.02</v>
      </c>
      <c r="T543" s="4">
        <v>0.86</v>
      </c>
      <c r="U543" s="4">
        <v>-6.9989999999999997E-2</v>
      </c>
    </row>
    <row r="544" spans="1:21" x14ac:dyDescent="0.25">
      <c r="A544" t="s">
        <v>39</v>
      </c>
      <c r="B544" t="s">
        <v>40</v>
      </c>
      <c r="C544">
        <v>10</v>
      </c>
      <c r="D544">
        <v>2</v>
      </c>
      <c r="E544">
        <v>20</v>
      </c>
      <c r="F544">
        <v>60081.711130000003</v>
      </c>
      <c r="G544">
        <v>159216.53450000001</v>
      </c>
      <c r="H544">
        <v>25000</v>
      </c>
      <c r="I544">
        <v>25</v>
      </c>
      <c r="J544">
        <v>2.5000000000000001E-2</v>
      </c>
      <c r="K544">
        <v>55.115499999999997</v>
      </c>
      <c r="L544">
        <v>1.2E-2</v>
      </c>
      <c r="M544">
        <v>3</v>
      </c>
      <c r="N544">
        <v>127.7182387</v>
      </c>
      <c r="O544">
        <v>133.96561488638201</v>
      </c>
      <c r="P544">
        <v>28851.026615496699</v>
      </c>
      <c r="Q544">
        <v>69336.761873339696</v>
      </c>
      <c r="R544">
        <v>183742.41896435001</v>
      </c>
      <c r="S544">
        <v>150.93</v>
      </c>
      <c r="T544">
        <v>0.11</v>
      </c>
      <c r="U544">
        <v>0.13</v>
      </c>
    </row>
    <row r="545" spans="1:21" x14ac:dyDescent="0.25">
      <c r="A545" t="s">
        <v>45</v>
      </c>
      <c r="B545" t="s">
        <v>46</v>
      </c>
      <c r="C545">
        <v>10</v>
      </c>
      <c r="D545">
        <v>5</v>
      </c>
      <c r="E545">
        <v>50</v>
      </c>
      <c r="F545">
        <v>7701.2572719999998</v>
      </c>
      <c r="G545">
        <v>20408.331770000001</v>
      </c>
      <c r="H545">
        <v>3204.4931510000001</v>
      </c>
      <c r="I545">
        <v>3.2044931509999999</v>
      </c>
      <c r="J545">
        <v>3.2044930000000001E-3</v>
      </c>
      <c r="K545">
        <v>7.0646896899999998</v>
      </c>
      <c r="L545">
        <v>3.96E-3</v>
      </c>
      <c r="M545">
        <v>3.2</v>
      </c>
      <c r="N545">
        <v>70.189160900000005</v>
      </c>
      <c r="O545" s="2">
        <v>300.76978281832203</v>
      </c>
      <c r="P545" s="2">
        <v>337321.973904919</v>
      </c>
      <c r="Q545" s="2">
        <v>810675.25571958395</v>
      </c>
      <c r="R545" s="2">
        <v>2148289.4276569001</v>
      </c>
      <c r="S545" s="2">
        <v>300.78571428571399</v>
      </c>
      <c r="T545" s="2">
        <v>0.24014285714285699</v>
      </c>
      <c r="U545" s="2">
        <v>9</v>
      </c>
    </row>
    <row r="546" spans="1:21" x14ac:dyDescent="0.25">
      <c r="A546" t="s">
        <v>43</v>
      </c>
      <c r="B546" t="s">
        <v>44</v>
      </c>
      <c r="C546">
        <v>10</v>
      </c>
      <c r="D546">
        <v>2</v>
      </c>
      <c r="E546">
        <v>20</v>
      </c>
      <c r="F546">
        <v>3076.18361</v>
      </c>
      <c r="G546">
        <v>8151.8865660000001</v>
      </c>
      <c r="H546">
        <v>1280</v>
      </c>
      <c r="I546">
        <v>1.28</v>
      </c>
      <c r="J546">
        <v>1.2800000000000001E-3</v>
      </c>
      <c r="K546">
        <v>2.8219135999999998</v>
      </c>
      <c r="L546">
        <v>1.44E-2</v>
      </c>
      <c r="M546">
        <v>3</v>
      </c>
      <c r="N546">
        <v>44.628863340000002</v>
      </c>
      <c r="O546" s="2">
        <v>47.627215010113801</v>
      </c>
      <c r="P546" s="2">
        <v>1555.7078855504301</v>
      </c>
      <c r="Q546" s="2">
        <v>3738.7836711137402</v>
      </c>
      <c r="R546" s="2">
        <v>9907.7767284513993</v>
      </c>
      <c r="S546" s="2">
        <v>47.633333333333297</v>
      </c>
      <c r="T546" s="2">
        <v>0.44800000000000001</v>
      </c>
      <c r="U546" s="2">
        <v>0</v>
      </c>
    </row>
    <row r="547" spans="1:21" x14ac:dyDescent="0.25">
      <c r="A547" t="s">
        <v>53</v>
      </c>
      <c r="B547" t="s">
        <v>54</v>
      </c>
      <c r="C547">
        <v>10</v>
      </c>
      <c r="D547">
        <v>2</v>
      </c>
      <c r="E547">
        <v>20</v>
      </c>
      <c r="F547">
        <v>4373.9485699999996</v>
      </c>
      <c r="G547">
        <v>11590.96371</v>
      </c>
      <c r="H547">
        <v>1820</v>
      </c>
      <c r="I547">
        <v>1.82</v>
      </c>
      <c r="J547">
        <v>1.82E-3</v>
      </c>
      <c r="K547">
        <v>4.0124084</v>
      </c>
      <c r="L547">
        <v>1.2E-2</v>
      </c>
      <c r="M547">
        <v>2.95</v>
      </c>
      <c r="N547">
        <v>57.0471492</v>
      </c>
      <c r="O547">
        <v>39.631695931626602</v>
      </c>
      <c r="P547">
        <v>621.45127699565796</v>
      </c>
      <c r="Q547">
        <v>1493.5142441616399</v>
      </c>
      <c r="R547">
        <v>3957.8127470283398</v>
      </c>
      <c r="S547">
        <v>41</v>
      </c>
      <c r="T547">
        <v>0.17</v>
      </c>
      <c r="U547">
        <v>0</v>
      </c>
    </row>
    <row r="548" spans="1:21" x14ac:dyDescent="0.25">
      <c r="A548" t="s">
        <v>57</v>
      </c>
      <c r="B548" t="s">
        <v>58</v>
      </c>
      <c r="C548">
        <v>10</v>
      </c>
      <c r="D548">
        <v>2</v>
      </c>
      <c r="E548">
        <v>20</v>
      </c>
      <c r="F548">
        <v>8651.7664029999996</v>
      </c>
      <c r="G548">
        <v>22927.180970000001</v>
      </c>
      <c r="H548">
        <v>3600</v>
      </c>
      <c r="I548">
        <v>3.6</v>
      </c>
      <c r="J548">
        <v>3.5999999999999999E-3</v>
      </c>
      <c r="K548">
        <v>7.9366320010000004</v>
      </c>
      <c r="L548">
        <v>4.0000000000000001E-3</v>
      </c>
      <c r="M548">
        <v>3.1</v>
      </c>
      <c r="N548">
        <v>67.319388829999994</v>
      </c>
      <c r="O548">
        <v>72.875544774425904</v>
      </c>
      <c r="P548">
        <v>4566.9625490367798</v>
      </c>
      <c r="Q548">
        <v>10975.6369839865</v>
      </c>
      <c r="R548">
        <v>29085.4380075642</v>
      </c>
      <c r="S548">
        <v>72.900000000000006</v>
      </c>
      <c r="T548">
        <v>0.4</v>
      </c>
      <c r="U548">
        <v>0</v>
      </c>
    </row>
    <row r="549" spans="1:21" x14ac:dyDescent="0.25">
      <c r="A549" t="s">
        <v>59</v>
      </c>
      <c r="B549" t="s">
        <v>60</v>
      </c>
      <c r="C549">
        <v>10</v>
      </c>
      <c r="D549">
        <v>2</v>
      </c>
      <c r="E549">
        <v>20</v>
      </c>
      <c r="F549">
        <v>4373.9485699999996</v>
      </c>
      <c r="G549">
        <v>11590.96371</v>
      </c>
      <c r="H549">
        <v>1820</v>
      </c>
      <c r="I549">
        <v>1.82</v>
      </c>
      <c r="J549">
        <v>1.82E-3</v>
      </c>
      <c r="K549">
        <v>4.0124084</v>
      </c>
      <c r="L549">
        <v>1.6799999999999999E-2</v>
      </c>
      <c r="M549">
        <v>3.1</v>
      </c>
      <c r="N549">
        <v>42.083980279999999</v>
      </c>
      <c r="O549">
        <v>197.05732181167599</v>
      </c>
      <c r="P549">
        <v>218045.067850675</v>
      </c>
      <c r="Q549">
        <v>524020.83117201302</v>
      </c>
      <c r="R549">
        <v>1388655.20260583</v>
      </c>
      <c r="S549">
        <v>263.2</v>
      </c>
      <c r="T549">
        <v>7.0000000000000007E-2</v>
      </c>
      <c r="U549">
        <v>0.27</v>
      </c>
    </row>
    <row r="550" spans="1:21" x14ac:dyDescent="0.25">
      <c r="A550" t="s">
        <v>61</v>
      </c>
      <c r="B550" t="s">
        <v>62</v>
      </c>
      <c r="C550">
        <v>10</v>
      </c>
      <c r="D550">
        <v>1</v>
      </c>
      <c r="E550">
        <v>10</v>
      </c>
      <c r="F550">
        <v>647.62076430000002</v>
      </c>
      <c r="G550">
        <v>1716.195025</v>
      </c>
      <c r="H550">
        <v>269.47500000000002</v>
      </c>
      <c r="I550">
        <v>0.26947500000000002</v>
      </c>
      <c r="J550">
        <v>2.6947499999999998E-4</v>
      </c>
      <c r="K550">
        <v>0.59408997500000005</v>
      </c>
      <c r="L550">
        <v>1.2500000000000001E-2</v>
      </c>
      <c r="M550">
        <v>3</v>
      </c>
      <c r="N550">
        <v>27.831470670000002</v>
      </c>
      <c r="O550">
        <v>32.061964206151799</v>
      </c>
      <c r="P550">
        <v>411.98403596558398</v>
      </c>
      <c r="Q550">
        <v>990.108233514983</v>
      </c>
      <c r="R550">
        <v>2623.7868188146999</v>
      </c>
      <c r="S550">
        <v>33.700000000000003</v>
      </c>
      <c r="T550">
        <v>0.32</v>
      </c>
      <c r="U550">
        <v>0.55000000000000004</v>
      </c>
    </row>
    <row r="551" spans="1:21" x14ac:dyDescent="0.25">
      <c r="A551" t="s">
        <v>63</v>
      </c>
      <c r="B551" t="s">
        <v>64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1.2E-2</v>
      </c>
      <c r="M551">
        <v>3.1</v>
      </c>
      <c r="N551">
        <v>41.874029010000001</v>
      </c>
      <c r="O551">
        <v>42.496565884641598</v>
      </c>
      <c r="P551">
        <v>1339.9177462360999</v>
      </c>
      <c r="Q551">
        <v>3220.1820385390502</v>
      </c>
      <c r="R551">
        <v>8533.4824021284803</v>
      </c>
      <c r="S551">
        <v>42.5</v>
      </c>
      <c r="T551">
        <v>0.47</v>
      </c>
      <c r="U551">
        <v>0.05</v>
      </c>
    </row>
    <row r="552" spans="1:21" x14ac:dyDescent="0.25">
      <c r="A552" t="s">
        <v>65</v>
      </c>
      <c r="B552" t="s">
        <v>66</v>
      </c>
      <c r="C552">
        <v>10</v>
      </c>
      <c r="D552">
        <v>3</v>
      </c>
      <c r="E552">
        <v>30</v>
      </c>
      <c r="F552">
        <v>32000</v>
      </c>
      <c r="G552">
        <v>85500</v>
      </c>
      <c r="H552">
        <v>13315.2</v>
      </c>
      <c r="I552">
        <v>13.315200000000001</v>
      </c>
      <c r="J552">
        <v>1.3315199999999999E-2</v>
      </c>
      <c r="K552">
        <v>29.354956219999998</v>
      </c>
      <c r="L552">
        <v>1.2699999999999999E-2</v>
      </c>
      <c r="M552">
        <v>3.1</v>
      </c>
      <c r="N552">
        <v>87.520735579999993</v>
      </c>
      <c r="O552">
        <v>52.698781804415802</v>
      </c>
      <c r="P552">
        <v>2763.0294050072898</v>
      </c>
      <c r="Q552">
        <v>6640.3013818968702</v>
      </c>
      <c r="R552">
        <v>17596.7986620267</v>
      </c>
      <c r="S552">
        <v>52.7</v>
      </c>
      <c r="T552">
        <v>0.35</v>
      </c>
      <c r="U552">
        <v>-0.5</v>
      </c>
    </row>
    <row r="553" spans="1:21" x14ac:dyDescent="0.25">
      <c r="A553" t="s">
        <v>67</v>
      </c>
      <c r="B553" t="s">
        <v>68</v>
      </c>
      <c r="C553">
        <v>10</v>
      </c>
      <c r="D553">
        <v>1</v>
      </c>
      <c r="E553">
        <v>10</v>
      </c>
      <c r="F553">
        <v>759.34</v>
      </c>
      <c r="G553">
        <v>2012.27</v>
      </c>
      <c r="H553">
        <v>315.96137399999998</v>
      </c>
      <c r="I553">
        <v>0.31596137400000002</v>
      </c>
      <c r="J553">
        <v>3.1596100000000002E-4</v>
      </c>
      <c r="K553">
        <v>0.69657476399999996</v>
      </c>
      <c r="L553">
        <v>1.29E-2</v>
      </c>
      <c r="M553">
        <v>3.05</v>
      </c>
      <c r="N553">
        <v>27.480897519999999</v>
      </c>
      <c r="O553">
        <v>38.8523569237286</v>
      </c>
      <c r="P553">
        <v>908.47438830563499</v>
      </c>
      <c r="Q553">
        <v>2183.30783058312</v>
      </c>
      <c r="R553">
        <v>5785.76575104526</v>
      </c>
      <c r="S553">
        <v>40.6</v>
      </c>
      <c r="T553">
        <v>0.27</v>
      </c>
      <c r="U553">
        <v>-1.65</v>
      </c>
    </row>
    <row r="554" spans="1:21" x14ac:dyDescent="0.25">
      <c r="A554" t="s">
        <v>69</v>
      </c>
      <c r="B554" t="s">
        <v>70</v>
      </c>
      <c r="C554">
        <v>10</v>
      </c>
      <c r="D554">
        <v>1</v>
      </c>
      <c r="E554">
        <v>10</v>
      </c>
      <c r="F554">
        <v>408.79596249999997</v>
      </c>
      <c r="G554">
        <v>1083.309301</v>
      </c>
      <c r="H554">
        <v>170.1</v>
      </c>
      <c r="I554">
        <v>0.1701</v>
      </c>
      <c r="J554">
        <v>1.7009999999999999E-4</v>
      </c>
      <c r="K554">
        <v>0.37500586200000002</v>
      </c>
      <c r="L554">
        <v>0.01</v>
      </c>
      <c r="M554">
        <v>2.9</v>
      </c>
      <c r="N554">
        <v>28.764945560000001</v>
      </c>
      <c r="O554">
        <v>34.347655021781101</v>
      </c>
      <c r="P554">
        <v>284.51264145637299</v>
      </c>
      <c r="Q554">
        <v>683.76025343997298</v>
      </c>
      <c r="R554">
        <v>1811.96467161593</v>
      </c>
      <c r="S554">
        <v>37.700000000000003</v>
      </c>
      <c r="T554">
        <v>0.24199999999999999</v>
      </c>
      <c r="U554">
        <v>0</v>
      </c>
    </row>
    <row r="555" spans="1:21" x14ac:dyDescent="0.25">
      <c r="A555" s="2" t="s">
        <v>71</v>
      </c>
      <c r="B555" t="s">
        <v>72</v>
      </c>
      <c r="C555">
        <v>10</v>
      </c>
      <c r="D555">
        <v>1</v>
      </c>
      <c r="E555">
        <v>10</v>
      </c>
      <c r="F555">
        <v>5.1550108149999998</v>
      </c>
      <c r="G555">
        <v>13.66077866</v>
      </c>
      <c r="H555">
        <v>2.1450000001215002</v>
      </c>
      <c r="I555">
        <v>2.1450000001214998E-3</v>
      </c>
      <c r="J555">
        <v>2.1450000001214999E-6</v>
      </c>
      <c r="K555">
        <v>4.7289099002678602E-3</v>
      </c>
      <c r="L555" s="3">
        <v>1.0999999999999999E-2</v>
      </c>
      <c r="M555" s="3">
        <v>3.01</v>
      </c>
      <c r="N555">
        <v>5.76512649797567</v>
      </c>
      <c r="O555" s="2">
        <v>8.7258213623118692</v>
      </c>
      <c r="P555" s="2">
        <v>7.4682646853721302</v>
      </c>
      <c r="Q555" s="2">
        <v>17.948244857899901</v>
      </c>
      <c r="R555" s="2">
        <v>47.562848873434703</v>
      </c>
      <c r="S555">
        <v>9</v>
      </c>
      <c r="T555">
        <v>0.32</v>
      </c>
      <c r="U555">
        <v>-0.91</v>
      </c>
    </row>
    <row r="556" spans="1:21" x14ac:dyDescent="0.25">
      <c r="A556" s="2" t="s">
        <v>49</v>
      </c>
      <c r="B556" t="s">
        <v>50</v>
      </c>
      <c r="C556">
        <v>10</v>
      </c>
      <c r="D556">
        <v>1</v>
      </c>
      <c r="E556">
        <v>10</v>
      </c>
      <c r="F556">
        <v>3076.18361</v>
      </c>
      <c r="G556">
        <v>8151.8865660000001</v>
      </c>
      <c r="H556">
        <v>1280.0000001210001</v>
      </c>
      <c r="I556">
        <v>1.2800000001209999</v>
      </c>
      <c r="J556">
        <v>1.2800000001210001E-3</v>
      </c>
      <c r="K556">
        <v>2.8219136002667602</v>
      </c>
      <c r="L556" s="3">
        <v>1.2E-2</v>
      </c>
      <c r="M556" s="3">
        <v>3.1</v>
      </c>
      <c r="N556">
        <v>41.874029007707797</v>
      </c>
      <c r="O556" s="2">
        <v>48.576822106290798</v>
      </c>
      <c r="P556" s="2">
        <v>2028.2031629154401</v>
      </c>
      <c r="Q556" s="2">
        <v>4874.3166616569197</v>
      </c>
      <c r="R556" s="2">
        <v>12916.9391533908</v>
      </c>
      <c r="S556" s="2">
        <v>54.3</v>
      </c>
      <c r="T556" s="2">
        <v>0.22500000000000001</v>
      </c>
      <c r="U556" s="2">
        <v>0</v>
      </c>
    </row>
    <row r="557" spans="1:21" x14ac:dyDescent="0.25">
      <c r="A557" t="s">
        <v>55</v>
      </c>
      <c r="B557" t="s">
        <v>56</v>
      </c>
      <c r="C557">
        <v>10</v>
      </c>
      <c r="D557">
        <v>1</v>
      </c>
      <c r="E557">
        <v>10</v>
      </c>
      <c r="F557">
        <v>27537.010340000001</v>
      </c>
      <c r="G557">
        <v>72973.077390000006</v>
      </c>
      <c r="H557">
        <v>11458.15</v>
      </c>
      <c r="I557">
        <v>11.45815</v>
      </c>
      <c r="J557">
        <v>1.145815E-2</v>
      </c>
      <c r="K557">
        <v>25.260866660000001</v>
      </c>
      <c r="L557">
        <v>1.2999999999999999E-2</v>
      </c>
      <c r="M557">
        <v>3</v>
      </c>
      <c r="N557">
        <v>95.879048850000004</v>
      </c>
      <c r="O557">
        <v>93.295257199890003</v>
      </c>
      <c r="P557">
        <v>10556.5510262714</v>
      </c>
      <c r="Q557">
        <v>25370.225970371001</v>
      </c>
      <c r="R557">
        <v>67231.098821482999</v>
      </c>
      <c r="S557">
        <v>152</v>
      </c>
      <c r="T557">
        <v>9.6000000000000002E-2</v>
      </c>
      <c r="U557">
        <v>0.09</v>
      </c>
    </row>
    <row r="558" spans="1:21" x14ac:dyDescent="0.25">
      <c r="A558" t="s">
        <v>75</v>
      </c>
      <c r="B558" t="s">
        <v>76</v>
      </c>
      <c r="C558">
        <v>10</v>
      </c>
      <c r="D558">
        <v>2</v>
      </c>
      <c r="E558">
        <v>20</v>
      </c>
      <c r="F558">
        <v>3076.18361</v>
      </c>
      <c r="G558">
        <v>8151.8865660000001</v>
      </c>
      <c r="H558">
        <v>1280</v>
      </c>
      <c r="I558">
        <v>1.28</v>
      </c>
      <c r="J558">
        <v>1.2800000000000001E-3</v>
      </c>
      <c r="K558">
        <v>2.8219135999999998</v>
      </c>
      <c r="L558">
        <v>2.5000000000000001E-3</v>
      </c>
      <c r="M558">
        <v>3.1</v>
      </c>
      <c r="N558">
        <v>69.454435750000002</v>
      </c>
      <c r="O558">
        <v>107.646109151343</v>
      </c>
      <c r="P558">
        <v>4978.9166181902601</v>
      </c>
      <c r="Q558">
        <v>11965.6731992075</v>
      </c>
      <c r="R558">
        <v>31709.033977899999</v>
      </c>
      <c r="S558">
        <v>122</v>
      </c>
      <c r="T558">
        <v>0.107</v>
      </c>
      <c r="U558">
        <v>0</v>
      </c>
    </row>
    <row r="559" spans="1:21" x14ac:dyDescent="0.25">
      <c r="A559" t="s">
        <v>73</v>
      </c>
      <c r="B559" t="s">
        <v>74</v>
      </c>
      <c r="C559">
        <v>10</v>
      </c>
      <c r="D559">
        <v>2</v>
      </c>
      <c r="E559">
        <v>20</v>
      </c>
      <c r="F559">
        <v>3076.18361</v>
      </c>
      <c r="G559">
        <v>8151.8865660000001</v>
      </c>
      <c r="H559">
        <v>1280</v>
      </c>
      <c r="I559">
        <v>1.28</v>
      </c>
      <c r="J559">
        <v>1.2800000000000001E-3</v>
      </c>
      <c r="K559">
        <v>2.8219135999999998</v>
      </c>
      <c r="L559">
        <v>1.4E-2</v>
      </c>
      <c r="M559">
        <v>2.8</v>
      </c>
      <c r="N559">
        <v>59.130966340000001</v>
      </c>
      <c r="O559">
        <v>42.997087664330898</v>
      </c>
      <c r="P559">
        <v>524.51431896899305</v>
      </c>
      <c r="Q559">
        <v>1260.54871177359</v>
      </c>
      <c r="R559">
        <v>3340.4540862000299</v>
      </c>
      <c r="S559">
        <v>43</v>
      </c>
      <c r="T559">
        <v>0.48</v>
      </c>
      <c r="U559">
        <v>0</v>
      </c>
    </row>
    <row r="560" spans="1:21" x14ac:dyDescent="0.25">
      <c r="A560" s="2" t="s">
        <v>51</v>
      </c>
      <c r="B560" t="s">
        <v>52</v>
      </c>
      <c r="C560">
        <v>10</v>
      </c>
      <c r="D560">
        <v>1</v>
      </c>
      <c r="E560">
        <v>10</v>
      </c>
      <c r="F560">
        <v>4373.9485699999996</v>
      </c>
      <c r="G560">
        <v>11590.96371</v>
      </c>
      <c r="H560">
        <v>1819.999999977</v>
      </c>
      <c r="I560">
        <v>1.819999999977</v>
      </c>
      <c r="J560">
        <v>1.819999999977E-3</v>
      </c>
      <c r="K560">
        <v>4.0124083999492903</v>
      </c>
      <c r="L560" s="3">
        <v>1.24E-2</v>
      </c>
      <c r="M560" s="3">
        <v>3.2</v>
      </c>
      <c r="N560">
        <v>41.169731262769901</v>
      </c>
      <c r="O560" s="2">
        <v>18.1226446583232</v>
      </c>
      <c r="P560" s="2">
        <v>131.74396360654799</v>
      </c>
      <c r="Q560" s="2">
        <v>316.61611056608501</v>
      </c>
      <c r="R560" s="2">
        <v>839.03269300012403</v>
      </c>
      <c r="S560">
        <v>20.9</v>
      </c>
      <c r="T560">
        <v>0.19500000000000001</v>
      </c>
      <c r="U560">
        <v>-0.35</v>
      </c>
    </row>
    <row r="561" spans="1:21" x14ac:dyDescent="0.25">
      <c r="A561" t="s">
        <v>85</v>
      </c>
      <c r="B561" t="s">
        <v>86</v>
      </c>
      <c r="C561">
        <v>10</v>
      </c>
      <c r="D561">
        <v>7</v>
      </c>
      <c r="E561">
        <v>70</v>
      </c>
      <c r="F561">
        <v>66302.710800000001</v>
      </c>
      <c r="G561">
        <v>175702.084</v>
      </c>
      <c r="H561">
        <v>27588.557959999998</v>
      </c>
      <c r="I561">
        <v>27.588557959999999</v>
      </c>
      <c r="J561">
        <v>2.7588557999999999E-2</v>
      </c>
      <c r="K561">
        <v>60.822286660000003</v>
      </c>
      <c r="L561">
        <v>5.2399999999999999E-3</v>
      </c>
      <c r="M561">
        <v>3.141</v>
      </c>
      <c r="N561">
        <v>138.00379409999999</v>
      </c>
      <c r="O561" s="2">
        <v>309.16985504215899</v>
      </c>
      <c r="P561" s="2">
        <v>347568.58119228901</v>
      </c>
      <c r="Q561" s="2">
        <v>835300.60368250299</v>
      </c>
      <c r="R561" s="2">
        <v>2213546.5997586302</v>
      </c>
      <c r="S561">
        <v>309.24444444444401</v>
      </c>
      <c r="T561">
        <v>0.13655555555555601</v>
      </c>
      <c r="U561">
        <v>9</v>
      </c>
    </row>
    <row r="562" spans="1:21" x14ac:dyDescent="0.25">
      <c r="A562" t="s">
        <v>77</v>
      </c>
      <c r="B562" t="s">
        <v>78</v>
      </c>
      <c r="C562">
        <v>10</v>
      </c>
      <c r="D562">
        <v>3</v>
      </c>
      <c r="E562">
        <v>30</v>
      </c>
      <c r="F562">
        <v>185344.34229999999</v>
      </c>
      <c r="G562">
        <v>491162.50699999998</v>
      </c>
      <c r="H562">
        <v>77121.780830000003</v>
      </c>
      <c r="I562">
        <v>77.121780830000006</v>
      </c>
      <c r="J562">
        <v>7.7121781E-2</v>
      </c>
      <c r="K562">
        <v>170.02422050000001</v>
      </c>
      <c r="L562">
        <v>3.5000000000000003E-2</v>
      </c>
      <c r="M562">
        <v>2.9</v>
      </c>
      <c r="N562">
        <v>153.9142985</v>
      </c>
      <c r="O562" s="2">
        <v>208.406936247815</v>
      </c>
      <c r="P562" s="2">
        <v>185743.376022977</v>
      </c>
      <c r="Q562" s="2">
        <v>446391.19447963801</v>
      </c>
      <c r="R562" s="2">
        <v>1182936.6653710401</v>
      </c>
      <c r="S562">
        <v>208.40700000000001</v>
      </c>
      <c r="T562">
        <v>0.5</v>
      </c>
      <c r="U562">
        <v>0</v>
      </c>
    </row>
    <row r="563" spans="1:21" x14ac:dyDescent="0.25">
      <c r="A563" t="s">
        <v>79</v>
      </c>
      <c r="B563" t="s">
        <v>80</v>
      </c>
      <c r="C563">
        <v>10</v>
      </c>
      <c r="D563">
        <v>2</v>
      </c>
      <c r="E563">
        <v>20</v>
      </c>
      <c r="F563">
        <v>4373.9485699999996</v>
      </c>
      <c r="G563">
        <v>11590.96371</v>
      </c>
      <c r="H563">
        <v>1820</v>
      </c>
      <c r="I563">
        <v>1.82</v>
      </c>
      <c r="J563">
        <v>1.82E-3</v>
      </c>
      <c r="K563">
        <v>4.0124084</v>
      </c>
      <c r="L563">
        <v>3.3999999999999998E-3</v>
      </c>
      <c r="M563">
        <v>3.2850000000000001</v>
      </c>
      <c r="N563">
        <v>41.169731259999999</v>
      </c>
      <c r="O563">
        <v>57.900941129376498</v>
      </c>
      <c r="P563">
        <v>5420.2045735432703</v>
      </c>
      <c r="Q563">
        <v>13026.2066175036</v>
      </c>
      <c r="R563">
        <v>34519.447536384701</v>
      </c>
      <c r="S563">
        <v>59.9</v>
      </c>
      <c r="T563">
        <v>0.17</v>
      </c>
      <c r="U563">
        <v>0</v>
      </c>
    </row>
    <row r="564" spans="1:21" x14ac:dyDescent="0.25">
      <c r="A564" t="s">
        <v>81</v>
      </c>
      <c r="B564" t="s">
        <v>82</v>
      </c>
      <c r="C564">
        <v>10</v>
      </c>
      <c r="D564">
        <v>2</v>
      </c>
      <c r="E564">
        <v>20</v>
      </c>
      <c r="F564">
        <v>3076.18361</v>
      </c>
      <c r="G564">
        <v>8151.8865660000001</v>
      </c>
      <c r="H564">
        <v>1280</v>
      </c>
      <c r="I564">
        <v>1.28</v>
      </c>
      <c r="J564">
        <v>1.2800000000000001E-3</v>
      </c>
      <c r="K564">
        <v>2.8219135999999998</v>
      </c>
      <c r="L564">
        <v>1.4999999999999999E-2</v>
      </c>
      <c r="M564">
        <v>3</v>
      </c>
      <c r="N564">
        <v>44.02569665</v>
      </c>
      <c r="O564">
        <v>102.462433384205</v>
      </c>
      <c r="P564">
        <v>16135.6050920246</v>
      </c>
      <c r="Q564">
        <v>38778.190560020703</v>
      </c>
      <c r="R564">
        <v>102762.204984055</v>
      </c>
      <c r="S564">
        <v>106</v>
      </c>
      <c r="T564">
        <v>0.17</v>
      </c>
      <c r="U564">
        <v>0</v>
      </c>
    </row>
    <row r="565" spans="1:21" x14ac:dyDescent="0.25">
      <c r="A565" t="s">
        <v>83</v>
      </c>
      <c r="B565" t="s">
        <v>84</v>
      </c>
      <c r="C565">
        <v>10</v>
      </c>
      <c r="D565">
        <v>7</v>
      </c>
      <c r="E565">
        <v>70</v>
      </c>
      <c r="F565">
        <v>66302.710800000001</v>
      </c>
      <c r="G565">
        <v>175702.084</v>
      </c>
      <c r="H565">
        <v>27588.557959999998</v>
      </c>
      <c r="I565">
        <v>27.588557959999999</v>
      </c>
      <c r="J565">
        <v>2.7588557999999999E-2</v>
      </c>
      <c r="K565">
        <v>60.822286660000003</v>
      </c>
      <c r="L565">
        <v>5.4000000000000003E-3</v>
      </c>
      <c r="M565">
        <v>3</v>
      </c>
      <c r="N565">
        <v>172.23116809999999</v>
      </c>
      <c r="O565">
        <v>279.91669197507599</v>
      </c>
      <c r="P565">
        <v>118435.023621453</v>
      </c>
      <c r="Q565">
        <v>284631.15506237099</v>
      </c>
      <c r="R565">
        <v>754272.56091528304</v>
      </c>
      <c r="S565">
        <v>280</v>
      </c>
      <c r="T565">
        <v>0.11600000000000001</v>
      </c>
      <c r="U565">
        <v>0</v>
      </c>
    </row>
    <row r="566" spans="1:21" x14ac:dyDescent="0.25">
      <c r="A566" t="s">
        <v>91</v>
      </c>
      <c r="B566" t="s">
        <v>92</v>
      </c>
      <c r="C566">
        <v>10</v>
      </c>
      <c r="D566">
        <v>2</v>
      </c>
      <c r="E566">
        <v>20</v>
      </c>
      <c r="F566">
        <v>3076.18361</v>
      </c>
      <c r="G566">
        <v>8151.8865660000001</v>
      </c>
      <c r="H566">
        <v>1280</v>
      </c>
      <c r="I566">
        <v>1.28</v>
      </c>
      <c r="J566">
        <v>1.2800000000000001E-3</v>
      </c>
      <c r="K566">
        <v>2.8219135999999998</v>
      </c>
      <c r="L566">
        <v>1.2999999999999999E-2</v>
      </c>
      <c r="M566">
        <v>3</v>
      </c>
      <c r="N566">
        <v>46.176626929999998</v>
      </c>
      <c r="O566">
        <v>58.853279534258803</v>
      </c>
      <c r="P566">
        <v>2650.0578686173299</v>
      </c>
      <c r="Q566">
        <v>6368.8004532980704</v>
      </c>
      <c r="R566">
        <v>16877.321201239902</v>
      </c>
      <c r="S566">
        <v>60.2</v>
      </c>
      <c r="T566">
        <v>0.19</v>
      </c>
      <c r="U566">
        <v>0</v>
      </c>
    </row>
    <row r="567" spans="1:21" x14ac:dyDescent="0.25">
      <c r="A567" t="s">
        <v>87</v>
      </c>
      <c r="B567" t="s">
        <v>88</v>
      </c>
      <c r="C567">
        <v>10</v>
      </c>
      <c r="D567">
        <v>2</v>
      </c>
      <c r="E567">
        <v>20</v>
      </c>
      <c r="F567">
        <v>3076.18361</v>
      </c>
      <c r="G567">
        <v>8151.8865660000001</v>
      </c>
      <c r="H567">
        <v>1280</v>
      </c>
      <c r="I567">
        <v>1.28</v>
      </c>
      <c r="J567">
        <v>1.2800000000000001E-3</v>
      </c>
      <c r="K567">
        <v>2.8219135999999998</v>
      </c>
      <c r="L567">
        <v>6.0000000000000001E-3</v>
      </c>
      <c r="M567">
        <v>3.1</v>
      </c>
      <c r="N567">
        <v>52.36621684</v>
      </c>
      <c r="O567">
        <v>30.796610351134799</v>
      </c>
      <c r="P567">
        <v>246.89386414200499</v>
      </c>
      <c r="Q567">
        <v>593.35223297766095</v>
      </c>
      <c r="R567">
        <v>1572.3834173908001</v>
      </c>
      <c r="S567">
        <v>31.4</v>
      </c>
      <c r="T567">
        <v>0.19</v>
      </c>
      <c r="U567">
        <v>-0.8</v>
      </c>
    </row>
    <row r="568" spans="1:21" x14ac:dyDescent="0.25">
      <c r="A568" t="s">
        <v>93</v>
      </c>
      <c r="B568" t="s">
        <v>94</v>
      </c>
      <c r="C568">
        <v>10</v>
      </c>
      <c r="D568">
        <v>9</v>
      </c>
      <c r="E568">
        <v>90</v>
      </c>
      <c r="F568">
        <v>1772528862</v>
      </c>
      <c r="G568">
        <v>4697201485</v>
      </c>
      <c r="H568">
        <v>737549259.5</v>
      </c>
      <c r="I568">
        <v>737549.25950000004</v>
      </c>
      <c r="J568">
        <v>737.54925949999995</v>
      </c>
      <c r="K568">
        <v>1626015.848</v>
      </c>
      <c r="L568" s="2">
        <v>1.7000000000000001E-2</v>
      </c>
      <c r="M568">
        <v>3</v>
      </c>
      <c r="N568">
        <v>1544.971047</v>
      </c>
      <c r="O568" s="2">
        <v>1584.9599997318401</v>
      </c>
      <c r="P568" s="2">
        <v>67686777.780979201</v>
      </c>
      <c r="Q568" s="2">
        <v>162669497.19052899</v>
      </c>
      <c r="R568" s="2">
        <v>431074167.55490202</v>
      </c>
      <c r="S568">
        <v>1584.96</v>
      </c>
      <c r="T568" s="2">
        <v>0.25</v>
      </c>
      <c r="U568">
        <v>0</v>
      </c>
    </row>
    <row r="569" spans="1:21" x14ac:dyDescent="0.25">
      <c r="A569" t="s">
        <v>109</v>
      </c>
      <c r="B569" t="s">
        <v>110</v>
      </c>
      <c r="C569">
        <v>10</v>
      </c>
      <c r="D569">
        <v>5</v>
      </c>
      <c r="E569">
        <v>50</v>
      </c>
      <c r="F569">
        <v>7701.2572719999998</v>
      </c>
      <c r="G569">
        <v>20408.331770000001</v>
      </c>
      <c r="H569">
        <v>3204.4931510000001</v>
      </c>
      <c r="I569">
        <v>3.2044931509999999</v>
      </c>
      <c r="J569">
        <v>3.2044930000000001E-3</v>
      </c>
      <c r="K569">
        <v>7.0646896899999998</v>
      </c>
      <c r="L569">
        <v>4.3E-3</v>
      </c>
      <c r="M569">
        <v>3.1</v>
      </c>
      <c r="N569">
        <v>78.394823119999998</v>
      </c>
      <c r="O569">
        <v>172.19671408346699</v>
      </c>
      <c r="P569">
        <v>36740.5388119864</v>
      </c>
      <c r="Q569">
        <v>88297.377582279194</v>
      </c>
      <c r="R569">
        <v>233988.05059304001</v>
      </c>
      <c r="S569">
        <v>186</v>
      </c>
      <c r="T569">
        <v>4.5999999999999999E-2</v>
      </c>
      <c r="U569">
        <v>-6.54</v>
      </c>
    </row>
    <row r="570" spans="1:21" x14ac:dyDescent="0.25">
      <c r="A570" t="s">
        <v>99</v>
      </c>
      <c r="B570" t="s">
        <v>100</v>
      </c>
      <c r="C570">
        <v>10</v>
      </c>
      <c r="D570">
        <v>2</v>
      </c>
      <c r="E570">
        <v>20</v>
      </c>
      <c r="F570">
        <v>3076.18361</v>
      </c>
      <c r="G570">
        <v>8151.8865660000001</v>
      </c>
      <c r="H570">
        <v>1280</v>
      </c>
      <c r="I570">
        <v>1.28</v>
      </c>
      <c r="J570">
        <v>1.2800000000000001E-3</v>
      </c>
      <c r="K570">
        <v>2.8219135999999998</v>
      </c>
      <c r="L570">
        <v>1.4999999999999999E-2</v>
      </c>
      <c r="M570">
        <v>3.1</v>
      </c>
      <c r="N570">
        <v>38.965787259999999</v>
      </c>
      <c r="O570">
        <v>40.9849733536822</v>
      </c>
      <c r="P570">
        <v>1497.0203221619099</v>
      </c>
      <c r="Q570">
        <v>3597.74170190318</v>
      </c>
      <c r="R570">
        <v>9534.0155100434204</v>
      </c>
      <c r="S570">
        <v>42.4</v>
      </c>
      <c r="T570">
        <v>0.17</v>
      </c>
      <c r="U570">
        <v>0</v>
      </c>
    </row>
    <row r="571" spans="1:21" x14ac:dyDescent="0.25">
      <c r="A571" t="s">
        <v>97</v>
      </c>
      <c r="B571" t="s">
        <v>98</v>
      </c>
      <c r="C571">
        <v>10</v>
      </c>
      <c r="D571">
        <v>2</v>
      </c>
      <c r="E571">
        <v>20</v>
      </c>
      <c r="F571">
        <v>27189.341339999999</v>
      </c>
      <c r="G571">
        <v>72051.754549999998</v>
      </c>
      <c r="H571">
        <v>11313.484930000001</v>
      </c>
      <c r="I571">
        <v>11.31348493</v>
      </c>
      <c r="J571">
        <v>1.1313485E-2</v>
      </c>
      <c r="K571">
        <v>24.941935149999999</v>
      </c>
      <c r="L571" s="2">
        <v>6.5000000000000002E-2</v>
      </c>
      <c r="M571">
        <v>3</v>
      </c>
      <c r="N571">
        <v>82.703166069999995</v>
      </c>
      <c r="O571">
        <v>23.5999927807052</v>
      </c>
      <c r="P571">
        <v>854.37585593284996</v>
      </c>
      <c r="Q571">
        <v>2053.2945348061799</v>
      </c>
      <c r="R571">
        <v>5441.2305172363704</v>
      </c>
      <c r="S571">
        <v>23.6</v>
      </c>
      <c r="T571">
        <v>0.75</v>
      </c>
      <c r="U571">
        <v>0</v>
      </c>
    </row>
    <row r="572" spans="1:21" x14ac:dyDescent="0.25">
      <c r="A572" s="2" t="s">
        <v>47</v>
      </c>
      <c r="B572" t="s">
        <v>48</v>
      </c>
      <c r="C572">
        <v>10</v>
      </c>
      <c r="D572">
        <v>1</v>
      </c>
      <c r="E572">
        <v>10</v>
      </c>
      <c r="F572">
        <v>408.79596249999997</v>
      </c>
      <c r="G572">
        <v>1083.309301</v>
      </c>
      <c r="H572">
        <v>170.09999999625001</v>
      </c>
      <c r="I572">
        <v>0.17009999999625</v>
      </c>
      <c r="J572">
        <v>1.7009999999625E-4</v>
      </c>
      <c r="K572">
        <v>0.37500586199173302</v>
      </c>
      <c r="L572" s="3">
        <v>1.23E-2</v>
      </c>
      <c r="M572" s="3">
        <v>3.2</v>
      </c>
      <c r="N572">
        <v>19.6788515996443</v>
      </c>
      <c r="O572" s="2">
        <v>39.087911451712699</v>
      </c>
      <c r="P572" s="2">
        <v>1529.1180047687301</v>
      </c>
      <c r="Q572" s="2">
        <v>3674.8810496725</v>
      </c>
      <c r="R572" s="2">
        <v>9738.4347816321097</v>
      </c>
      <c r="S572" s="2">
        <v>39.200000000000003</v>
      </c>
      <c r="T572" s="2">
        <v>0.58571428571428596</v>
      </c>
      <c r="U572" s="2">
        <v>0</v>
      </c>
    </row>
    <row r="573" spans="1:21" x14ac:dyDescent="0.25">
      <c r="A573" t="s">
        <v>103</v>
      </c>
      <c r="B573" t="s">
        <v>104</v>
      </c>
      <c r="C573">
        <v>10</v>
      </c>
      <c r="D573">
        <v>1</v>
      </c>
      <c r="E573">
        <v>10</v>
      </c>
      <c r="F573">
        <v>4325.8832009999996</v>
      </c>
      <c r="G573">
        <v>11463.590480000001</v>
      </c>
      <c r="H573">
        <v>1800</v>
      </c>
      <c r="I573">
        <v>1.8</v>
      </c>
      <c r="J573">
        <v>1.8E-3</v>
      </c>
      <c r="K573">
        <v>3.9683160000000002</v>
      </c>
      <c r="L573">
        <v>1.2999999999999999E-2</v>
      </c>
      <c r="M573">
        <v>2.8</v>
      </c>
      <c r="N573">
        <v>68.578658140000002</v>
      </c>
      <c r="O573">
        <v>54.589452710308201</v>
      </c>
      <c r="P573">
        <v>950.27176421676802</v>
      </c>
      <c r="Q573">
        <v>2283.7581451977098</v>
      </c>
      <c r="R573">
        <v>6051.95908477393</v>
      </c>
      <c r="S573">
        <v>65.400000000000006</v>
      </c>
      <c r="T573">
        <v>0.18</v>
      </c>
      <c r="U573">
        <v>0</v>
      </c>
    </row>
    <row r="574" spans="1:21" x14ac:dyDescent="0.25">
      <c r="A574" s="2" t="s">
        <v>105</v>
      </c>
      <c r="B574" t="s">
        <v>106</v>
      </c>
      <c r="C574">
        <v>10</v>
      </c>
      <c r="D574">
        <v>3</v>
      </c>
      <c r="E574">
        <v>30</v>
      </c>
      <c r="F574">
        <v>32000</v>
      </c>
      <c r="G574">
        <v>85500</v>
      </c>
      <c r="H574">
        <v>13315.2</v>
      </c>
      <c r="I574">
        <v>13.315200000000001</v>
      </c>
      <c r="J574">
        <v>1.3315199999999999E-2</v>
      </c>
      <c r="K574">
        <v>29.346700800000001</v>
      </c>
      <c r="L574" s="3">
        <v>1.2699999999999999E-2</v>
      </c>
      <c r="M574" s="3">
        <v>3.1</v>
      </c>
      <c r="N574">
        <v>87.520735578139096</v>
      </c>
      <c r="O574" s="2">
        <v>108.864683917384</v>
      </c>
      <c r="P574" s="2">
        <v>26191.083819039501</v>
      </c>
      <c r="Q574" s="2">
        <v>62944.205284882199</v>
      </c>
      <c r="R574" s="2">
        <v>166802.14400493799</v>
      </c>
      <c r="S574">
        <v>109.97499999999999</v>
      </c>
      <c r="T574">
        <v>0.14749999999999999</v>
      </c>
      <c r="U574">
        <v>-1.1566666666666701</v>
      </c>
    </row>
    <row r="575" spans="1:21" x14ac:dyDescent="0.25">
      <c r="A575" t="s">
        <v>115</v>
      </c>
      <c r="B575" t="s">
        <v>116</v>
      </c>
      <c r="C575">
        <v>10</v>
      </c>
      <c r="D575">
        <v>7</v>
      </c>
      <c r="E575">
        <v>70</v>
      </c>
      <c r="F575">
        <v>9236059.2980000004</v>
      </c>
      <c r="G575">
        <v>24475557.140000001</v>
      </c>
      <c r="H575">
        <v>3843124.2740000002</v>
      </c>
      <c r="I575">
        <v>3843.1242739999998</v>
      </c>
      <c r="J575">
        <v>3.843124274</v>
      </c>
      <c r="K575">
        <v>8472.6286369999998</v>
      </c>
      <c r="L575" s="2">
        <v>1.4999999999999999E-2</v>
      </c>
      <c r="M575">
        <v>3</v>
      </c>
      <c r="N575">
        <v>727.04530810000006</v>
      </c>
      <c r="O575" s="2">
        <v>271.77999317560699</v>
      </c>
      <c r="P575" s="2">
        <v>301122.847972702</v>
      </c>
      <c r="Q575" s="2">
        <v>723679.03862701904</v>
      </c>
      <c r="R575" s="2">
        <v>1917749.4523616</v>
      </c>
      <c r="S575">
        <v>271.77999999999997</v>
      </c>
      <c r="T575">
        <v>0.25</v>
      </c>
      <c r="U575">
        <v>0</v>
      </c>
    </row>
    <row r="576" spans="1:21" x14ac:dyDescent="0.25">
      <c r="A576" t="s">
        <v>107</v>
      </c>
      <c r="B576" t="s">
        <v>108</v>
      </c>
      <c r="C576">
        <v>10</v>
      </c>
      <c r="D576">
        <v>5</v>
      </c>
      <c r="E576">
        <v>50</v>
      </c>
      <c r="F576">
        <v>7701.2572719999998</v>
      </c>
      <c r="G576">
        <v>20408.331770000001</v>
      </c>
      <c r="H576">
        <v>3204.4931510000001</v>
      </c>
      <c r="I576">
        <v>3.2044931509999999</v>
      </c>
      <c r="J576">
        <v>3.2044930000000001E-3</v>
      </c>
      <c r="K576">
        <v>7.0646896899999998</v>
      </c>
      <c r="L576">
        <v>3.5999999999999999E-3</v>
      </c>
      <c r="M576">
        <v>3</v>
      </c>
      <c r="N576">
        <v>96.194952009999994</v>
      </c>
      <c r="O576">
        <v>134.52485336554699</v>
      </c>
      <c r="P576">
        <v>8764.1556661491104</v>
      </c>
      <c r="Q576">
        <v>21062.618760271798</v>
      </c>
      <c r="R576">
        <v>55815.9397147204</v>
      </c>
      <c r="S576">
        <v>150</v>
      </c>
      <c r="T576">
        <v>4.1000000000000002E-2</v>
      </c>
      <c r="U576">
        <v>-5.4</v>
      </c>
    </row>
    <row r="577" spans="1:21" x14ac:dyDescent="0.25">
      <c r="A577" t="s">
        <v>41</v>
      </c>
      <c r="B577" t="s">
        <v>42</v>
      </c>
      <c r="C577">
        <v>10</v>
      </c>
      <c r="D577">
        <v>4</v>
      </c>
      <c r="E577">
        <v>40</v>
      </c>
      <c r="F577">
        <v>31491.086510000001</v>
      </c>
      <c r="G577">
        <v>83451.379249999998</v>
      </c>
      <c r="H577">
        <v>13103.4411</v>
      </c>
      <c r="I577">
        <v>13.1034411</v>
      </c>
      <c r="J577">
        <v>1.3103441E-2</v>
      </c>
      <c r="K577">
        <v>28.88810831</v>
      </c>
      <c r="L577">
        <v>1.34E-2</v>
      </c>
      <c r="M577">
        <v>3.1</v>
      </c>
      <c r="N577">
        <v>85.575327229999999</v>
      </c>
      <c r="O577">
        <v>90.928597279291296</v>
      </c>
      <c r="P577">
        <v>15815.2594832019</v>
      </c>
      <c r="Q577">
        <v>38008.314066815503</v>
      </c>
      <c r="R577">
        <v>100722.03227706099</v>
      </c>
      <c r="S577">
        <v>91.5</v>
      </c>
      <c r="T577">
        <v>0.12690000000000001</v>
      </c>
      <c r="U577">
        <v>0</v>
      </c>
    </row>
    <row r="578" spans="1:21" x14ac:dyDescent="0.25">
      <c r="A578" t="s">
        <v>111</v>
      </c>
      <c r="B578" t="s">
        <v>112</v>
      </c>
      <c r="C578">
        <v>10</v>
      </c>
      <c r="D578">
        <v>2</v>
      </c>
      <c r="E578">
        <v>20</v>
      </c>
      <c r="F578">
        <v>3076.18361</v>
      </c>
      <c r="G578">
        <v>8151.8865660000001</v>
      </c>
      <c r="H578">
        <v>1280</v>
      </c>
      <c r="I578">
        <v>1.28</v>
      </c>
      <c r="J578">
        <v>1.2800000000000001E-3</v>
      </c>
      <c r="K578">
        <v>2.8219135999999998</v>
      </c>
      <c r="L578">
        <v>1.2200000000000001E-2</v>
      </c>
      <c r="M578">
        <v>2.9</v>
      </c>
      <c r="N578">
        <v>53.867600940000003</v>
      </c>
      <c r="O578">
        <v>96.076773768154396</v>
      </c>
      <c r="P578">
        <v>6854.1439786024202</v>
      </c>
      <c r="Q578">
        <v>16472.3479418467</v>
      </c>
      <c r="R578">
        <v>43651.722045893803</v>
      </c>
      <c r="S578">
        <v>98.7</v>
      </c>
      <c r="T578">
        <v>0.158</v>
      </c>
      <c r="U578">
        <v>-2.96</v>
      </c>
    </row>
    <row r="579" spans="1:21" x14ac:dyDescent="0.25">
      <c r="A579" t="s">
        <v>113</v>
      </c>
      <c r="B579" t="s">
        <v>114</v>
      </c>
      <c r="C579">
        <v>10</v>
      </c>
      <c r="D579">
        <v>2</v>
      </c>
      <c r="E579">
        <v>20</v>
      </c>
      <c r="F579">
        <v>4373.9485699999996</v>
      </c>
      <c r="G579">
        <v>11590.96371</v>
      </c>
      <c r="H579">
        <v>1820</v>
      </c>
      <c r="I579">
        <v>1.82</v>
      </c>
      <c r="J579">
        <v>1.82E-3</v>
      </c>
      <c r="K579">
        <v>4.0124084</v>
      </c>
      <c r="L579">
        <v>1.2E-2</v>
      </c>
      <c r="M579">
        <v>3.05</v>
      </c>
      <c r="N579">
        <v>49.963459960000002</v>
      </c>
      <c r="O579">
        <v>84.734460780851904</v>
      </c>
      <c r="P579">
        <v>9115.1634332104404</v>
      </c>
      <c r="Q579">
        <v>21906.184650830201</v>
      </c>
      <c r="R579">
        <v>58051.389324700001</v>
      </c>
      <c r="S579">
        <v>85.9</v>
      </c>
      <c r="T579">
        <v>0.215</v>
      </c>
      <c r="U579">
        <v>0</v>
      </c>
    </row>
    <row r="580" spans="1:21" x14ac:dyDescent="0.25">
      <c r="A580" t="s">
        <v>117</v>
      </c>
      <c r="B580" t="s">
        <v>118</v>
      </c>
      <c r="C580">
        <v>10</v>
      </c>
      <c r="D580">
        <v>2</v>
      </c>
      <c r="E580">
        <v>20</v>
      </c>
      <c r="F580">
        <v>3076.18361</v>
      </c>
      <c r="G580">
        <v>8151.8865660000001</v>
      </c>
      <c r="H580">
        <v>1280</v>
      </c>
      <c r="I580">
        <v>1.28</v>
      </c>
      <c r="J580">
        <v>1.2800000000000001E-3</v>
      </c>
      <c r="K580">
        <v>2.8219135999999998</v>
      </c>
      <c r="L580">
        <v>1.4999999999999999E-2</v>
      </c>
      <c r="M580">
        <v>3</v>
      </c>
      <c r="N580">
        <v>44.02569665</v>
      </c>
      <c r="O580">
        <v>63.293457267080001</v>
      </c>
      <c r="P580">
        <v>3803.3624564326001</v>
      </c>
      <c r="Q580">
        <v>9140.5009767666306</v>
      </c>
      <c r="R580">
        <v>24222.327588431599</v>
      </c>
      <c r="S580">
        <v>73.2</v>
      </c>
      <c r="T580">
        <v>0.1</v>
      </c>
      <c r="U580">
        <v>0</v>
      </c>
    </row>
    <row r="581" spans="1:21" x14ac:dyDescent="0.25">
      <c r="A581" t="s">
        <v>123</v>
      </c>
      <c r="B581" t="s">
        <v>124</v>
      </c>
      <c r="C581">
        <v>10</v>
      </c>
      <c r="D581">
        <v>2</v>
      </c>
      <c r="E581">
        <v>20</v>
      </c>
      <c r="F581">
        <v>3076.18361</v>
      </c>
      <c r="G581">
        <v>8151.8865660000001</v>
      </c>
      <c r="H581">
        <v>1280</v>
      </c>
      <c r="I581">
        <v>1.28</v>
      </c>
      <c r="J581">
        <v>1.2800000000000001E-3</v>
      </c>
      <c r="K581">
        <v>2.8219135999999998</v>
      </c>
      <c r="L581">
        <v>9.4999999999999998E-3</v>
      </c>
      <c r="M581">
        <v>3.1</v>
      </c>
      <c r="N581">
        <v>45.151587120000002</v>
      </c>
      <c r="O581">
        <v>102.51643976005199</v>
      </c>
      <c r="P581">
        <v>16262.357460261001</v>
      </c>
      <c r="Q581">
        <v>39082.8105269429</v>
      </c>
      <c r="R581">
        <v>103569.447896399</v>
      </c>
      <c r="S581">
        <v>111</v>
      </c>
      <c r="T581">
        <v>0.13</v>
      </c>
      <c r="U581">
        <v>0.22</v>
      </c>
    </row>
    <row r="582" spans="1:21" x14ac:dyDescent="0.25">
      <c r="A582" t="s">
        <v>121</v>
      </c>
      <c r="B582" t="s">
        <v>122</v>
      </c>
      <c r="C582">
        <v>10</v>
      </c>
      <c r="D582">
        <v>7</v>
      </c>
      <c r="E582">
        <v>70</v>
      </c>
      <c r="F582">
        <v>9236059.2980000004</v>
      </c>
      <c r="G582">
        <v>24475557.140000001</v>
      </c>
      <c r="H582">
        <v>3843124.2740000002</v>
      </c>
      <c r="I582">
        <v>3843.1242739999998</v>
      </c>
      <c r="J582">
        <v>3.843124274</v>
      </c>
      <c r="K582">
        <v>8472.6286369999998</v>
      </c>
      <c r="L582" s="2">
        <v>1E-3</v>
      </c>
      <c r="M582">
        <v>3</v>
      </c>
      <c r="N582">
        <v>727.04530810000006</v>
      </c>
      <c r="O582" s="2">
        <v>2615.7599343182901</v>
      </c>
      <c r="P582" s="2">
        <v>17897552.711488701</v>
      </c>
      <c r="Q582" s="2">
        <v>43012623.675771996</v>
      </c>
      <c r="R582" s="2">
        <v>113983452.740796</v>
      </c>
      <c r="S582">
        <v>2615.7600000000002</v>
      </c>
      <c r="T582">
        <v>0.25</v>
      </c>
      <c r="U582">
        <v>0</v>
      </c>
    </row>
    <row r="583" spans="1:21" x14ac:dyDescent="0.25">
      <c r="A583" t="s">
        <v>119</v>
      </c>
      <c r="B583" t="s">
        <v>120</v>
      </c>
      <c r="C583">
        <v>10</v>
      </c>
      <c r="D583">
        <v>3</v>
      </c>
      <c r="E583">
        <v>30</v>
      </c>
      <c r="F583">
        <v>188718.33360000001</v>
      </c>
      <c r="G583">
        <v>500103.58419999998</v>
      </c>
      <c r="H583">
        <v>78525.698610000007</v>
      </c>
      <c r="I583">
        <v>78.525698610000006</v>
      </c>
      <c r="J583">
        <v>7.8525699000000004E-2</v>
      </c>
      <c r="K583">
        <v>173.11932569999999</v>
      </c>
      <c r="L583">
        <v>2.1399999999999999E-2</v>
      </c>
      <c r="M583">
        <v>2.96</v>
      </c>
      <c r="N583">
        <v>165.1085664</v>
      </c>
      <c r="O583" s="2">
        <v>133.521030297659</v>
      </c>
      <c r="P583" s="2">
        <v>41883.292127343702</v>
      </c>
      <c r="Q583" s="2">
        <v>100656.79434593501</v>
      </c>
      <c r="R583" s="2">
        <v>266740.505016729</v>
      </c>
      <c r="S583">
        <v>133.76666666666699</v>
      </c>
      <c r="T583">
        <v>0.3</v>
      </c>
      <c r="U583">
        <v>9</v>
      </c>
    </row>
    <row r="584" spans="1:21" x14ac:dyDescent="0.25">
      <c r="A584" t="s">
        <v>89</v>
      </c>
      <c r="B584" t="s">
        <v>90</v>
      </c>
      <c r="C584">
        <v>10</v>
      </c>
      <c r="D584">
        <v>8</v>
      </c>
      <c r="E584">
        <v>80</v>
      </c>
      <c r="F584">
        <v>100000</v>
      </c>
      <c r="G584">
        <v>265000</v>
      </c>
      <c r="H584">
        <v>41610</v>
      </c>
      <c r="I584">
        <v>41.61</v>
      </c>
      <c r="J584">
        <v>4.1610000000000001E-2</v>
      </c>
      <c r="K584">
        <v>91.734238199999993</v>
      </c>
      <c r="L584" s="2">
        <v>0.05</v>
      </c>
      <c r="M584" s="2">
        <v>3.2</v>
      </c>
      <c r="N584">
        <v>217.4624772</v>
      </c>
      <c r="O584">
        <v>114.299971373378</v>
      </c>
      <c r="P584">
        <v>2986.5401700472498</v>
      </c>
      <c r="Q584">
        <v>7177.4577506542901</v>
      </c>
      <c r="R584">
        <v>19020.263039233902</v>
      </c>
      <c r="S584">
        <v>114.3</v>
      </c>
      <c r="T584">
        <v>0.19</v>
      </c>
      <c r="U584">
        <v>0</v>
      </c>
    </row>
    <row r="585" spans="1:21" x14ac:dyDescent="0.25">
      <c r="A585" t="s">
        <v>125</v>
      </c>
      <c r="B585" t="s">
        <v>126</v>
      </c>
      <c r="C585">
        <v>10</v>
      </c>
      <c r="D585">
        <v>1</v>
      </c>
      <c r="E585">
        <v>10</v>
      </c>
      <c r="F585">
        <v>34739.245369999997</v>
      </c>
      <c r="G585">
        <v>92059.000239999994</v>
      </c>
      <c r="H585">
        <v>14455</v>
      </c>
      <c r="I585">
        <v>14.455</v>
      </c>
      <c r="J585">
        <v>1.4455000000000001E-2</v>
      </c>
      <c r="K585">
        <v>31.867782099999999</v>
      </c>
      <c r="L585">
        <v>1.4999999999999999E-2</v>
      </c>
      <c r="M585">
        <v>2.9</v>
      </c>
      <c r="N585">
        <v>115.7238962</v>
      </c>
      <c r="O585">
        <v>85.968396000683796</v>
      </c>
      <c r="P585">
        <v>6104.8338399565801</v>
      </c>
      <c r="Q585">
        <v>14671.554530056699</v>
      </c>
      <c r="R585">
        <v>38879.619504650203</v>
      </c>
      <c r="S585">
        <v>136</v>
      </c>
      <c r="T585">
        <v>0.1</v>
      </c>
      <c r="U585">
        <v>0</v>
      </c>
    </row>
    <row r="586" spans="1:21" x14ac:dyDescent="0.25">
      <c r="A586" t="s">
        <v>131</v>
      </c>
      <c r="B586" t="s">
        <v>132</v>
      </c>
      <c r="C586">
        <v>10</v>
      </c>
      <c r="D586">
        <v>2</v>
      </c>
      <c r="E586">
        <v>20</v>
      </c>
      <c r="F586">
        <v>4373.9485699999996</v>
      </c>
      <c r="G586">
        <v>11590.96371</v>
      </c>
      <c r="H586">
        <v>1820</v>
      </c>
      <c r="I586">
        <v>1.82</v>
      </c>
      <c r="J586">
        <v>1.82E-3</v>
      </c>
      <c r="K586">
        <v>4.0124084</v>
      </c>
      <c r="L586">
        <v>1.4E-2</v>
      </c>
      <c r="M586">
        <v>2.9</v>
      </c>
      <c r="N586">
        <v>58.000099980000002</v>
      </c>
      <c r="O586">
        <v>44.862975302784797</v>
      </c>
      <c r="P586">
        <v>864.17847758364303</v>
      </c>
      <c r="Q586">
        <v>2076.8528660986399</v>
      </c>
      <c r="R586">
        <v>5503.66009516139</v>
      </c>
      <c r="S586">
        <v>45.7</v>
      </c>
      <c r="T586">
        <v>0.2</v>
      </c>
      <c r="U586">
        <v>0</v>
      </c>
    </row>
    <row r="587" spans="1:21" x14ac:dyDescent="0.25">
      <c r="A587" t="s">
        <v>133</v>
      </c>
      <c r="B587" t="s">
        <v>134</v>
      </c>
      <c r="C587">
        <v>10</v>
      </c>
      <c r="D587">
        <v>3</v>
      </c>
      <c r="E587">
        <v>30</v>
      </c>
      <c r="F587">
        <v>32000</v>
      </c>
      <c r="G587">
        <v>85500</v>
      </c>
      <c r="H587">
        <v>13315.2</v>
      </c>
      <c r="I587">
        <v>13.315200000000001</v>
      </c>
      <c r="J587">
        <v>1.3315199999999999E-2</v>
      </c>
      <c r="K587">
        <v>29.354956219999998</v>
      </c>
      <c r="L587">
        <v>1.2699999999999999E-2</v>
      </c>
      <c r="M587">
        <v>3.1</v>
      </c>
      <c r="N587">
        <v>87.520735579999993</v>
      </c>
      <c r="O587">
        <v>108.324274206064</v>
      </c>
      <c r="P587">
        <v>25790.137840376901</v>
      </c>
      <c r="Q587">
        <v>61980.624466178502</v>
      </c>
      <c r="R587">
        <v>164248.65483537299</v>
      </c>
      <c r="S587">
        <v>114</v>
      </c>
      <c r="T587">
        <v>0.1</v>
      </c>
      <c r="U587">
        <v>0</v>
      </c>
    </row>
    <row r="588" spans="1:21" x14ac:dyDescent="0.25">
      <c r="A588" t="s">
        <v>127</v>
      </c>
      <c r="B588" t="s">
        <v>128</v>
      </c>
      <c r="C588">
        <v>10</v>
      </c>
      <c r="D588">
        <v>2</v>
      </c>
      <c r="E588">
        <v>20</v>
      </c>
      <c r="F588">
        <v>4373.9485699999996</v>
      </c>
      <c r="G588">
        <v>11590.96371</v>
      </c>
      <c r="H588">
        <v>1820</v>
      </c>
      <c r="I588">
        <v>1.82</v>
      </c>
      <c r="J588">
        <v>1.82E-3</v>
      </c>
      <c r="K588">
        <v>4.0124084</v>
      </c>
      <c r="L588">
        <v>1.4E-2</v>
      </c>
      <c r="M588">
        <v>3</v>
      </c>
      <c r="N588">
        <v>50.65797019</v>
      </c>
      <c r="O588">
        <v>62.075710903091597</v>
      </c>
      <c r="P588">
        <v>3348.8303064529</v>
      </c>
      <c r="Q588">
        <v>8048.1382034436401</v>
      </c>
      <c r="R588">
        <v>21327.566239125601</v>
      </c>
      <c r="S588">
        <v>62.2</v>
      </c>
      <c r="T588">
        <v>0.31</v>
      </c>
      <c r="U588">
        <v>-0.05</v>
      </c>
    </row>
    <row r="589" spans="1:21" x14ac:dyDescent="0.25">
      <c r="A589" t="s">
        <v>135</v>
      </c>
      <c r="B589" t="s">
        <v>136</v>
      </c>
      <c r="C589">
        <v>10</v>
      </c>
      <c r="D589">
        <v>2</v>
      </c>
      <c r="E589">
        <v>20</v>
      </c>
      <c r="F589">
        <v>4373.9485699999996</v>
      </c>
      <c r="G589">
        <v>11590.96371</v>
      </c>
      <c r="H589">
        <v>1820</v>
      </c>
      <c r="I589">
        <v>1.82</v>
      </c>
      <c r="J589">
        <v>1.82E-3</v>
      </c>
      <c r="K589">
        <v>4.0124084</v>
      </c>
      <c r="L589">
        <v>1.2E-2</v>
      </c>
      <c r="M589">
        <v>3</v>
      </c>
      <c r="N589">
        <v>53.328992700000001</v>
      </c>
      <c r="O589">
        <v>52.146811142691</v>
      </c>
      <c r="P589">
        <v>1701.6275700194101</v>
      </c>
      <c r="Q589">
        <v>4089.46784431485</v>
      </c>
      <c r="R589">
        <v>10837.089787434399</v>
      </c>
      <c r="S589">
        <v>60.5</v>
      </c>
      <c r="T589">
        <v>9.9000000000000005E-2</v>
      </c>
      <c r="U589">
        <v>0</v>
      </c>
    </row>
    <row r="590" spans="1:21" x14ac:dyDescent="0.25">
      <c r="A590" t="s">
        <v>129</v>
      </c>
      <c r="B590" t="s">
        <v>130</v>
      </c>
      <c r="C590">
        <v>10</v>
      </c>
      <c r="D590">
        <v>2</v>
      </c>
      <c r="E590">
        <v>20</v>
      </c>
      <c r="F590">
        <v>3076.18361</v>
      </c>
      <c r="G590">
        <v>8151.8865660000001</v>
      </c>
      <c r="H590">
        <v>1280</v>
      </c>
      <c r="I590">
        <v>1.28</v>
      </c>
      <c r="J590">
        <v>1.2800000000000001E-3</v>
      </c>
      <c r="K590">
        <v>2.8219135999999998</v>
      </c>
      <c r="L590">
        <v>1.2500000000000001E-2</v>
      </c>
      <c r="M590">
        <v>2.88</v>
      </c>
      <c r="N590">
        <v>54.91455706</v>
      </c>
      <c r="O590">
        <v>91.140390993795705</v>
      </c>
      <c r="P590">
        <v>5506.5218729766202</v>
      </c>
      <c r="Q590">
        <v>13233.650259496801</v>
      </c>
      <c r="R590">
        <v>35069.1731876665</v>
      </c>
      <c r="S590">
        <v>158</v>
      </c>
      <c r="T590">
        <v>4.2999999999999997E-2</v>
      </c>
      <c r="U590">
        <v>0</v>
      </c>
    </row>
    <row r="591" spans="1:21" x14ac:dyDescent="0.25">
      <c r="A591" t="s">
        <v>137</v>
      </c>
      <c r="B591" t="s">
        <v>138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zoomScaleNormal="100" workbookViewId="0">
      <pane xSplit="2" ySplit="1" topLeftCell="O227" activePane="bottomRight" state="frozen"/>
      <selection pane="topRight" activeCell="E1" sqref="E1"/>
      <selection pane="bottomLeft" activeCell="A368" sqref="A368"/>
      <selection pane="bottomRight" activeCell="U232" sqref="U232"/>
    </sheetView>
  </sheetViews>
  <sheetFormatPr defaultRowHeight="15" x14ac:dyDescent="0.25"/>
  <cols>
    <col min="1" max="1" width="8.5703125"/>
    <col min="2" max="2" width="18.85546875"/>
    <col min="3" max="3" width="6.85546875"/>
    <col min="4" max="4" width="7.42578125"/>
    <col min="5" max="5" width="4"/>
    <col min="6" max="8" width="8.5703125"/>
    <col min="9" max="9" width="12.85546875"/>
    <col min="10" max="17" width="8.5703125"/>
    <col min="18" max="18" width="11.7109375"/>
    <col min="19" max="23" width="8.5703125"/>
    <col min="24" max="24" width="21.28515625"/>
    <col min="25" max="25" width="19.7109375"/>
    <col min="26" max="26" width="22.28515625"/>
    <col min="27" max="27" width="15.5703125"/>
    <col min="28" max="28" width="22.5703125"/>
    <col min="29" max="29" width="15.7109375"/>
    <col min="30" max="30" width="15.42578125"/>
    <col min="31" max="31" width="11.85546875"/>
    <col min="32" max="32" width="12.5703125"/>
    <col min="33" max="1025" width="8.5703125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400</v>
      </c>
      <c r="P1" s="1" t="s">
        <v>401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5" x14ac:dyDescent="0.25">
      <c r="A2" t="s">
        <v>21</v>
      </c>
      <c r="B2" t="s">
        <v>22</v>
      </c>
      <c r="C2">
        <v>1</v>
      </c>
      <c r="D2">
        <v>1</v>
      </c>
      <c r="E2">
        <f t="shared" ref="E2:E33" si="0"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f t="shared" ref="O2:O65" si="1">R2*0.00220462</f>
        <v>5.4245104679097669E-3</v>
      </c>
      <c r="P2">
        <f t="shared" ref="P2:P65" si="2">Q2/2.54</f>
        <v>2.1092848113765359</v>
      </c>
      <c r="Q2">
        <f t="shared" ref="Q2:Q11" si="3">13.8*(1-EXP(-0.21*(E2+1.34)))</f>
        <v>5.3575834208964013</v>
      </c>
      <c r="R2">
        <f t="shared" ref="R2:R65" si="4">L2*(Q2^M2)</f>
        <v>2.4605194854032746</v>
      </c>
      <c r="S2">
        <f t="shared" ref="S2:S65" si="5">R2/20/5.7/3.65*1000</f>
        <v>5.913288837787249</v>
      </c>
      <c r="T2">
        <f t="shared" ref="T2:T65" si="6">S2*2.65</f>
        <v>15.670215420136209</v>
      </c>
      <c r="U2">
        <v>13.8</v>
      </c>
      <c r="V2">
        <v>0.21</v>
      </c>
      <c r="W2">
        <v>-1.34</v>
      </c>
      <c r="Y2" t="s">
        <v>402</v>
      </c>
    </row>
    <row r="3" spans="1:25" x14ac:dyDescent="0.25">
      <c r="A3" t="s">
        <v>21</v>
      </c>
      <c r="B3" t="s">
        <v>22</v>
      </c>
      <c r="C3">
        <v>2</v>
      </c>
      <c r="D3">
        <v>1</v>
      </c>
      <c r="E3">
        <f t="shared" si="0"/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f t="shared" si="1"/>
        <v>1.187587034075698E-2</v>
      </c>
      <c r="P3">
        <f t="shared" si="2"/>
        <v>2.7388622531736626</v>
      </c>
      <c r="Q3">
        <f t="shared" si="3"/>
        <v>6.9567101230611028</v>
      </c>
      <c r="R3">
        <f t="shared" si="4"/>
        <v>5.3868105799443802</v>
      </c>
      <c r="S3">
        <f t="shared" si="5"/>
        <v>12.945951886432059</v>
      </c>
      <c r="T3">
        <f t="shared" si="6"/>
        <v>34.306772499044953</v>
      </c>
      <c r="U3">
        <v>13.8</v>
      </c>
      <c r="V3">
        <v>0.21</v>
      </c>
      <c r="W3">
        <v>-1.34</v>
      </c>
    </row>
    <row r="4" spans="1:25" x14ac:dyDescent="0.25">
      <c r="A4" t="s">
        <v>21</v>
      </c>
      <c r="B4" t="s">
        <v>22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f t="shared" si="1"/>
        <v>1.9828018743465816E-2</v>
      </c>
      <c r="P4">
        <f t="shared" si="2"/>
        <v>3.2491878091126258</v>
      </c>
      <c r="Q4">
        <f t="shared" si="3"/>
        <v>8.2529370351460702</v>
      </c>
      <c r="R4">
        <f t="shared" si="4"/>
        <v>8.9938487101930562</v>
      </c>
      <c r="S4">
        <f t="shared" si="5"/>
        <v>21.614632805078241</v>
      </c>
      <c r="T4">
        <f t="shared" si="6"/>
        <v>57.278776933457337</v>
      </c>
      <c r="U4">
        <v>13.8</v>
      </c>
      <c r="V4">
        <v>0.21</v>
      </c>
      <c r="W4">
        <v>-1.34</v>
      </c>
    </row>
    <row r="5" spans="1:25" x14ac:dyDescent="0.25">
      <c r="A5" t="s">
        <v>21</v>
      </c>
      <c r="B5" t="s">
        <v>22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f t="shared" si="1"/>
        <v>2.8406135746100691E-2</v>
      </c>
      <c r="P5">
        <f t="shared" si="2"/>
        <v>3.6628496650727267</v>
      </c>
      <c r="Q5">
        <f t="shared" si="3"/>
        <v>9.3036381492847262</v>
      </c>
      <c r="R5">
        <f t="shared" si="4"/>
        <v>12.884821758897537</v>
      </c>
      <c r="S5">
        <f t="shared" si="5"/>
        <v>30.965685553707132</v>
      </c>
      <c r="T5">
        <f t="shared" si="6"/>
        <v>82.059066717323901</v>
      </c>
      <c r="U5">
        <v>13.8</v>
      </c>
      <c r="V5">
        <v>0.21</v>
      </c>
      <c r="W5">
        <v>-1.34</v>
      </c>
    </row>
    <row r="6" spans="1:25" x14ac:dyDescent="0.25">
      <c r="A6" t="s">
        <v>21</v>
      </c>
      <c r="B6" t="s">
        <v>22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f t="shared" si="1"/>
        <v>3.6943203631487849E-2</v>
      </c>
      <c r="P6">
        <f t="shared" si="2"/>
        <v>3.998157448672774</v>
      </c>
      <c r="Q6">
        <f t="shared" si="3"/>
        <v>10.155319919628846</v>
      </c>
      <c r="R6">
        <f t="shared" si="4"/>
        <v>16.757175219079862</v>
      </c>
      <c r="S6">
        <f t="shared" si="5"/>
        <v>40.271990432780257</v>
      </c>
      <c r="T6">
        <f t="shared" si="6"/>
        <v>106.72077464686768</v>
      </c>
      <c r="U6">
        <v>13.8</v>
      </c>
      <c r="V6">
        <v>0.21</v>
      </c>
      <c r="W6">
        <v>-1.34</v>
      </c>
    </row>
    <row r="7" spans="1:25" x14ac:dyDescent="0.25">
      <c r="A7" t="s">
        <v>21</v>
      </c>
      <c r="B7" t="s">
        <v>22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f t="shared" si="1"/>
        <v>4.5001195824509323E-2</v>
      </c>
      <c r="P7">
        <f t="shared" si="2"/>
        <v>4.2699526556101519</v>
      </c>
      <c r="Q7">
        <f t="shared" si="3"/>
        <v>10.845679745249786</v>
      </c>
      <c r="R7">
        <f t="shared" si="4"/>
        <v>20.412223342122143</v>
      </c>
      <c r="S7">
        <f t="shared" si="5"/>
        <v>49.056052252156078</v>
      </c>
      <c r="T7">
        <f t="shared" si="6"/>
        <v>129.99853846821361</v>
      </c>
      <c r="U7">
        <v>13.8</v>
      </c>
      <c r="V7">
        <v>0.21</v>
      </c>
      <c r="W7">
        <v>-1.34</v>
      </c>
    </row>
    <row r="8" spans="1:25" x14ac:dyDescent="0.25">
      <c r="A8" t="s">
        <v>21</v>
      </c>
      <c r="B8" t="s">
        <v>22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f t="shared" si="1"/>
        <v>5.233243677143895E-2</v>
      </c>
      <c r="P8">
        <f t="shared" si="2"/>
        <v>4.4902655684837978</v>
      </c>
      <c r="Q8">
        <f t="shared" si="3"/>
        <v>11.405274543948847</v>
      </c>
      <c r="R8">
        <f t="shared" si="4"/>
        <v>23.737622253013647</v>
      </c>
      <c r="S8">
        <f t="shared" si="5"/>
        <v>57.047878522022707</v>
      </c>
      <c r="T8">
        <f t="shared" si="6"/>
        <v>151.17687808336018</v>
      </c>
      <c r="U8">
        <v>13.8</v>
      </c>
      <c r="V8">
        <v>0.21</v>
      </c>
      <c r="W8">
        <v>-1.34</v>
      </c>
    </row>
    <row r="9" spans="1:25" x14ac:dyDescent="0.25">
      <c r="A9" t="s">
        <v>21</v>
      </c>
      <c r="B9" t="s">
        <v>22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f t="shared" si="1"/>
        <v>5.8827989983243588E-2</v>
      </c>
      <c r="P9">
        <f t="shared" si="2"/>
        <v>4.6688477448429779</v>
      </c>
      <c r="Q9">
        <f t="shared" si="3"/>
        <v>11.858873271901164</v>
      </c>
      <c r="R9">
        <f t="shared" si="4"/>
        <v>26.683959132750129</v>
      </c>
      <c r="S9">
        <f t="shared" si="5"/>
        <v>64.128716973684519</v>
      </c>
      <c r="T9">
        <f t="shared" si="6"/>
        <v>169.94109998026397</v>
      </c>
      <c r="U9">
        <v>13.8</v>
      </c>
      <c r="V9">
        <v>0.21</v>
      </c>
      <c r="W9">
        <v>-1.34</v>
      </c>
    </row>
    <row r="10" spans="1:25" x14ac:dyDescent="0.25">
      <c r="A10" t="s">
        <v>21</v>
      </c>
      <c r="B10" t="s">
        <v>22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f t="shared" si="1"/>
        <v>6.4471215339730131E-2</v>
      </c>
      <c r="P10">
        <f t="shared" si="2"/>
        <v>4.813603643610799</v>
      </c>
      <c r="Q10">
        <f t="shared" si="3"/>
        <v>12.22655325477143</v>
      </c>
      <c r="R10">
        <f t="shared" si="4"/>
        <v>29.243686140799834</v>
      </c>
      <c r="S10">
        <f t="shared" si="5"/>
        <v>70.280428120163023</v>
      </c>
      <c r="T10">
        <f t="shared" si="6"/>
        <v>186.24313451843202</v>
      </c>
      <c r="U10">
        <v>13.8</v>
      </c>
      <c r="V10">
        <v>0.21</v>
      </c>
      <c r="W10">
        <v>-1.34</v>
      </c>
    </row>
    <row r="11" spans="1:25" x14ac:dyDescent="0.25">
      <c r="A11" t="s">
        <v>21</v>
      </c>
      <c r="B11" t="s">
        <v>22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f t="shared" si="1"/>
        <v>6.9301743423260828E-2</v>
      </c>
      <c r="P11">
        <f t="shared" si="2"/>
        <v>4.9309404946632496</v>
      </c>
      <c r="Q11">
        <f t="shared" si="3"/>
        <v>12.524588856444653</v>
      </c>
      <c r="R11">
        <f t="shared" si="4"/>
        <v>31.434779428319086</v>
      </c>
      <c r="S11">
        <f t="shared" si="5"/>
        <v>75.546213478296281</v>
      </c>
      <c r="T11">
        <f t="shared" si="6"/>
        <v>200.19746571748513</v>
      </c>
      <c r="U11">
        <v>13.8</v>
      </c>
      <c r="V11">
        <v>0.21</v>
      </c>
      <c r="W11">
        <v>-1.34</v>
      </c>
    </row>
    <row r="12" spans="1:25" x14ac:dyDescent="0.25">
      <c r="A12" t="s">
        <v>23</v>
      </c>
      <c r="B12" t="s">
        <v>24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f t="shared" si="1"/>
        <v>60.099249187502743</v>
      </c>
      <c r="P12">
        <f t="shared" si="2"/>
        <v>38.13329205623802</v>
      </c>
      <c r="Q12">
        <f t="shared" ref="Q12:Q21" si="7">314.9*(1-EXP(-0.089*(E12-W12)))</f>
        <v>96.858561822844564</v>
      </c>
      <c r="R12">
        <f t="shared" si="4"/>
        <v>27260.593293856873</v>
      </c>
      <c r="S12">
        <f t="shared" si="5"/>
        <v>65514.523657430604</v>
      </c>
      <c r="T12">
        <f t="shared" si="6"/>
        <v>173613.48769219109</v>
      </c>
      <c r="U12">
        <v>314.89999999999998</v>
      </c>
      <c r="V12">
        <v>8.8999999999999996E-2</v>
      </c>
      <c r="W12">
        <v>-1.1299999999999999</v>
      </c>
      <c r="Y12" t="s">
        <v>402</v>
      </c>
    </row>
    <row r="13" spans="1:25" x14ac:dyDescent="0.25">
      <c r="A13" t="s">
        <v>23</v>
      </c>
      <c r="B13" t="s">
        <v>24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f t="shared" si="1"/>
        <v>185.63744457152487</v>
      </c>
      <c r="P13">
        <f t="shared" si="2"/>
        <v>58.248638710303133</v>
      </c>
      <c r="Q13">
        <f t="shared" si="7"/>
        <v>147.95154232416996</v>
      </c>
      <c r="R13">
        <f t="shared" si="4"/>
        <v>84203.828583395269</v>
      </c>
      <c r="S13">
        <f t="shared" si="5"/>
        <v>202364.40418984683</v>
      </c>
      <c r="T13">
        <f t="shared" si="6"/>
        <v>536265.67110309412</v>
      </c>
      <c r="U13">
        <v>314.89999999999998</v>
      </c>
      <c r="V13">
        <v>8.8999999999999996E-2</v>
      </c>
      <c r="W13">
        <v>-1.1299999999999999</v>
      </c>
    </row>
    <row r="14" spans="1:25" x14ac:dyDescent="0.25">
      <c r="A14" t="s">
        <v>23</v>
      </c>
      <c r="B14" t="s">
        <v>24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f t="shared" si="1"/>
        <v>375.26139459102626</v>
      </c>
      <c r="P14">
        <f t="shared" si="2"/>
        <v>73.650417966511881</v>
      </c>
      <c r="Q14">
        <f t="shared" si="7"/>
        <v>187.07206163494018</v>
      </c>
      <c r="R14">
        <f t="shared" si="4"/>
        <v>170215.90777141924</v>
      </c>
      <c r="S14">
        <f t="shared" si="5"/>
        <v>409074.51999860426</v>
      </c>
      <c r="T14">
        <f t="shared" si="6"/>
        <v>1084047.4779963011</v>
      </c>
      <c r="U14">
        <v>314.89999999999998</v>
      </c>
      <c r="V14">
        <v>8.8999999999999996E-2</v>
      </c>
      <c r="W14">
        <v>-1.1299999999999999</v>
      </c>
    </row>
    <row r="15" spans="1:25" x14ac:dyDescent="0.25">
      <c r="A15" t="s">
        <v>23</v>
      </c>
      <c r="B15" t="s">
        <v>24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f t="shared" si="1"/>
        <v>585.92216380458058</v>
      </c>
      <c r="P15">
        <f t="shared" si="2"/>
        <v>85.443145595644935</v>
      </c>
      <c r="Q15">
        <f t="shared" si="7"/>
        <v>217.02558981293814</v>
      </c>
      <c r="R15">
        <f t="shared" si="4"/>
        <v>265770.13898294518</v>
      </c>
      <c r="S15">
        <f t="shared" si="5"/>
        <v>638716.98866365093</v>
      </c>
      <c r="T15">
        <f t="shared" si="6"/>
        <v>1692600.0199586749</v>
      </c>
      <c r="U15">
        <v>314.89999999999998</v>
      </c>
      <c r="V15">
        <v>8.8999999999999996E-2</v>
      </c>
      <c r="W15">
        <v>-1.1299999999999999</v>
      </c>
    </row>
    <row r="16" spans="1:25" x14ac:dyDescent="0.25">
      <c r="A16" t="s">
        <v>23</v>
      </c>
      <c r="B16" t="s">
        <v>24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f t="shared" si="1"/>
        <v>791.99918593264431</v>
      </c>
      <c r="P16">
        <f t="shared" si="2"/>
        <v>94.472519580397815</v>
      </c>
      <c r="Q16">
        <f t="shared" si="7"/>
        <v>239.96019973421045</v>
      </c>
      <c r="R16">
        <f t="shared" si="4"/>
        <v>359245.21501784632</v>
      </c>
      <c r="S16">
        <f t="shared" si="5"/>
        <v>863362.6893002796</v>
      </c>
      <c r="T16">
        <f t="shared" si="6"/>
        <v>2287911.1266457411</v>
      </c>
      <c r="U16">
        <v>314.89999999999998</v>
      </c>
      <c r="V16">
        <v>8.8999999999999996E-2</v>
      </c>
      <c r="W16">
        <v>-1.1299999999999999</v>
      </c>
    </row>
    <row r="17" spans="1:25" x14ac:dyDescent="0.25">
      <c r="A17" t="s">
        <v>23</v>
      </c>
      <c r="B17" t="s">
        <v>24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f t="shared" si="1"/>
        <v>978.91071693233516</v>
      </c>
      <c r="P17">
        <f t="shared" si="2"/>
        <v>101.3860680927131</v>
      </c>
      <c r="Q17">
        <f t="shared" si="7"/>
        <v>257.52061295549129</v>
      </c>
      <c r="R17">
        <f t="shared" si="4"/>
        <v>444026.96017106582</v>
      </c>
      <c r="S17">
        <f t="shared" si="5"/>
        <v>1067115.9821462769</v>
      </c>
      <c r="T17">
        <f t="shared" si="6"/>
        <v>2827857.3526876336</v>
      </c>
      <c r="U17">
        <v>314.89999999999998</v>
      </c>
      <c r="V17">
        <v>8.8999999999999996E-2</v>
      </c>
      <c r="W17">
        <v>-1.1299999999999999</v>
      </c>
    </row>
    <row r="18" spans="1:25" x14ac:dyDescent="0.25">
      <c r="A18" t="s">
        <v>23</v>
      </c>
      <c r="B18" t="s">
        <v>24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f t="shared" si="1"/>
        <v>1140.3868634143705</v>
      </c>
      <c r="P18">
        <f t="shared" si="2"/>
        <v>106.67958601686239</v>
      </c>
      <c r="Q18">
        <f t="shared" si="7"/>
        <v>270.96614848283048</v>
      </c>
      <c r="R18">
        <f t="shared" si="4"/>
        <v>517271.39525830775</v>
      </c>
      <c r="S18">
        <f t="shared" si="5"/>
        <v>1243142.0217695453</v>
      </c>
      <c r="T18">
        <f t="shared" si="6"/>
        <v>3294326.357689295</v>
      </c>
      <c r="U18">
        <v>314.89999999999998</v>
      </c>
      <c r="V18">
        <v>8.8999999999999996E-2</v>
      </c>
      <c r="W18">
        <v>-1.1299999999999999</v>
      </c>
    </row>
    <row r="19" spans="1:25" x14ac:dyDescent="0.25">
      <c r="A19" t="s">
        <v>23</v>
      </c>
      <c r="B19" t="s">
        <v>24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f t="shared" si="1"/>
        <v>1275.3688141184296</v>
      </c>
      <c r="P19">
        <f t="shared" si="2"/>
        <v>110.7326901447028</v>
      </c>
      <c r="Q19">
        <f t="shared" si="7"/>
        <v>281.26103296754513</v>
      </c>
      <c r="R19">
        <f t="shared" si="4"/>
        <v>578498.25099946</v>
      </c>
      <c r="S19">
        <f t="shared" si="5"/>
        <v>1390286.5921640471</v>
      </c>
      <c r="T19">
        <f t="shared" si="6"/>
        <v>3684259.4692347245</v>
      </c>
      <c r="U19">
        <v>314.89999999999998</v>
      </c>
      <c r="V19">
        <v>8.8999999999999996E-2</v>
      </c>
      <c r="W19">
        <v>-1.1299999999999999</v>
      </c>
    </row>
    <row r="20" spans="1:25" x14ac:dyDescent="0.25">
      <c r="A20" t="s">
        <v>23</v>
      </c>
      <c r="B20" t="s">
        <v>24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f t="shared" si="1"/>
        <v>1385.6310667995626</v>
      </c>
      <c r="P20">
        <f t="shared" si="2"/>
        <v>113.83604283123536</v>
      </c>
      <c r="Q20">
        <f t="shared" si="7"/>
        <v>289.14354879133782</v>
      </c>
      <c r="R20">
        <f t="shared" si="4"/>
        <v>628512.4269940228</v>
      </c>
      <c r="S20">
        <f t="shared" si="5"/>
        <v>1510484.0831387234</v>
      </c>
      <c r="T20">
        <f t="shared" si="6"/>
        <v>4002782.8203176167</v>
      </c>
      <c r="U20">
        <v>314.89999999999998</v>
      </c>
      <c r="V20">
        <v>8.8999999999999996E-2</v>
      </c>
      <c r="W20">
        <v>-1.1299999999999999</v>
      </c>
    </row>
    <row r="21" spans="1:25" x14ac:dyDescent="0.25">
      <c r="A21" t="s">
        <v>23</v>
      </c>
      <c r="B21" t="s">
        <v>24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f t="shared" si="1"/>
        <v>1474.2236333620258</v>
      </c>
      <c r="P21">
        <f t="shared" si="2"/>
        <v>116.21219641457307</v>
      </c>
      <c r="Q21">
        <f t="shared" si="7"/>
        <v>295.1789788930156</v>
      </c>
      <c r="R21">
        <f t="shared" si="4"/>
        <v>668697.38701546111</v>
      </c>
      <c r="S21">
        <f t="shared" si="5"/>
        <v>1607059.3295252612</v>
      </c>
      <c r="T21">
        <f t="shared" si="6"/>
        <v>4258707.223241942</v>
      </c>
      <c r="U21">
        <v>314.89999999999998</v>
      </c>
      <c r="V21">
        <v>8.8999999999999996E-2</v>
      </c>
      <c r="W21">
        <v>-1.1299999999999999</v>
      </c>
    </row>
    <row r="22" spans="1:25" x14ac:dyDescent="0.25">
      <c r="A22" t="s">
        <v>25</v>
      </c>
      <c r="B22" t="s">
        <v>26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f t="shared" si="1"/>
        <v>1.5628926660886155</v>
      </c>
      <c r="P22">
        <f t="shared" si="2"/>
        <v>13.251183688769341</v>
      </c>
      <c r="Q22">
        <f t="shared" ref="Q22:Q31" si="8">358.7*(1-EXP(-0.092*(E22-1.929)))</f>
        <v>33.658006569474125</v>
      </c>
      <c r="R22">
        <f t="shared" si="4"/>
        <v>708.91703154675884</v>
      </c>
      <c r="S22">
        <f t="shared" si="5"/>
        <v>1703.7179320998771</v>
      </c>
      <c r="T22">
        <f t="shared" si="6"/>
        <v>4514.8525200646745</v>
      </c>
      <c r="U22">
        <v>358.7</v>
      </c>
      <c r="V22">
        <v>9.1999999999999998E-2</v>
      </c>
      <c r="W22">
        <v>-1.929</v>
      </c>
    </row>
    <row r="23" spans="1:25" x14ac:dyDescent="0.25">
      <c r="A23" t="s">
        <v>25</v>
      </c>
      <c r="B23" t="s">
        <v>26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f t="shared" si="1"/>
        <v>54.960634537569021</v>
      </c>
      <c r="P23">
        <f t="shared" si="2"/>
        <v>44.115721395474992</v>
      </c>
      <c r="Q23">
        <f t="shared" si="8"/>
        <v>112.05393234450648</v>
      </c>
      <c r="R23">
        <f t="shared" si="4"/>
        <v>24929.754124324838</v>
      </c>
      <c r="S23">
        <f t="shared" si="5"/>
        <v>59912.891430725394</v>
      </c>
      <c r="T23">
        <f t="shared" si="6"/>
        <v>158769.16229142228</v>
      </c>
      <c r="U23">
        <v>358.7</v>
      </c>
      <c r="V23">
        <v>9.1999999999999998E-2</v>
      </c>
      <c r="W23">
        <v>-1.929</v>
      </c>
    </row>
    <row r="24" spans="1:25" x14ac:dyDescent="0.25">
      <c r="A24" t="s">
        <v>25</v>
      </c>
      <c r="B24" t="s">
        <v>26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f t="shared" si="1"/>
        <v>193.85741420912026</v>
      </c>
      <c r="P24">
        <f t="shared" si="2"/>
        <v>67.536131709291155</v>
      </c>
      <c r="Q24">
        <f t="shared" si="8"/>
        <v>171.54177454159952</v>
      </c>
      <c r="R24">
        <f t="shared" si="4"/>
        <v>87932.348526784786</v>
      </c>
      <c r="S24">
        <f t="shared" si="5"/>
        <v>211325.03851666619</v>
      </c>
      <c r="T24">
        <f t="shared" si="6"/>
        <v>560011.35206916532</v>
      </c>
      <c r="U24">
        <v>358.7</v>
      </c>
      <c r="V24">
        <v>9.1999999999999998E-2</v>
      </c>
      <c r="W24">
        <v>-1.929</v>
      </c>
    </row>
    <row r="25" spans="1:25" x14ac:dyDescent="0.25">
      <c r="A25" t="s">
        <v>25</v>
      </c>
      <c r="B25" t="s">
        <v>26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f t="shared" si="1"/>
        <v>387.06386193655959</v>
      </c>
      <c r="P25">
        <f t="shared" si="2"/>
        <v>85.307841899148798</v>
      </c>
      <c r="Q25">
        <f t="shared" si="8"/>
        <v>216.68191842383794</v>
      </c>
      <c r="R25">
        <f t="shared" si="4"/>
        <v>175569.42327319883</v>
      </c>
      <c r="S25">
        <f t="shared" si="5"/>
        <v>421940.45487430628</v>
      </c>
      <c r="T25">
        <f t="shared" si="6"/>
        <v>1118142.2054169115</v>
      </c>
      <c r="U25">
        <v>358.7</v>
      </c>
      <c r="V25">
        <v>9.1999999999999998E-2</v>
      </c>
      <c r="W25">
        <v>-1.929</v>
      </c>
    </row>
    <row r="26" spans="1:25" x14ac:dyDescent="0.25">
      <c r="A26" t="s">
        <v>25</v>
      </c>
      <c r="B26" t="s">
        <v>26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f t="shared" si="1"/>
        <v>597.65145972849223</v>
      </c>
      <c r="P26">
        <f t="shared" si="2"/>
        <v>98.793245392954091</v>
      </c>
      <c r="Q26">
        <f t="shared" si="8"/>
        <v>250.9348432981034</v>
      </c>
      <c r="R26">
        <f t="shared" si="4"/>
        <v>271090.46444670385</v>
      </c>
      <c r="S26">
        <f t="shared" si="5"/>
        <v>651503.15896828612</v>
      </c>
      <c r="T26">
        <f t="shared" si="6"/>
        <v>1726483.3712659581</v>
      </c>
      <c r="U26">
        <v>358.7</v>
      </c>
      <c r="V26">
        <v>9.1999999999999998E-2</v>
      </c>
      <c r="W26">
        <v>-1.929</v>
      </c>
    </row>
    <row r="27" spans="1:25" x14ac:dyDescent="0.25">
      <c r="A27" t="s">
        <v>25</v>
      </c>
      <c r="B27" t="s">
        <v>26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f t="shared" si="1"/>
        <v>800.10327454688809</v>
      </c>
      <c r="P27">
        <f t="shared" si="2"/>
        <v>109.02614394058637</v>
      </c>
      <c r="Q27">
        <f t="shared" si="8"/>
        <v>276.92640560908939</v>
      </c>
      <c r="R27">
        <f t="shared" si="4"/>
        <v>362921.17215070536</v>
      </c>
      <c r="S27">
        <f t="shared" si="5"/>
        <v>872197.00108316599</v>
      </c>
      <c r="T27">
        <f t="shared" si="6"/>
        <v>2311322.05287039</v>
      </c>
      <c r="U27">
        <v>358.7</v>
      </c>
      <c r="V27">
        <v>9.1999999999999998E-2</v>
      </c>
      <c r="W27">
        <v>-1.929</v>
      </c>
    </row>
    <row r="28" spans="1:25" x14ac:dyDescent="0.25">
      <c r="A28" t="s">
        <v>25</v>
      </c>
      <c r="B28" t="s">
        <v>26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f t="shared" si="1"/>
        <v>980.81493416340754</v>
      </c>
      <c r="P28">
        <f t="shared" si="2"/>
        <v>116.7909996776977</v>
      </c>
      <c r="Q28">
        <f t="shared" si="8"/>
        <v>296.64913918135215</v>
      </c>
      <c r="R28">
        <f t="shared" si="4"/>
        <v>444890.69960510544</v>
      </c>
      <c r="S28">
        <f t="shared" si="5"/>
        <v>1069191.7798728803</v>
      </c>
      <c r="T28">
        <f t="shared" si="6"/>
        <v>2833358.2166631329</v>
      </c>
      <c r="U28">
        <v>358.7</v>
      </c>
      <c r="V28">
        <v>9.1999999999999998E-2</v>
      </c>
      <c r="W28">
        <v>-1.929</v>
      </c>
    </row>
    <row r="29" spans="1:25" x14ac:dyDescent="0.25">
      <c r="A29" t="s">
        <v>25</v>
      </c>
      <c r="B29" t="s">
        <v>26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f t="shared" si="1"/>
        <v>1134.6394124016742</v>
      </c>
      <c r="P29">
        <f t="shared" si="2"/>
        <v>122.68307261651337</v>
      </c>
      <c r="Q29">
        <f t="shared" si="8"/>
        <v>311.61500444594395</v>
      </c>
      <c r="R29">
        <f t="shared" si="4"/>
        <v>514664.39223162003</v>
      </c>
      <c r="S29">
        <f t="shared" si="5"/>
        <v>1236876.6936592644</v>
      </c>
      <c r="T29">
        <f t="shared" si="6"/>
        <v>3277723.2381970505</v>
      </c>
      <c r="U29">
        <v>358.7</v>
      </c>
      <c r="V29">
        <v>9.1999999999999998E-2</v>
      </c>
      <c r="W29">
        <v>-1.929</v>
      </c>
    </row>
    <row r="30" spans="1:25" x14ac:dyDescent="0.25">
      <c r="A30" t="s">
        <v>25</v>
      </c>
      <c r="B30" t="s">
        <v>26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f t="shared" si="1"/>
        <v>1261.4578393319337</v>
      </c>
      <c r="P30">
        <f t="shared" si="2"/>
        <v>127.15405375147506</v>
      </c>
      <c r="Q30">
        <f t="shared" si="8"/>
        <v>322.97129652874668</v>
      </c>
      <c r="R30">
        <f t="shared" si="4"/>
        <v>572188.33147296752</v>
      </c>
      <c r="S30">
        <f t="shared" si="5"/>
        <v>1375122.1616750001</v>
      </c>
      <c r="T30">
        <f t="shared" si="6"/>
        <v>3644073.7284387499</v>
      </c>
      <c r="U30">
        <v>358.7</v>
      </c>
      <c r="V30">
        <v>9.1999999999999998E-2</v>
      </c>
      <c r="W30">
        <v>-1.929</v>
      </c>
    </row>
    <row r="31" spans="1:25" x14ac:dyDescent="0.25">
      <c r="A31" t="s">
        <v>25</v>
      </c>
      <c r="B31" t="s">
        <v>26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f t="shared" si="1"/>
        <v>1363.7108551125075</v>
      </c>
      <c r="P31">
        <f t="shared" si="2"/>
        <v>130.5466920498736</v>
      </c>
      <c r="Q31">
        <f t="shared" si="8"/>
        <v>331.58859780667893</v>
      </c>
      <c r="R31">
        <f t="shared" si="4"/>
        <v>618569.57439944637</v>
      </c>
      <c r="S31">
        <f t="shared" si="5"/>
        <v>1486588.7392440429</v>
      </c>
      <c r="T31">
        <f t="shared" si="6"/>
        <v>3939460.1589967133</v>
      </c>
      <c r="U31">
        <v>358.7</v>
      </c>
      <c r="V31">
        <v>9.1999999999999998E-2</v>
      </c>
      <c r="W31">
        <v>-1.929</v>
      </c>
    </row>
    <row r="32" spans="1:25" x14ac:dyDescent="0.25">
      <c r="A32" t="s">
        <v>27</v>
      </c>
      <c r="B32" t="s">
        <v>28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f t="shared" si="1"/>
        <v>0.34487597134848863</v>
      </c>
      <c r="P32">
        <f t="shared" si="2"/>
        <v>10.646659268563043</v>
      </c>
      <c r="Q32">
        <f t="shared" ref="Q32:Q41" si="9">81.53*(1-EXP(-0.31*(E32+0.3)))</f>
        <v>27.04251454215013</v>
      </c>
      <c r="R32">
        <f t="shared" si="4"/>
        <v>156.43329523840328</v>
      </c>
      <c r="S32">
        <f t="shared" si="5"/>
        <v>375.95120220716962</v>
      </c>
      <c r="T32">
        <f t="shared" si="6"/>
        <v>996.27068584899939</v>
      </c>
      <c r="U32">
        <v>81.53</v>
      </c>
      <c r="V32">
        <v>0.31</v>
      </c>
      <c r="W32">
        <v>-0.3</v>
      </c>
      <c r="Y32" t="s">
        <v>402</v>
      </c>
    </row>
    <row r="33" spans="1:25" x14ac:dyDescent="0.25">
      <c r="A33" t="s">
        <v>27</v>
      </c>
      <c r="B33" t="s">
        <v>28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f t="shared" si="1"/>
        <v>1.1997119635086224</v>
      </c>
      <c r="P33">
        <f t="shared" si="2"/>
        <v>16.364692771112122</v>
      </c>
      <c r="Q33">
        <f t="shared" si="9"/>
        <v>41.56631963862479</v>
      </c>
      <c r="R33">
        <f t="shared" si="4"/>
        <v>544.18084001262002</v>
      </c>
      <c r="S33">
        <f t="shared" si="5"/>
        <v>1307.8126412223505</v>
      </c>
      <c r="T33">
        <f t="shared" si="6"/>
        <v>3465.7034992392287</v>
      </c>
      <c r="U33">
        <v>81.53</v>
      </c>
      <c r="V33">
        <v>0.31</v>
      </c>
      <c r="W33">
        <v>-0.3</v>
      </c>
    </row>
    <row r="34" spans="1:25" x14ac:dyDescent="0.25">
      <c r="A34" t="s">
        <v>27</v>
      </c>
      <c r="B34" t="s">
        <v>28</v>
      </c>
      <c r="C34">
        <v>3</v>
      </c>
      <c r="D34">
        <v>1</v>
      </c>
      <c r="E34">
        <f t="shared" ref="E34:E51" si="10">C34*D34</f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f t="shared" si="1"/>
        <v>2.3250026038222074</v>
      </c>
      <c r="P34">
        <f t="shared" si="2"/>
        <v>20.558567039145256</v>
      </c>
      <c r="Q34">
        <f t="shared" si="9"/>
        <v>52.218760279428949</v>
      </c>
      <c r="R34">
        <f t="shared" si="4"/>
        <v>1054.604695513153</v>
      </c>
      <c r="S34">
        <f t="shared" si="5"/>
        <v>2534.4981867655683</v>
      </c>
      <c r="T34">
        <f t="shared" si="6"/>
        <v>6716.4201949287562</v>
      </c>
      <c r="U34">
        <v>81.53</v>
      </c>
      <c r="V34">
        <v>0.31</v>
      </c>
      <c r="W34">
        <v>-0.3</v>
      </c>
    </row>
    <row r="35" spans="1:25" x14ac:dyDescent="0.25">
      <c r="A35" t="s">
        <v>27</v>
      </c>
      <c r="B35" t="s">
        <v>28</v>
      </c>
      <c r="C35">
        <v>4</v>
      </c>
      <c r="D35">
        <v>1</v>
      </c>
      <c r="E35">
        <f t="shared" si="10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f t="shared" si="1"/>
        <v>3.4836262798741529</v>
      </c>
      <c r="P35">
        <f t="shared" si="2"/>
        <v>23.634551355821525</v>
      </c>
      <c r="Q35">
        <f t="shared" si="9"/>
        <v>60.031760443786673</v>
      </c>
      <c r="R35">
        <f t="shared" si="4"/>
        <v>1580.1481796745711</v>
      </c>
      <c r="S35">
        <f t="shared" si="5"/>
        <v>3797.5202587708991</v>
      </c>
      <c r="T35">
        <f t="shared" si="6"/>
        <v>10063.428685742881</v>
      </c>
      <c r="U35">
        <v>81.53</v>
      </c>
      <c r="V35">
        <v>0.31</v>
      </c>
      <c r="W35">
        <v>-0.3</v>
      </c>
    </row>
    <row r="36" spans="1:25" x14ac:dyDescent="0.25">
      <c r="A36" t="s">
        <v>27</v>
      </c>
      <c r="B36" t="s">
        <v>28</v>
      </c>
      <c r="C36">
        <v>5</v>
      </c>
      <c r="D36">
        <v>1</v>
      </c>
      <c r="E36">
        <f t="shared" si="10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f t="shared" si="1"/>
        <v>4.5379263579078364</v>
      </c>
      <c r="P36">
        <f t="shared" si="2"/>
        <v>25.890622690281386</v>
      </c>
      <c r="Q36">
        <f t="shared" si="9"/>
        <v>65.762181633314725</v>
      </c>
      <c r="R36">
        <f t="shared" si="4"/>
        <v>2058.3712194880914</v>
      </c>
      <c r="S36">
        <f t="shared" si="5"/>
        <v>4946.8186000675105</v>
      </c>
      <c r="T36">
        <f t="shared" si="6"/>
        <v>13109.069290178903</v>
      </c>
      <c r="U36">
        <v>81.53</v>
      </c>
      <c r="V36">
        <v>0.31</v>
      </c>
      <c r="W36">
        <v>-0.3</v>
      </c>
    </row>
    <row r="37" spans="1:25" x14ac:dyDescent="0.25">
      <c r="A37" t="s">
        <v>27</v>
      </c>
      <c r="B37" t="s">
        <v>28</v>
      </c>
      <c r="C37">
        <v>6</v>
      </c>
      <c r="D37">
        <v>1</v>
      </c>
      <c r="E37">
        <f t="shared" si="10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f t="shared" si="1"/>
        <v>5.4310450953502416</v>
      </c>
      <c r="P37">
        <f t="shared" si="2"/>
        <v>27.545331343565842</v>
      </c>
      <c r="Q37">
        <f t="shared" si="9"/>
        <v>69.965141612657234</v>
      </c>
      <c r="R37">
        <f t="shared" si="4"/>
        <v>2463.4835460760773</v>
      </c>
      <c r="S37">
        <f t="shared" si="5"/>
        <v>5920.4122712715152</v>
      </c>
      <c r="T37">
        <f t="shared" si="6"/>
        <v>15689.092518869515</v>
      </c>
      <c r="U37">
        <v>81.53</v>
      </c>
      <c r="V37">
        <v>0.31</v>
      </c>
      <c r="W37">
        <v>-0.3</v>
      </c>
    </row>
    <row r="38" spans="1:25" x14ac:dyDescent="0.25">
      <c r="A38" t="s">
        <v>27</v>
      </c>
      <c r="B38" t="s">
        <v>28</v>
      </c>
      <c r="C38">
        <v>7</v>
      </c>
      <c r="D38">
        <v>1</v>
      </c>
      <c r="E38">
        <f t="shared" si="10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f t="shared" si="1"/>
        <v>6.1544175883974503</v>
      </c>
      <c r="P38">
        <f t="shared" si="2"/>
        <v>28.75897236875532</v>
      </c>
      <c r="Q38">
        <f t="shared" si="9"/>
        <v>73.047789816638513</v>
      </c>
      <c r="R38">
        <f t="shared" si="4"/>
        <v>2791.6001798030729</v>
      </c>
      <c r="S38">
        <f t="shared" si="5"/>
        <v>6708.9646234152196</v>
      </c>
      <c r="T38">
        <f t="shared" si="6"/>
        <v>17778.756252050331</v>
      </c>
      <c r="U38">
        <v>81.53</v>
      </c>
      <c r="V38">
        <v>0.31</v>
      </c>
      <c r="W38">
        <v>-0.3</v>
      </c>
    </row>
    <row r="39" spans="1:25" x14ac:dyDescent="0.25">
      <c r="A39" t="s">
        <v>27</v>
      </c>
      <c r="B39" t="s">
        <v>28</v>
      </c>
      <c r="C39">
        <v>8</v>
      </c>
      <c r="D39">
        <v>1</v>
      </c>
      <c r="E39">
        <f t="shared" si="10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f t="shared" si="1"/>
        <v>6.7232332837738102</v>
      </c>
      <c r="P39">
        <f t="shared" si="2"/>
        <v>29.649113684629466</v>
      </c>
      <c r="Q39">
        <f t="shared" si="9"/>
        <v>75.308748758958842</v>
      </c>
      <c r="R39">
        <f t="shared" si="4"/>
        <v>3049.6109460014923</v>
      </c>
      <c r="S39">
        <f t="shared" si="5"/>
        <v>7329.0337563121666</v>
      </c>
      <c r="T39">
        <f t="shared" si="6"/>
        <v>19421.939454227242</v>
      </c>
      <c r="U39">
        <v>81.53</v>
      </c>
      <c r="V39">
        <v>0.31</v>
      </c>
      <c r="W39">
        <v>-0.3</v>
      </c>
    </row>
    <row r="40" spans="1:25" x14ac:dyDescent="0.25">
      <c r="A40" t="s">
        <v>27</v>
      </c>
      <c r="B40" t="s">
        <v>28</v>
      </c>
      <c r="C40">
        <v>9</v>
      </c>
      <c r="D40">
        <v>1</v>
      </c>
      <c r="E40">
        <f t="shared" si="10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f t="shared" si="1"/>
        <v>7.1616046117138472</v>
      </c>
      <c r="P40">
        <f t="shared" si="2"/>
        <v>30.301985123366844</v>
      </c>
      <c r="Q40">
        <f t="shared" si="9"/>
        <v>76.967042213351789</v>
      </c>
      <c r="R40">
        <f t="shared" si="4"/>
        <v>3248.4530720549787</v>
      </c>
      <c r="S40">
        <f t="shared" si="5"/>
        <v>7806.9047634101871</v>
      </c>
      <c r="T40">
        <f t="shared" si="6"/>
        <v>20688.297623036997</v>
      </c>
      <c r="U40">
        <v>81.53</v>
      </c>
      <c r="V40">
        <v>0.31</v>
      </c>
      <c r="W40">
        <v>-0.3</v>
      </c>
    </row>
    <row r="41" spans="1:25" x14ac:dyDescent="0.25">
      <c r="A41" t="s">
        <v>27</v>
      </c>
      <c r="B41" t="s">
        <v>28</v>
      </c>
      <c r="C41">
        <v>10</v>
      </c>
      <c r="D41">
        <v>1</v>
      </c>
      <c r="E41">
        <f t="shared" si="10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f t="shared" si="1"/>
        <v>7.4947512276756925</v>
      </c>
      <c r="P41">
        <f t="shared" si="2"/>
        <v>30.780831692914543</v>
      </c>
      <c r="Q41">
        <f t="shared" si="9"/>
        <v>78.183312500002941</v>
      </c>
      <c r="R41">
        <f t="shared" si="4"/>
        <v>3399.5660148577499</v>
      </c>
      <c r="S41">
        <f t="shared" si="5"/>
        <v>8170.0697304920686</v>
      </c>
      <c r="T41">
        <f t="shared" si="6"/>
        <v>21650.68478580398</v>
      </c>
      <c r="U41">
        <v>81.53</v>
      </c>
      <c r="V41">
        <v>0.31</v>
      </c>
      <c r="W41">
        <v>-0.3</v>
      </c>
    </row>
    <row r="42" spans="1:25" x14ac:dyDescent="0.25">
      <c r="A42" t="s">
        <v>29</v>
      </c>
      <c r="B42" t="s">
        <v>30</v>
      </c>
      <c r="C42">
        <v>1</v>
      </c>
      <c r="D42">
        <v>7</v>
      </c>
      <c r="E42" s="2">
        <f t="shared" si="10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f t="shared" si="1"/>
        <v>75.531772977453244</v>
      </c>
      <c r="P42">
        <f t="shared" si="2"/>
        <v>86.325110269446867</v>
      </c>
      <c r="Q42">
        <f t="shared" ref="Q42:Q51" si="11">282*(1-EXP(-0.18*(E42+1.35)))</f>
        <v>219.26578008439506</v>
      </c>
      <c r="R42">
        <f t="shared" si="4"/>
        <v>34260.67665967525</v>
      </c>
      <c r="S42">
        <f t="shared" si="5"/>
        <v>82337.603123468507</v>
      </c>
      <c r="T42">
        <f t="shared" si="6"/>
        <v>218194.64827719153</v>
      </c>
      <c r="U42">
        <v>282</v>
      </c>
      <c r="V42">
        <v>0.18</v>
      </c>
      <c r="W42">
        <v>-1.35</v>
      </c>
      <c r="Y42" t="s">
        <v>402</v>
      </c>
    </row>
    <row r="43" spans="1:25" x14ac:dyDescent="0.25">
      <c r="A43" t="s">
        <v>29</v>
      </c>
      <c r="B43" t="s">
        <v>30</v>
      </c>
      <c r="C43">
        <v>2</v>
      </c>
      <c r="D43">
        <v>7</v>
      </c>
      <c r="E43" s="2">
        <f t="shared" si="10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f t="shared" si="1"/>
        <v>132.14207358693565</v>
      </c>
      <c r="P43">
        <f t="shared" si="2"/>
        <v>104.01778973291992</v>
      </c>
      <c r="Q43">
        <f t="shared" si="11"/>
        <v>264.20518592161659</v>
      </c>
      <c r="R43">
        <f t="shared" si="4"/>
        <v>59938.707617156542</v>
      </c>
      <c r="S43">
        <f t="shared" si="5"/>
        <v>144048.80465550721</v>
      </c>
      <c r="T43">
        <f t="shared" si="6"/>
        <v>381729.33233709406</v>
      </c>
      <c r="U43">
        <v>282</v>
      </c>
      <c r="V43">
        <v>0.18</v>
      </c>
      <c r="W43">
        <v>-1.35</v>
      </c>
    </row>
    <row r="44" spans="1:25" x14ac:dyDescent="0.25">
      <c r="A44" t="s">
        <v>29</v>
      </c>
      <c r="B44" t="s">
        <v>30</v>
      </c>
      <c r="C44">
        <v>3</v>
      </c>
      <c r="D44">
        <v>7</v>
      </c>
      <c r="E44" s="2">
        <f t="shared" si="10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f t="shared" si="1"/>
        <v>152.20630424919651</v>
      </c>
      <c r="P44">
        <f t="shared" si="2"/>
        <v>109.03638950230382</v>
      </c>
      <c r="Q44">
        <f t="shared" si="11"/>
        <v>276.95242933585172</v>
      </c>
      <c r="R44">
        <f t="shared" si="4"/>
        <v>69039.700378839218</v>
      </c>
      <c r="S44">
        <f t="shared" si="5"/>
        <v>165920.93337860904</v>
      </c>
      <c r="T44">
        <f t="shared" si="6"/>
        <v>439690.47345331393</v>
      </c>
      <c r="U44">
        <v>282</v>
      </c>
      <c r="V44">
        <v>0.18</v>
      </c>
      <c r="W44">
        <v>-1.35</v>
      </c>
    </row>
    <row r="45" spans="1:25" x14ac:dyDescent="0.25">
      <c r="A45" t="s">
        <v>29</v>
      </c>
      <c r="B45" t="s">
        <v>30</v>
      </c>
      <c r="C45">
        <v>4</v>
      </c>
      <c r="D45">
        <v>7</v>
      </c>
      <c r="E45" s="2">
        <f t="shared" si="10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f t="shared" si="1"/>
        <v>158.24595225020786</v>
      </c>
      <c r="P45">
        <f t="shared" si="2"/>
        <v>110.4599355342804</v>
      </c>
      <c r="Q45">
        <f t="shared" si="11"/>
        <v>280.56823625707221</v>
      </c>
      <c r="R45">
        <f t="shared" si="4"/>
        <v>71779.2418875851</v>
      </c>
      <c r="S45">
        <f t="shared" si="5"/>
        <v>172504.78704057942</v>
      </c>
      <c r="T45">
        <f t="shared" si="6"/>
        <v>457137.68565753545</v>
      </c>
      <c r="U45">
        <v>282</v>
      </c>
      <c r="V45">
        <v>0.18</v>
      </c>
      <c r="W45">
        <v>-1.35</v>
      </c>
    </row>
    <row r="46" spans="1:25" x14ac:dyDescent="0.25">
      <c r="A46" t="s">
        <v>29</v>
      </c>
      <c r="B46" t="s">
        <v>30</v>
      </c>
      <c r="C46">
        <v>5</v>
      </c>
      <c r="D46">
        <v>7</v>
      </c>
      <c r="E46" s="2">
        <f t="shared" si="10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f t="shared" si="1"/>
        <v>159.9877437869759</v>
      </c>
      <c r="P46">
        <f t="shared" si="2"/>
        <v>110.86373009815834</v>
      </c>
      <c r="Q46">
        <f t="shared" si="11"/>
        <v>281.59387444932219</v>
      </c>
      <c r="R46">
        <f t="shared" si="4"/>
        <v>72569.306178378087</v>
      </c>
      <c r="S46">
        <f t="shared" si="5"/>
        <v>174403.5236202309</v>
      </c>
      <c r="T46">
        <f t="shared" si="6"/>
        <v>462169.33759361185</v>
      </c>
      <c r="U46">
        <v>282</v>
      </c>
      <c r="V46">
        <v>0.18</v>
      </c>
      <c r="W46">
        <v>-1.35</v>
      </c>
    </row>
    <row r="47" spans="1:25" x14ac:dyDescent="0.25">
      <c r="A47" t="s">
        <v>29</v>
      </c>
      <c r="B47" t="s">
        <v>30</v>
      </c>
      <c r="C47">
        <v>6</v>
      </c>
      <c r="D47">
        <v>7</v>
      </c>
      <c r="E47" s="2">
        <f t="shared" si="10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f t="shared" si="1"/>
        <v>160.48412634539264</v>
      </c>
      <c r="P47">
        <f t="shared" si="2"/>
        <v>110.97826805208101</v>
      </c>
      <c r="Q47">
        <f t="shared" si="11"/>
        <v>281.88480085228576</v>
      </c>
      <c r="R47">
        <f t="shared" si="4"/>
        <v>72794.461787243446</v>
      </c>
      <c r="S47">
        <f t="shared" si="5"/>
        <v>174944.632990251</v>
      </c>
      <c r="T47">
        <f t="shared" si="6"/>
        <v>463603.27742416516</v>
      </c>
      <c r="U47">
        <v>282</v>
      </c>
      <c r="V47">
        <v>0.18</v>
      </c>
      <c r="W47">
        <v>-1.35</v>
      </c>
    </row>
    <row r="48" spans="1:25" x14ac:dyDescent="0.25">
      <c r="A48" t="s">
        <v>29</v>
      </c>
      <c r="B48" t="s">
        <v>30</v>
      </c>
      <c r="C48">
        <v>7</v>
      </c>
      <c r="D48">
        <v>7</v>
      </c>
      <c r="E48" s="2">
        <f t="shared" si="10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f t="shared" si="1"/>
        <v>160.62511394038251</v>
      </c>
      <c r="P48">
        <f t="shared" si="2"/>
        <v>111.01075720389825</v>
      </c>
      <c r="Q48">
        <f t="shared" si="11"/>
        <v>281.96732329790154</v>
      </c>
      <c r="R48">
        <f t="shared" si="4"/>
        <v>72858.412760649226</v>
      </c>
      <c r="S48">
        <f t="shared" si="5"/>
        <v>175098.3243466696</v>
      </c>
      <c r="T48">
        <f t="shared" si="6"/>
        <v>464010.55951867445</v>
      </c>
      <c r="U48">
        <v>282</v>
      </c>
      <c r="V48">
        <v>0.18</v>
      </c>
      <c r="W48">
        <v>-1.35</v>
      </c>
    </row>
    <row r="49" spans="1:44" x14ac:dyDescent="0.25">
      <c r="A49" t="s">
        <v>29</v>
      </c>
      <c r="B49" t="s">
        <v>30</v>
      </c>
      <c r="C49">
        <v>8</v>
      </c>
      <c r="D49">
        <v>7</v>
      </c>
      <c r="E49" s="2">
        <f t="shared" si="10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f t="shared" si="1"/>
        <v>160.66512066692843</v>
      </c>
      <c r="P49">
        <f t="shared" si="2"/>
        <v>111.01997288262876</v>
      </c>
      <c r="Q49">
        <f t="shared" si="11"/>
        <v>281.99073112187705</v>
      </c>
      <c r="R49">
        <f t="shared" si="4"/>
        <v>72876.559528140191</v>
      </c>
      <c r="S49">
        <f t="shared" si="5"/>
        <v>175141.93590036096</v>
      </c>
      <c r="T49">
        <f t="shared" si="6"/>
        <v>464126.13013595651</v>
      </c>
      <c r="U49">
        <v>282</v>
      </c>
      <c r="V49">
        <v>0.18</v>
      </c>
      <c r="W49">
        <v>-1.35</v>
      </c>
    </row>
    <row r="50" spans="1:44" x14ac:dyDescent="0.25">
      <c r="A50" t="s">
        <v>29</v>
      </c>
      <c r="B50" t="s">
        <v>30</v>
      </c>
      <c r="C50">
        <v>9</v>
      </c>
      <c r="D50">
        <v>7</v>
      </c>
      <c r="E50" s="2">
        <f t="shared" si="10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f t="shared" si="1"/>
        <v>160.67646994527121</v>
      </c>
      <c r="P50">
        <f t="shared" si="2"/>
        <v>111.0225869470076</v>
      </c>
      <c r="Q50">
        <f t="shared" si="11"/>
        <v>281.9973708453993</v>
      </c>
      <c r="R50">
        <f t="shared" si="4"/>
        <v>72881.70748032369</v>
      </c>
      <c r="S50">
        <f t="shared" si="5"/>
        <v>175154.30781140036</v>
      </c>
      <c r="T50">
        <f t="shared" si="6"/>
        <v>464158.91570021096</v>
      </c>
      <c r="U50">
        <v>282</v>
      </c>
      <c r="V50">
        <v>0.18</v>
      </c>
      <c r="W50">
        <v>-1.35</v>
      </c>
    </row>
    <row r="51" spans="1:44" x14ac:dyDescent="0.25">
      <c r="A51" t="s">
        <v>29</v>
      </c>
      <c r="B51" t="s">
        <v>30</v>
      </c>
      <c r="C51">
        <v>10</v>
      </c>
      <c r="D51">
        <v>7</v>
      </c>
      <c r="E51" s="2">
        <f t="shared" si="10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f t="shared" si="1"/>
        <v>160.67968931107205</v>
      </c>
      <c r="P51">
        <f t="shared" si="2"/>
        <v>111.02332843689418</v>
      </c>
      <c r="Q51">
        <f t="shared" si="11"/>
        <v>281.9992542297112</v>
      </c>
      <c r="R51">
        <f t="shared" si="4"/>
        <v>72883.167761823832</v>
      </c>
      <c r="S51">
        <f t="shared" si="5"/>
        <v>175157.81725985062</v>
      </c>
      <c r="T51">
        <f t="shared" si="6"/>
        <v>464168.21573860414</v>
      </c>
      <c r="U51">
        <v>282</v>
      </c>
      <c r="V51">
        <v>0.18</v>
      </c>
      <c r="W51">
        <v>-1.35</v>
      </c>
    </row>
    <row r="52" spans="1:44" x14ac:dyDescent="0.25">
      <c r="A52" s="2" t="s">
        <v>31</v>
      </c>
      <c r="B52" t="s">
        <v>32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12">F52*3.65*5.7*20/1000</f>
        <v>20.469999999626999</v>
      </c>
      <c r="I52">
        <f t="shared" ref="I52:J61" si="13">H52/1000</f>
        <v>2.0469999999626998E-2</v>
      </c>
      <c r="J52">
        <f t="shared" si="13"/>
        <v>2.0469999999626999E-5</v>
      </c>
      <c r="K52">
        <f t="shared" ref="K52:K61" si="14">I52*2.20462</f>
        <v>4.5128571399177669E-2</v>
      </c>
      <c r="L52" s="3">
        <v>1.1599999999999999E-2</v>
      </c>
      <c r="M52" s="3">
        <v>3</v>
      </c>
      <c r="N52">
        <f t="shared" ref="N52:N61" si="15">(H52/L52)^(1/M52)</f>
        <v>12.084256948656494</v>
      </c>
      <c r="O52">
        <f t="shared" si="1"/>
        <v>0.13993882197345583</v>
      </c>
      <c r="P52">
        <f t="shared" si="2"/>
        <v>6.9376935203618979</v>
      </c>
      <c r="Q52" s="2">
        <f t="shared" ref="Q52:Q61" si="16">$AR$54*(1-EXP(-$AR$55*(E52)))</f>
        <v>17.621741541719221</v>
      </c>
      <c r="R52" s="2">
        <f t="shared" si="4"/>
        <v>63.475257401935856</v>
      </c>
      <c r="S52" s="2">
        <f t="shared" si="5"/>
        <v>152.54808315774056</v>
      </c>
      <c r="T52" s="2">
        <f t="shared" si="6"/>
        <v>404.25242036801251</v>
      </c>
      <c r="U52" s="2">
        <f t="shared" ref="U52:U61" si="17">$AR$54</f>
        <v>29.172666666666665</v>
      </c>
      <c r="V52" s="2">
        <f t="shared" ref="V52:V61" si="18">$AR$55</f>
        <v>0.92646666666666677</v>
      </c>
      <c r="W52" s="2">
        <v>0</v>
      </c>
      <c r="Y52" t="s">
        <v>403</v>
      </c>
      <c r="Z52" t="s">
        <v>404</v>
      </c>
      <c r="AA52" t="s">
        <v>405</v>
      </c>
      <c r="AB52" t="s">
        <v>406</v>
      </c>
      <c r="AC52" t="s">
        <v>407</v>
      </c>
      <c r="AD52" t="s">
        <v>408</v>
      </c>
      <c r="AE52" t="s">
        <v>409</v>
      </c>
      <c r="AF52" t="s">
        <v>410</v>
      </c>
      <c r="AG52" t="s">
        <v>411</v>
      </c>
      <c r="AH52" t="s">
        <v>412</v>
      </c>
      <c r="AI52" t="s">
        <v>413</v>
      </c>
      <c r="AJ52" t="s">
        <v>414</v>
      </c>
      <c r="AK52" t="s">
        <v>415</v>
      </c>
      <c r="AL52" t="s">
        <v>416</v>
      </c>
      <c r="AM52" t="s">
        <v>417</v>
      </c>
      <c r="AN52" s="2" t="s">
        <v>418</v>
      </c>
      <c r="AO52" t="s">
        <v>419</v>
      </c>
      <c r="AP52" t="s">
        <v>420</v>
      </c>
      <c r="AR52" t="s">
        <v>421</v>
      </c>
    </row>
    <row r="53" spans="1:44" x14ac:dyDescent="0.25">
      <c r="A53" s="2" t="s">
        <v>31</v>
      </c>
      <c r="B53" t="s">
        <v>32</v>
      </c>
      <c r="C53">
        <v>2</v>
      </c>
      <c r="D53">
        <v>1</v>
      </c>
      <c r="E53">
        <f t="shared" ref="E53:E116" si="19">C53*D53</f>
        <v>2</v>
      </c>
      <c r="F53">
        <v>86.10910835</v>
      </c>
      <c r="G53">
        <v>228.18913710000001</v>
      </c>
      <c r="H53">
        <f t="shared" si="12"/>
        <v>35.829999984435005</v>
      </c>
      <c r="I53">
        <f t="shared" si="13"/>
        <v>3.5829999984435007E-2</v>
      </c>
      <c r="J53">
        <f t="shared" si="13"/>
        <v>3.5829999984435005E-5</v>
      </c>
      <c r="K53">
        <f t="shared" si="14"/>
        <v>7.8991534565685098E-2</v>
      </c>
      <c r="L53" s="3">
        <v>1.1599999999999999E-2</v>
      </c>
      <c r="M53" s="3">
        <v>3</v>
      </c>
      <c r="N53">
        <f t="shared" si="15"/>
        <v>14.563405416509527</v>
      </c>
      <c r="O53">
        <f t="shared" si="1"/>
        <v>0.3806694731127529</v>
      </c>
      <c r="P53">
        <f t="shared" si="2"/>
        <v>9.6846751147836159</v>
      </c>
      <c r="Q53" s="2">
        <f t="shared" si="16"/>
        <v>24.599074791550386</v>
      </c>
      <c r="R53" s="2">
        <f t="shared" si="4"/>
        <v>172.6689738425456</v>
      </c>
      <c r="S53" s="2">
        <f t="shared" si="5"/>
        <v>414.9698962810516</v>
      </c>
      <c r="T53" s="2">
        <f t="shared" si="6"/>
        <v>1099.6702251447866</v>
      </c>
      <c r="U53" s="2">
        <f t="shared" si="17"/>
        <v>29.172666666666665</v>
      </c>
      <c r="V53" s="2">
        <f t="shared" si="18"/>
        <v>0.92646666666666677</v>
      </c>
      <c r="W53" s="2">
        <v>0</v>
      </c>
      <c r="X53" t="s">
        <v>422</v>
      </c>
      <c r="Y53">
        <v>20</v>
      </c>
      <c r="Z53">
        <v>30</v>
      </c>
      <c r="AB53">
        <v>25</v>
      </c>
      <c r="AC53">
        <v>50</v>
      </c>
      <c r="AD53">
        <v>46</v>
      </c>
      <c r="AE53">
        <v>70</v>
      </c>
      <c r="AF53">
        <v>30</v>
      </c>
      <c r="AG53">
        <v>40</v>
      </c>
      <c r="AH53">
        <v>30</v>
      </c>
      <c r="AI53">
        <v>38</v>
      </c>
      <c r="AJ53">
        <v>30</v>
      </c>
      <c r="AK53">
        <v>61</v>
      </c>
      <c r="AL53">
        <v>75</v>
      </c>
      <c r="AM53">
        <v>75</v>
      </c>
      <c r="AN53">
        <v>15</v>
      </c>
      <c r="AO53">
        <v>70</v>
      </c>
      <c r="AP53">
        <v>30</v>
      </c>
      <c r="AR53">
        <f>AVERAGE(Y53:AP53)</f>
        <v>43.235294117647058</v>
      </c>
    </row>
    <row r="54" spans="1:44" x14ac:dyDescent="0.25">
      <c r="A54" s="2" t="s">
        <v>31</v>
      </c>
      <c r="B54" t="s">
        <v>32</v>
      </c>
      <c r="C54">
        <v>3</v>
      </c>
      <c r="D54">
        <v>1</v>
      </c>
      <c r="E54">
        <f t="shared" si="19"/>
        <v>3</v>
      </c>
      <c r="F54">
        <v>123.02331169999999</v>
      </c>
      <c r="G54">
        <v>326.011776</v>
      </c>
      <c r="H54">
        <f t="shared" si="12"/>
        <v>51.189999998369998</v>
      </c>
      <c r="I54">
        <f t="shared" si="13"/>
        <v>5.1189999998369998E-2</v>
      </c>
      <c r="J54">
        <f t="shared" si="13"/>
        <v>5.118999999837E-5</v>
      </c>
      <c r="K54">
        <f t="shared" si="14"/>
        <v>0.11285449779640645</v>
      </c>
      <c r="L54" s="3">
        <v>1.1599999999999999E-2</v>
      </c>
      <c r="M54" s="3">
        <v>3</v>
      </c>
      <c r="N54">
        <f t="shared" si="15"/>
        <v>16.402462244751348</v>
      </c>
      <c r="O54">
        <f t="shared" si="1"/>
        <v>0.52386987705729759</v>
      </c>
      <c r="P54">
        <f t="shared" si="2"/>
        <v>10.772343207636768</v>
      </c>
      <c r="Q54" s="2">
        <f t="shared" si="16"/>
        <v>27.361751747397392</v>
      </c>
      <c r="R54" s="2">
        <f t="shared" si="4"/>
        <v>237.62366170011049</v>
      </c>
      <c r="S54" s="2">
        <f t="shared" si="5"/>
        <v>571.0734479695036</v>
      </c>
      <c r="T54" s="2">
        <f t="shared" si="6"/>
        <v>1513.3446371191844</v>
      </c>
      <c r="U54" s="2">
        <f t="shared" si="17"/>
        <v>29.172666666666665</v>
      </c>
      <c r="V54" s="2">
        <f t="shared" si="18"/>
        <v>0.92646666666666677</v>
      </c>
      <c r="W54" s="2">
        <v>0</v>
      </c>
      <c r="X54" t="s">
        <v>18</v>
      </c>
      <c r="Y54">
        <v>20</v>
      </c>
      <c r="Z54">
        <v>30.4</v>
      </c>
      <c r="AA54">
        <v>49.7</v>
      </c>
      <c r="AB54">
        <v>26.2</v>
      </c>
      <c r="AC54">
        <v>34.5</v>
      </c>
      <c r="AD54">
        <v>31.4</v>
      </c>
      <c r="AE54">
        <v>3.19</v>
      </c>
      <c r="AF54">
        <v>32.299999999999997</v>
      </c>
      <c r="AG54">
        <v>27</v>
      </c>
      <c r="AI54">
        <v>21.6</v>
      </c>
      <c r="AJ54">
        <v>27.7</v>
      </c>
      <c r="AL54">
        <v>37.4</v>
      </c>
      <c r="AM54">
        <v>41.2</v>
      </c>
      <c r="AN54">
        <v>13</v>
      </c>
      <c r="AO54">
        <v>42</v>
      </c>
      <c r="AR54">
        <f>AVERAGE(Y54:AP54)</f>
        <v>29.172666666666665</v>
      </c>
    </row>
    <row r="55" spans="1:44" x14ac:dyDescent="0.25">
      <c r="A55" s="2" t="s">
        <v>31</v>
      </c>
      <c r="B55" t="s">
        <v>32</v>
      </c>
      <c r="C55">
        <v>4</v>
      </c>
      <c r="D55">
        <v>1</v>
      </c>
      <c r="E55">
        <f t="shared" si="19"/>
        <v>4</v>
      </c>
      <c r="F55">
        <v>164.56380680000001</v>
      </c>
      <c r="G55">
        <v>436.094088</v>
      </c>
      <c r="H55">
        <f t="shared" si="12"/>
        <v>68.475000009479999</v>
      </c>
      <c r="I55">
        <f t="shared" si="13"/>
        <v>6.8475000009479994E-2</v>
      </c>
      <c r="J55">
        <f t="shared" si="13"/>
        <v>6.847500000947999E-5</v>
      </c>
      <c r="K55">
        <f t="shared" si="14"/>
        <v>0.15096135452089976</v>
      </c>
      <c r="L55" s="3">
        <v>1.1599999999999999E-2</v>
      </c>
      <c r="M55" s="3">
        <v>3</v>
      </c>
      <c r="N55">
        <f t="shared" si="15"/>
        <v>18.072768429706162</v>
      </c>
      <c r="O55">
        <f t="shared" si="1"/>
        <v>0.58924587416627938</v>
      </c>
      <c r="P55">
        <f t="shared" si="2"/>
        <v>11.203005678260222</v>
      </c>
      <c r="Q55" s="2">
        <f t="shared" si="16"/>
        <v>28.455634422780964</v>
      </c>
      <c r="R55" s="2">
        <f t="shared" si="4"/>
        <v>267.27775043602952</v>
      </c>
      <c r="S55" s="2">
        <f t="shared" si="5"/>
        <v>642.34018369629791</v>
      </c>
      <c r="T55" s="2">
        <f t="shared" si="6"/>
        <v>1702.2014867951893</v>
      </c>
      <c r="U55" s="2">
        <f t="shared" si="17"/>
        <v>29.172666666666665</v>
      </c>
      <c r="V55" s="2">
        <f t="shared" si="18"/>
        <v>0.92646666666666677</v>
      </c>
      <c r="W55" s="2">
        <v>0</v>
      </c>
      <c r="X55" t="s">
        <v>19</v>
      </c>
      <c r="Y55">
        <v>4.8</v>
      </c>
      <c r="Z55">
        <v>1.5</v>
      </c>
      <c r="AA55">
        <v>0.3</v>
      </c>
      <c r="AB55">
        <v>0.3</v>
      </c>
      <c r="AC55">
        <v>0.71</v>
      </c>
      <c r="AD55">
        <v>0.3</v>
      </c>
      <c r="AE55">
        <v>1.9</v>
      </c>
      <c r="AF55">
        <v>0.3</v>
      </c>
      <c r="AG55">
        <v>0.3</v>
      </c>
      <c r="AI55">
        <v>0.38</v>
      </c>
      <c r="AJ55">
        <v>0.4</v>
      </c>
      <c r="AL55">
        <v>0.82</v>
      </c>
      <c r="AM55">
        <v>0.187</v>
      </c>
      <c r="AN55">
        <v>1.4</v>
      </c>
      <c r="AO55">
        <v>0.3</v>
      </c>
      <c r="AR55">
        <f>AVERAGE(Y55:AP55)</f>
        <v>0.92646666666666677</v>
      </c>
    </row>
    <row r="56" spans="1:44" x14ac:dyDescent="0.25">
      <c r="A56" s="2" t="s">
        <v>31</v>
      </c>
      <c r="B56" t="s">
        <v>32</v>
      </c>
      <c r="C56">
        <v>5</v>
      </c>
      <c r="D56">
        <v>1</v>
      </c>
      <c r="E56">
        <f t="shared" si="19"/>
        <v>5</v>
      </c>
      <c r="F56">
        <v>206.1043018</v>
      </c>
      <c r="G56">
        <v>546.17639980000001</v>
      </c>
      <c r="H56">
        <f t="shared" si="12"/>
        <v>85.759999978980019</v>
      </c>
      <c r="I56">
        <f t="shared" si="13"/>
        <v>8.5759999978980025E-2</v>
      </c>
      <c r="J56">
        <f t="shared" si="13"/>
        <v>8.5759999978980022E-5</v>
      </c>
      <c r="K56">
        <f t="shared" si="14"/>
        <v>0.18906821115365893</v>
      </c>
      <c r="L56" s="3">
        <v>1.1599999999999999E-2</v>
      </c>
      <c r="M56" s="3">
        <v>3</v>
      </c>
      <c r="N56">
        <f t="shared" si="15"/>
        <v>19.480895992192735</v>
      </c>
      <c r="O56">
        <f t="shared" si="1"/>
        <v>0.61656422900631602</v>
      </c>
      <c r="P56">
        <f t="shared" si="2"/>
        <v>11.373526598035458</v>
      </c>
      <c r="Q56" s="2">
        <f t="shared" si="16"/>
        <v>28.888757559010063</v>
      </c>
      <c r="R56" s="2">
        <f t="shared" si="4"/>
        <v>279.66916248891692</v>
      </c>
      <c r="S56" s="2">
        <f t="shared" si="5"/>
        <v>672.12007327305196</v>
      </c>
      <c r="T56" s="2">
        <f t="shared" si="6"/>
        <v>1781.1181941735877</v>
      </c>
      <c r="U56" s="2">
        <f t="shared" si="17"/>
        <v>29.172666666666665</v>
      </c>
      <c r="V56" s="2">
        <f t="shared" si="18"/>
        <v>0.92646666666666677</v>
      </c>
      <c r="W56" s="2">
        <v>0</v>
      </c>
      <c r="X56" t="s">
        <v>20</v>
      </c>
      <c r="Z56">
        <v>-0.05</v>
      </c>
      <c r="AC56">
        <v>-0.19</v>
      </c>
      <c r="AI56">
        <v>-0.98</v>
      </c>
      <c r="AL56">
        <v>-1.6</v>
      </c>
      <c r="AM56">
        <v>-3.03</v>
      </c>
      <c r="AR56">
        <f>AVERAGE(Y56:AP56)</f>
        <v>-1.17</v>
      </c>
    </row>
    <row r="57" spans="1:44" x14ac:dyDescent="0.25">
      <c r="A57" s="2" t="s">
        <v>31</v>
      </c>
      <c r="B57" t="s">
        <v>32</v>
      </c>
      <c r="C57">
        <v>6</v>
      </c>
      <c r="D57">
        <v>1</v>
      </c>
      <c r="E57">
        <f t="shared" si="19"/>
        <v>6</v>
      </c>
      <c r="F57">
        <v>244.71280949999999</v>
      </c>
      <c r="G57">
        <v>648.48894510000002</v>
      </c>
      <c r="H57">
        <f t="shared" si="12"/>
        <v>101.82500003294999</v>
      </c>
      <c r="I57">
        <f t="shared" si="13"/>
        <v>0.10182500003294999</v>
      </c>
      <c r="J57">
        <f t="shared" si="13"/>
        <v>1.0182500003294998E-4</v>
      </c>
      <c r="K57">
        <f t="shared" si="14"/>
        <v>0.2244854315726422</v>
      </c>
      <c r="L57" s="3">
        <v>1.1599999999999999E-2</v>
      </c>
      <c r="M57" s="3">
        <v>3</v>
      </c>
      <c r="N57">
        <f t="shared" si="15"/>
        <v>20.628396791384404</v>
      </c>
      <c r="O57">
        <f t="shared" si="1"/>
        <v>0.62761005843335349</v>
      </c>
      <c r="P57">
        <f t="shared" si="2"/>
        <v>11.441044401569391</v>
      </c>
      <c r="Q57" s="2">
        <f t="shared" si="16"/>
        <v>29.060252779986254</v>
      </c>
      <c r="R57" s="2">
        <f t="shared" si="4"/>
        <v>284.67947239585664</v>
      </c>
      <c r="S57" s="2">
        <f t="shared" si="5"/>
        <v>684.1611929724985</v>
      </c>
      <c r="T57" s="2">
        <f t="shared" si="6"/>
        <v>1813.027161377121</v>
      </c>
      <c r="U57" s="2">
        <f t="shared" si="17"/>
        <v>29.172666666666665</v>
      </c>
      <c r="V57" s="2">
        <f t="shared" si="18"/>
        <v>0.92646666666666677</v>
      </c>
      <c r="W57" s="2">
        <v>0</v>
      </c>
      <c r="X57" t="s">
        <v>423</v>
      </c>
      <c r="Y57" t="s">
        <v>424</v>
      </c>
      <c r="Z57" t="s">
        <v>425</v>
      </c>
      <c r="AA57" t="s">
        <v>426</v>
      </c>
      <c r="AB57" t="s">
        <v>426</v>
      </c>
      <c r="AC57" t="s">
        <v>427</v>
      </c>
      <c r="AD57" t="s">
        <v>426</v>
      </c>
      <c r="AE57" t="s">
        <v>428</v>
      </c>
      <c r="AF57" t="s">
        <v>428</v>
      </c>
      <c r="AG57" t="s">
        <v>428</v>
      </c>
      <c r="AH57" t="s">
        <v>429</v>
      </c>
      <c r="AI57" t="s">
        <v>430</v>
      </c>
      <c r="AJ57" t="s">
        <v>428</v>
      </c>
      <c r="AK57" t="s">
        <v>429</v>
      </c>
      <c r="AL57" t="s">
        <v>431</v>
      </c>
      <c r="AM57" t="s">
        <v>432</v>
      </c>
      <c r="AN57" t="s">
        <v>428</v>
      </c>
      <c r="AO57" t="s">
        <v>433</v>
      </c>
      <c r="AP57" t="s">
        <v>429</v>
      </c>
    </row>
    <row r="58" spans="1:44" x14ac:dyDescent="0.25">
      <c r="A58" s="2" t="s">
        <v>31</v>
      </c>
      <c r="B58" t="s">
        <v>32</v>
      </c>
      <c r="C58">
        <v>7</v>
      </c>
      <c r="D58">
        <v>1</v>
      </c>
      <c r="E58">
        <f t="shared" si="19"/>
        <v>7</v>
      </c>
      <c r="F58">
        <v>283.32131700000002</v>
      </c>
      <c r="G58">
        <v>750.80149010000002</v>
      </c>
      <c r="H58">
        <f t="shared" si="12"/>
        <v>117.89000000370002</v>
      </c>
      <c r="I58">
        <f t="shared" si="13"/>
        <v>0.11789000000370002</v>
      </c>
      <c r="J58">
        <f t="shared" si="13"/>
        <v>1.1789000000370003E-4</v>
      </c>
      <c r="K58">
        <f t="shared" si="14"/>
        <v>0.25990265180815714</v>
      </c>
      <c r="L58" s="3">
        <v>1.1599999999999999E-2</v>
      </c>
      <c r="M58" s="3">
        <v>3</v>
      </c>
      <c r="N58">
        <f t="shared" si="15"/>
        <v>21.66072520689421</v>
      </c>
      <c r="O58">
        <f t="shared" si="1"/>
        <v>0.63201985770595825</v>
      </c>
      <c r="P58">
        <f t="shared" si="2"/>
        <v>11.467778093834573</v>
      </c>
      <c r="Q58" s="2">
        <f t="shared" si="16"/>
        <v>29.128156358339815</v>
      </c>
      <c r="R58" s="2">
        <f t="shared" si="4"/>
        <v>286.67972607794462</v>
      </c>
      <c r="S58" s="2">
        <f t="shared" si="5"/>
        <v>688.96833952882616</v>
      </c>
      <c r="T58" s="2">
        <f t="shared" si="6"/>
        <v>1825.7660997513892</v>
      </c>
      <c r="U58" s="2">
        <f t="shared" si="17"/>
        <v>29.172666666666665</v>
      </c>
      <c r="V58" s="2">
        <f t="shared" si="18"/>
        <v>0.92646666666666677</v>
      </c>
      <c r="W58" s="2">
        <v>0</v>
      </c>
      <c r="X58" t="s">
        <v>434</v>
      </c>
      <c r="Y58" s="7" t="s">
        <v>435</v>
      </c>
      <c r="Z58" s="7" t="s">
        <v>436</v>
      </c>
      <c r="AA58" s="7" t="s">
        <v>437</v>
      </c>
      <c r="AB58" s="7" t="s">
        <v>438</v>
      </c>
      <c r="AC58" s="7" t="s">
        <v>439</v>
      </c>
      <c r="AD58" s="7" t="s">
        <v>440</v>
      </c>
      <c r="AE58" s="7" t="s">
        <v>441</v>
      </c>
      <c r="AF58" s="7" t="s">
        <v>442</v>
      </c>
      <c r="AG58" s="7" t="s">
        <v>443</v>
      </c>
      <c r="AH58" s="7" t="s">
        <v>444</v>
      </c>
      <c r="AI58" s="7" t="s">
        <v>445</v>
      </c>
      <c r="AJ58" s="7" t="s">
        <v>446</v>
      </c>
      <c r="AK58" s="7" t="s">
        <v>447</v>
      </c>
      <c r="AL58" s="7" t="s">
        <v>448</v>
      </c>
      <c r="AM58" s="7" t="s">
        <v>449</v>
      </c>
      <c r="AN58" s="7" t="s">
        <v>450</v>
      </c>
      <c r="AO58" s="7" t="s">
        <v>451</v>
      </c>
      <c r="AP58" s="7" t="s">
        <v>452</v>
      </c>
    </row>
    <row r="59" spans="1:44" x14ac:dyDescent="0.25">
      <c r="A59" s="2" t="s">
        <v>31</v>
      </c>
      <c r="B59" t="s">
        <v>32</v>
      </c>
      <c r="C59">
        <v>8</v>
      </c>
      <c r="D59">
        <v>1</v>
      </c>
      <c r="E59">
        <f t="shared" si="19"/>
        <v>8</v>
      </c>
      <c r="F59">
        <v>314.44364339999998</v>
      </c>
      <c r="G59">
        <v>833.27565500000003</v>
      </c>
      <c r="H59">
        <f t="shared" si="12"/>
        <v>130.84000001874</v>
      </c>
      <c r="I59">
        <f t="shared" si="13"/>
        <v>0.13084000001873999</v>
      </c>
      <c r="J59">
        <f t="shared" si="13"/>
        <v>1.3084000001873999E-4</v>
      </c>
      <c r="K59">
        <f t="shared" si="14"/>
        <v>0.28845248084131453</v>
      </c>
      <c r="L59" s="3">
        <v>1.1599999999999999E-2</v>
      </c>
      <c r="M59" s="3">
        <v>3</v>
      </c>
      <c r="N59">
        <f t="shared" si="15"/>
        <v>22.426466342807739</v>
      </c>
      <c r="O59">
        <f t="shared" si="1"/>
        <v>0.63377161159668749</v>
      </c>
      <c r="P59">
        <f t="shared" si="2"/>
        <v>11.478363306396623</v>
      </c>
      <c r="Q59" s="2">
        <f t="shared" si="16"/>
        <v>29.155042798247422</v>
      </c>
      <c r="R59" s="2">
        <f t="shared" si="4"/>
        <v>287.47430922185566</v>
      </c>
      <c r="S59" s="2">
        <f t="shared" si="5"/>
        <v>690.87793612558437</v>
      </c>
      <c r="T59" s="2">
        <f t="shared" si="6"/>
        <v>1830.8265307327986</v>
      </c>
      <c r="U59" s="2">
        <f t="shared" si="17"/>
        <v>29.172666666666665</v>
      </c>
      <c r="V59" s="2">
        <f t="shared" si="18"/>
        <v>0.92646666666666677</v>
      </c>
      <c r="W59" s="2">
        <v>0</v>
      </c>
    </row>
    <row r="60" spans="1:44" x14ac:dyDescent="0.25">
      <c r="A60" s="2" t="s">
        <v>31</v>
      </c>
      <c r="B60" t="s">
        <v>32</v>
      </c>
      <c r="C60">
        <v>9</v>
      </c>
      <c r="D60">
        <v>1</v>
      </c>
      <c r="E60">
        <f t="shared" si="19"/>
        <v>9</v>
      </c>
      <c r="F60">
        <v>345.5659698</v>
      </c>
      <c r="G60">
        <v>915.74981979999995</v>
      </c>
      <c r="H60">
        <f t="shared" si="12"/>
        <v>143.79000003377999</v>
      </c>
      <c r="I60">
        <f t="shared" si="13"/>
        <v>0.14379000003377998</v>
      </c>
      <c r="J60">
        <f t="shared" si="13"/>
        <v>1.4379000003377998E-4</v>
      </c>
      <c r="K60">
        <f t="shared" si="14"/>
        <v>0.31700230987447198</v>
      </c>
      <c r="L60" s="3">
        <v>1.1599999999999999E-2</v>
      </c>
      <c r="M60" s="3">
        <v>3</v>
      </c>
      <c r="N60">
        <f t="shared" si="15"/>
        <v>23.143208333852019</v>
      </c>
      <c r="O60">
        <f t="shared" si="1"/>
        <v>0.63446611257453456</v>
      </c>
      <c r="P60">
        <f t="shared" si="2"/>
        <v>11.482554524125634</v>
      </c>
      <c r="Q60" s="2">
        <f t="shared" si="16"/>
        <v>29.165688491279113</v>
      </c>
      <c r="R60" s="2">
        <f t="shared" si="4"/>
        <v>287.78932994100325</v>
      </c>
      <c r="S60" s="2">
        <f t="shared" si="5"/>
        <v>691.63501547945987</v>
      </c>
      <c r="T60" s="2">
        <f t="shared" si="6"/>
        <v>1832.8327910205685</v>
      </c>
      <c r="U60" s="2">
        <f t="shared" si="17"/>
        <v>29.172666666666665</v>
      </c>
      <c r="V60" s="2">
        <f t="shared" si="18"/>
        <v>0.92646666666666677</v>
      </c>
      <c r="W60" s="2">
        <v>0</v>
      </c>
    </row>
    <row r="61" spans="1:44" x14ac:dyDescent="0.25">
      <c r="A61" s="2" t="s">
        <v>31</v>
      </c>
      <c r="B61" t="s">
        <v>32</v>
      </c>
      <c r="C61">
        <v>10</v>
      </c>
      <c r="D61">
        <v>1</v>
      </c>
      <c r="E61">
        <f t="shared" si="19"/>
        <v>10</v>
      </c>
      <c r="F61">
        <v>372.74693589999998</v>
      </c>
      <c r="G61">
        <v>987.77937999999995</v>
      </c>
      <c r="H61">
        <f t="shared" si="12"/>
        <v>155.10000002799001</v>
      </c>
      <c r="I61">
        <f t="shared" si="13"/>
        <v>0.15510000002799001</v>
      </c>
      <c r="J61">
        <f t="shared" si="13"/>
        <v>1.5510000002799001E-4</v>
      </c>
      <c r="K61">
        <f t="shared" si="14"/>
        <v>0.34193656206170731</v>
      </c>
      <c r="L61" s="3">
        <v>1.1599999999999999E-2</v>
      </c>
      <c r="M61" s="3">
        <v>3</v>
      </c>
      <c r="N61">
        <f t="shared" si="15"/>
        <v>23.734746790222747</v>
      </c>
      <c r="O61">
        <f t="shared" si="1"/>
        <v>0.63474124057743342</v>
      </c>
      <c r="P61">
        <f t="shared" si="2"/>
        <v>11.484214037900063</v>
      </c>
      <c r="Q61" s="2">
        <f t="shared" si="16"/>
        <v>29.169903656266161</v>
      </c>
      <c r="R61" s="2">
        <f t="shared" si="4"/>
        <v>287.91412605230533</v>
      </c>
      <c r="S61" s="2">
        <f t="shared" si="5"/>
        <v>691.93493403582147</v>
      </c>
      <c r="T61" s="2">
        <f t="shared" si="6"/>
        <v>1833.6275751949267</v>
      </c>
      <c r="U61" s="2">
        <f t="shared" si="17"/>
        <v>29.172666666666665</v>
      </c>
      <c r="V61" s="2">
        <f t="shared" si="18"/>
        <v>0.92646666666666677</v>
      </c>
      <c r="W61" s="2">
        <v>0</v>
      </c>
    </row>
    <row r="62" spans="1:44" x14ac:dyDescent="0.25">
      <c r="A62" t="s">
        <v>33</v>
      </c>
      <c r="B62" t="s">
        <v>34</v>
      </c>
      <c r="C62">
        <v>1</v>
      </c>
      <c r="D62">
        <v>2</v>
      </c>
      <c r="E62">
        <f t="shared" si="19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f t="shared" si="1"/>
        <v>0.23401738730824392</v>
      </c>
      <c r="P62">
        <f t="shared" si="2"/>
        <v>7.5585877301431781</v>
      </c>
      <c r="Q62">
        <f t="shared" ref="Q62:Q71" si="20">58.9*(1-EXP(-0.22*(E62-0.207)))</f>
        <v>19.198812834563672</v>
      </c>
      <c r="R62">
        <f t="shared" si="4"/>
        <v>106.1486275676733</v>
      </c>
      <c r="S62">
        <f t="shared" si="5"/>
        <v>255.10364712250257</v>
      </c>
      <c r="T62">
        <f t="shared" si="6"/>
        <v>676.02466487463175</v>
      </c>
      <c r="U62" s="4">
        <v>58.9</v>
      </c>
      <c r="V62" s="4">
        <v>0.22</v>
      </c>
      <c r="W62" s="4">
        <v>0.20699999999999999</v>
      </c>
      <c r="Y62" t="s">
        <v>402</v>
      </c>
    </row>
    <row r="63" spans="1:44" x14ac:dyDescent="0.25">
      <c r="A63" t="s">
        <v>33</v>
      </c>
      <c r="B63" t="s">
        <v>34</v>
      </c>
      <c r="C63">
        <v>2</v>
      </c>
      <c r="D63">
        <v>2</v>
      </c>
      <c r="E63">
        <f t="shared" si="19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f t="shared" si="1"/>
        <v>1.2245305445384709</v>
      </c>
      <c r="P63">
        <f t="shared" si="2"/>
        <v>13.122436813078915</v>
      </c>
      <c r="Q63">
        <f t="shared" si="20"/>
        <v>33.330989505220444</v>
      </c>
      <c r="R63">
        <f t="shared" si="4"/>
        <v>555.43837239001323</v>
      </c>
      <c r="S63">
        <f t="shared" si="5"/>
        <v>1334.8675135544656</v>
      </c>
      <c r="T63">
        <f t="shared" si="6"/>
        <v>3537.398910919334</v>
      </c>
      <c r="U63" s="4">
        <v>58.9</v>
      </c>
      <c r="V63" s="4">
        <v>0.22</v>
      </c>
      <c r="W63" s="4">
        <v>0.20699999999999999</v>
      </c>
    </row>
    <row r="64" spans="1:44" x14ac:dyDescent="0.25">
      <c r="A64" t="s">
        <v>33</v>
      </c>
      <c r="B64" t="s">
        <v>34</v>
      </c>
      <c r="C64">
        <v>3</v>
      </c>
      <c r="D64">
        <v>2</v>
      </c>
      <c r="E64">
        <f t="shared" si="19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f t="shared" si="1"/>
        <v>2.5265315752891411</v>
      </c>
      <c r="P64">
        <f t="shared" si="2"/>
        <v>16.705758263899565</v>
      </c>
      <c r="Q64">
        <f t="shared" si="20"/>
        <v>42.432625990304892</v>
      </c>
      <c r="R64">
        <f t="shared" si="4"/>
        <v>1146.0168080164115</v>
      </c>
      <c r="S64">
        <f t="shared" si="5"/>
        <v>2754.1860322432385</v>
      </c>
      <c r="T64">
        <f t="shared" si="6"/>
        <v>7298.5929854445822</v>
      </c>
      <c r="U64" s="4">
        <v>58.9</v>
      </c>
      <c r="V64" s="4">
        <v>0.22</v>
      </c>
      <c r="W64" s="4">
        <v>0.20699999999999999</v>
      </c>
    </row>
    <row r="65" spans="1:30" x14ac:dyDescent="0.25">
      <c r="A65" t="s">
        <v>33</v>
      </c>
      <c r="B65" t="s">
        <v>34</v>
      </c>
      <c r="C65">
        <v>4</v>
      </c>
      <c r="D65">
        <v>2</v>
      </c>
      <c r="E65">
        <f t="shared" si="19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f t="shared" si="1"/>
        <v>3.7249087098461771</v>
      </c>
      <c r="P65">
        <f t="shared" si="2"/>
        <v>19.013547786676543</v>
      </c>
      <c r="Q65">
        <f t="shared" si="20"/>
        <v>48.294411378158422</v>
      </c>
      <c r="R65">
        <f t="shared" si="4"/>
        <v>1689.5921790812824</v>
      </c>
      <c r="S65">
        <f t="shared" si="5"/>
        <v>4060.5435690489849</v>
      </c>
      <c r="T65">
        <f t="shared" si="6"/>
        <v>10760.44045797981</v>
      </c>
      <c r="U65" s="4">
        <v>58.9</v>
      </c>
      <c r="V65" s="4">
        <v>0.22</v>
      </c>
      <c r="W65" s="4">
        <v>0.20699999999999999</v>
      </c>
    </row>
    <row r="66" spans="1:30" x14ac:dyDescent="0.25">
      <c r="A66" t="s">
        <v>33</v>
      </c>
      <c r="B66" t="s">
        <v>34</v>
      </c>
      <c r="C66">
        <v>5</v>
      </c>
      <c r="D66">
        <v>2</v>
      </c>
      <c r="E66">
        <f t="shared" si="19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f t="shared" ref="O66:O129" si="21">R66*0.00220462</f>
        <v>4.668507847038887</v>
      </c>
      <c r="P66">
        <f t="shared" ref="P66:P129" si="22">Q66/2.54</f>
        <v>20.499848291538999</v>
      </c>
      <c r="Q66">
        <f t="shared" si="20"/>
        <v>52.06961466050906</v>
      </c>
      <c r="R66">
        <f t="shared" ref="R66:R129" si="23">L66*(Q66^M66)</f>
        <v>2117.6020570614833</v>
      </c>
      <c r="S66">
        <f t="shared" ref="S66:S129" si="24">R66/20/5.7/3.65*1000</f>
        <v>5089.166202983617</v>
      </c>
      <c r="T66">
        <f t="shared" ref="T66:T129" si="25">S66*2.65</f>
        <v>13486.290437906584</v>
      </c>
      <c r="U66" s="4">
        <v>58.9</v>
      </c>
      <c r="V66" s="4">
        <v>0.22</v>
      </c>
      <c r="W66" s="4">
        <v>0.20699999999999999</v>
      </c>
    </row>
    <row r="67" spans="1:30" x14ac:dyDescent="0.25">
      <c r="A67" t="s">
        <v>33</v>
      </c>
      <c r="B67" t="s">
        <v>34</v>
      </c>
      <c r="C67">
        <v>6</v>
      </c>
      <c r="D67">
        <v>2</v>
      </c>
      <c r="E67">
        <f t="shared" si="19"/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f t="shared" si="21"/>
        <v>5.3535025027949148</v>
      </c>
      <c r="P67">
        <f t="shared" si="22"/>
        <v>21.457079949344685</v>
      </c>
      <c r="Q67">
        <f t="shared" si="20"/>
        <v>54.500983071335504</v>
      </c>
      <c r="R67">
        <f t="shared" si="23"/>
        <v>2428.3107759137242</v>
      </c>
      <c r="S67">
        <f t="shared" si="24"/>
        <v>5835.8826626140935</v>
      </c>
      <c r="T67">
        <f t="shared" si="25"/>
        <v>15465.089055927347</v>
      </c>
      <c r="U67" s="4">
        <v>58.9</v>
      </c>
      <c r="V67" s="4">
        <v>0.22</v>
      </c>
      <c r="W67" s="4">
        <v>0.20699999999999999</v>
      </c>
    </row>
    <row r="68" spans="1:30" x14ac:dyDescent="0.25">
      <c r="A68" t="s">
        <v>33</v>
      </c>
      <c r="B68" t="s">
        <v>34</v>
      </c>
      <c r="C68">
        <v>7</v>
      </c>
      <c r="D68">
        <v>2</v>
      </c>
      <c r="E68">
        <f t="shared" si="19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f t="shared" si="21"/>
        <v>5.82832826495014</v>
      </c>
      <c r="P68">
        <f t="shared" si="22"/>
        <v>22.07357200038534</v>
      </c>
      <c r="Q68">
        <f t="shared" si="20"/>
        <v>56.066872880978764</v>
      </c>
      <c r="R68">
        <f t="shared" si="23"/>
        <v>2643.6883748447081</v>
      </c>
      <c r="S68">
        <f t="shared" si="24"/>
        <v>6353.4928499031676</v>
      </c>
      <c r="T68">
        <f t="shared" si="25"/>
        <v>16836.756052243392</v>
      </c>
      <c r="U68" s="4">
        <v>58.9</v>
      </c>
      <c r="V68" s="4">
        <v>0.22</v>
      </c>
      <c r="W68" s="4">
        <v>0.20699999999999999</v>
      </c>
    </row>
    <row r="69" spans="1:30" x14ac:dyDescent="0.25">
      <c r="A69" t="s">
        <v>33</v>
      </c>
      <c r="B69" t="s">
        <v>34</v>
      </c>
      <c r="C69">
        <v>8</v>
      </c>
      <c r="D69">
        <v>2</v>
      </c>
      <c r="E69">
        <f t="shared" si="19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f t="shared" si="21"/>
        <v>6.1485264795531931</v>
      </c>
      <c r="P69">
        <f t="shared" si="22"/>
        <v>22.470615334563767</v>
      </c>
      <c r="Q69">
        <f t="shared" si="20"/>
        <v>57.075362949791973</v>
      </c>
      <c r="R69">
        <f t="shared" si="23"/>
        <v>2788.928014602604</v>
      </c>
      <c r="S69">
        <f t="shared" si="24"/>
        <v>6702.5426931088768</v>
      </c>
      <c r="T69">
        <f t="shared" si="25"/>
        <v>17761.738136738524</v>
      </c>
      <c r="U69" s="4">
        <v>58.9</v>
      </c>
      <c r="V69" s="4">
        <v>0.22</v>
      </c>
      <c r="W69" s="4">
        <v>0.20699999999999999</v>
      </c>
    </row>
    <row r="70" spans="1:30" x14ac:dyDescent="0.25">
      <c r="A70" t="s">
        <v>33</v>
      </c>
      <c r="B70" t="s">
        <v>34</v>
      </c>
      <c r="C70">
        <v>9</v>
      </c>
      <c r="D70">
        <v>2</v>
      </c>
      <c r="E70">
        <f t="shared" si="19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f t="shared" si="21"/>
        <v>6.3608306234498766</v>
      </c>
      <c r="P70">
        <f t="shared" si="22"/>
        <v>22.72632570252296</v>
      </c>
      <c r="Q70">
        <f t="shared" si="20"/>
        <v>57.724867284408319</v>
      </c>
      <c r="R70">
        <f t="shared" si="23"/>
        <v>2885.2276689179434</v>
      </c>
      <c r="S70">
        <f t="shared" si="24"/>
        <v>6933.976613597556</v>
      </c>
      <c r="T70">
        <f t="shared" si="25"/>
        <v>18375.038026033522</v>
      </c>
      <c r="U70" s="4">
        <v>58.9</v>
      </c>
      <c r="V70" s="4">
        <v>0.22</v>
      </c>
      <c r="W70" s="4">
        <v>0.20699999999999999</v>
      </c>
    </row>
    <row r="71" spans="1:30" x14ac:dyDescent="0.25">
      <c r="A71" t="s">
        <v>33</v>
      </c>
      <c r="B71" t="s">
        <v>34</v>
      </c>
      <c r="C71">
        <v>10</v>
      </c>
      <c r="D71">
        <v>2</v>
      </c>
      <c r="E71">
        <f t="shared" si="19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f t="shared" si="21"/>
        <v>6.5001167777729911</v>
      </c>
      <c r="P71">
        <f t="shared" si="22"/>
        <v>22.89101249273725</v>
      </c>
      <c r="Q71">
        <f t="shared" si="20"/>
        <v>58.14317173155262</v>
      </c>
      <c r="R71">
        <f t="shared" si="23"/>
        <v>2948.4068809014666</v>
      </c>
      <c r="S71">
        <f t="shared" si="24"/>
        <v>7085.8132201429144</v>
      </c>
      <c r="T71">
        <f t="shared" si="25"/>
        <v>18777.405033378724</v>
      </c>
      <c r="U71" s="4">
        <v>58.9</v>
      </c>
      <c r="V71" s="4">
        <v>0.22</v>
      </c>
      <c r="W71" s="4">
        <v>0.20699999999999999</v>
      </c>
    </row>
    <row r="72" spans="1:30" x14ac:dyDescent="0.25">
      <c r="A72" t="s">
        <v>35</v>
      </c>
      <c r="B72" t="s">
        <v>36</v>
      </c>
      <c r="C72">
        <v>1</v>
      </c>
      <c r="D72">
        <v>1</v>
      </c>
      <c r="E72">
        <f t="shared" si="19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f t="shared" si="21"/>
        <v>9.3586934812820599E-2</v>
      </c>
      <c r="P72">
        <f t="shared" si="22"/>
        <v>4.9779860886537195</v>
      </c>
      <c r="Q72">
        <f t="shared" ref="Q72:Q81" si="26">21.02*(1-EXP(-0.86*(E72+0.0699)))</f>
        <v>12.644084665180449</v>
      </c>
      <c r="R72">
        <f t="shared" si="23"/>
        <v>42.450370046910848</v>
      </c>
      <c r="S72">
        <f t="shared" si="24"/>
        <v>102.0196348159357</v>
      </c>
      <c r="T72">
        <f t="shared" si="25"/>
        <v>270.35203226222961</v>
      </c>
      <c r="U72" s="4">
        <v>21.02</v>
      </c>
      <c r="V72" s="4">
        <v>0.86</v>
      </c>
      <c r="W72" s="4">
        <v>-6.9989999999999997E-2</v>
      </c>
      <c r="Y72" t="s">
        <v>402</v>
      </c>
    </row>
    <row r="73" spans="1:30" x14ac:dyDescent="0.25">
      <c r="A73" t="s">
        <v>35</v>
      </c>
      <c r="B73" t="s">
        <v>36</v>
      </c>
      <c r="C73">
        <v>2</v>
      </c>
      <c r="D73">
        <v>1</v>
      </c>
      <c r="E73">
        <f t="shared" si="19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f t="shared" si="21"/>
        <v>0.24708795659947014</v>
      </c>
      <c r="P73">
        <f t="shared" si="22"/>
        <v>6.8801693801577137</v>
      </c>
      <c r="Q73">
        <f t="shared" si="26"/>
        <v>17.475630225600593</v>
      </c>
      <c r="R73">
        <f t="shared" si="23"/>
        <v>112.07734512046073</v>
      </c>
      <c r="S73">
        <f t="shared" si="24"/>
        <v>269.35194693693995</v>
      </c>
      <c r="T73">
        <f t="shared" si="25"/>
        <v>713.78265938289087</v>
      </c>
      <c r="U73" s="4">
        <v>21.02</v>
      </c>
      <c r="V73" s="4">
        <v>0.86</v>
      </c>
      <c r="W73" s="4">
        <v>-6.9989999999999997E-2</v>
      </c>
    </row>
    <row r="74" spans="1:30" x14ac:dyDescent="0.25">
      <c r="A74" t="s">
        <v>35</v>
      </c>
      <c r="B74" t="s">
        <v>36</v>
      </c>
      <c r="C74">
        <v>3</v>
      </c>
      <c r="D74">
        <v>1</v>
      </c>
      <c r="E74">
        <f t="shared" si="19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f t="shared" si="21"/>
        <v>0.34435228077785363</v>
      </c>
      <c r="P74">
        <f t="shared" si="22"/>
        <v>7.6851012227405739</v>
      </c>
      <c r="Q74">
        <f t="shared" si="26"/>
        <v>19.520157105761058</v>
      </c>
      <c r="R74">
        <f t="shared" si="23"/>
        <v>156.19575290882494</v>
      </c>
      <c r="S74">
        <f t="shared" si="24"/>
        <v>375.380324222122</v>
      </c>
      <c r="T74">
        <f t="shared" si="25"/>
        <v>994.75785918862323</v>
      </c>
      <c r="U74" s="4">
        <v>21.02</v>
      </c>
      <c r="V74" s="4">
        <v>0.86</v>
      </c>
      <c r="W74" s="4">
        <v>-6.9989999999999997E-2</v>
      </c>
    </row>
    <row r="75" spans="1:30" x14ac:dyDescent="0.25">
      <c r="A75" t="s">
        <v>35</v>
      </c>
      <c r="B75" t="s">
        <v>36</v>
      </c>
      <c r="C75">
        <v>4</v>
      </c>
      <c r="D75">
        <v>1</v>
      </c>
      <c r="E75">
        <f t="shared" si="19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f t="shared" si="21"/>
        <v>0.39219843099099205</v>
      </c>
      <c r="P75">
        <f t="shared" si="22"/>
        <v>8.0257178573717987</v>
      </c>
      <c r="Q75">
        <f t="shared" si="26"/>
        <v>20.385323357724371</v>
      </c>
      <c r="R75">
        <f t="shared" si="23"/>
        <v>177.89842738929704</v>
      </c>
      <c r="S75">
        <f t="shared" si="24"/>
        <v>427.53767697499887</v>
      </c>
      <c r="T75">
        <f t="shared" si="25"/>
        <v>1132.974843983747</v>
      </c>
      <c r="U75" s="4">
        <v>21.02</v>
      </c>
      <c r="V75" s="4">
        <v>0.86</v>
      </c>
      <c r="W75" s="4">
        <v>-6.9989999999999997E-2</v>
      </c>
    </row>
    <row r="76" spans="1:30" x14ac:dyDescent="0.25">
      <c r="A76" t="s">
        <v>35</v>
      </c>
      <c r="B76" t="s">
        <v>36</v>
      </c>
      <c r="C76">
        <v>5</v>
      </c>
      <c r="D76">
        <v>1</v>
      </c>
      <c r="E76">
        <f t="shared" si="19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f t="shared" si="21"/>
        <v>0.41371099054202543</v>
      </c>
      <c r="P76">
        <f t="shared" si="22"/>
        <v>8.1698539017544114</v>
      </c>
      <c r="Q76">
        <f t="shared" si="26"/>
        <v>20.751428910456205</v>
      </c>
      <c r="R76">
        <f t="shared" si="23"/>
        <v>187.65637186545774</v>
      </c>
      <c r="S76">
        <f t="shared" si="24"/>
        <v>450.98863702345051</v>
      </c>
      <c r="T76">
        <f t="shared" si="25"/>
        <v>1195.1198881121438</v>
      </c>
      <c r="U76" s="4">
        <v>21.02</v>
      </c>
      <c r="V76" s="4">
        <v>0.86</v>
      </c>
      <c r="W76" s="4">
        <v>-6.9989999999999997E-2</v>
      </c>
    </row>
    <row r="77" spans="1:30" x14ac:dyDescent="0.25">
      <c r="A77" t="s">
        <v>35</v>
      </c>
      <c r="B77" t="s">
        <v>36</v>
      </c>
      <c r="C77">
        <v>6</v>
      </c>
      <c r="D77">
        <v>1</v>
      </c>
      <c r="E77">
        <f t="shared" si="19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f t="shared" si="21"/>
        <v>0.42304614707953214</v>
      </c>
      <c r="P77">
        <f t="shared" si="22"/>
        <v>8.2308468104324017</v>
      </c>
      <c r="Q77">
        <f t="shared" si="26"/>
        <v>20.9063508984983</v>
      </c>
      <c r="R77">
        <f t="shared" si="23"/>
        <v>191.89073267934253</v>
      </c>
      <c r="S77">
        <f t="shared" si="24"/>
        <v>461.16494275256559</v>
      </c>
      <c r="T77">
        <f t="shared" si="25"/>
        <v>1222.0870982942988</v>
      </c>
      <c r="U77" s="4">
        <v>21.02</v>
      </c>
      <c r="V77" s="4">
        <v>0.86</v>
      </c>
      <c r="W77" s="4">
        <v>-6.9989999999999997E-2</v>
      </c>
    </row>
    <row r="78" spans="1:30" x14ac:dyDescent="0.25">
      <c r="A78" t="s">
        <v>35</v>
      </c>
      <c r="B78" t="s">
        <v>36</v>
      </c>
      <c r="C78">
        <v>7</v>
      </c>
      <c r="D78">
        <v>1</v>
      </c>
      <c r="E78">
        <f t="shared" si="19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f t="shared" si="21"/>
        <v>0.42703834163435911</v>
      </c>
      <c r="P78">
        <f t="shared" si="22"/>
        <v>8.2566566966751953</v>
      </c>
      <c r="Q78">
        <f t="shared" si="26"/>
        <v>20.971908009554998</v>
      </c>
      <c r="R78">
        <f t="shared" si="23"/>
        <v>193.70156382249962</v>
      </c>
      <c r="S78">
        <f t="shared" si="24"/>
        <v>465.51685609829281</v>
      </c>
      <c r="T78">
        <f t="shared" si="25"/>
        <v>1233.6196686604758</v>
      </c>
      <c r="U78" s="4">
        <v>21.02</v>
      </c>
      <c r="V78" s="4">
        <v>0.86</v>
      </c>
      <c r="W78" s="4">
        <v>-6.9989999999999997E-2</v>
      </c>
    </row>
    <row r="79" spans="1:30" x14ac:dyDescent="0.25">
      <c r="A79" t="s">
        <v>35</v>
      </c>
      <c r="B79" t="s">
        <v>36</v>
      </c>
      <c r="C79">
        <v>8</v>
      </c>
      <c r="D79">
        <v>1</v>
      </c>
      <c r="E79">
        <f t="shared" si="19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f t="shared" si="21"/>
        <v>0.42873522145025711</v>
      </c>
      <c r="P79">
        <f t="shared" si="22"/>
        <v>8.2675784618820831</v>
      </c>
      <c r="Q79">
        <f t="shared" si="26"/>
        <v>20.999649293180489</v>
      </c>
      <c r="R79">
        <f t="shared" si="23"/>
        <v>194.4712564751554</v>
      </c>
      <c r="S79">
        <f t="shared" si="24"/>
        <v>467.36663416283449</v>
      </c>
      <c r="T79">
        <f t="shared" si="25"/>
        <v>1238.5215805315113</v>
      </c>
      <c r="U79" s="4">
        <v>21.02</v>
      </c>
      <c r="V79" s="4">
        <v>0.86</v>
      </c>
      <c r="W79" s="4">
        <v>-6.9989999999999997E-2</v>
      </c>
    </row>
    <row r="80" spans="1:30" x14ac:dyDescent="0.25">
      <c r="A80" t="s">
        <v>35</v>
      </c>
      <c r="B80" t="s">
        <v>36</v>
      </c>
      <c r="C80">
        <v>9</v>
      </c>
      <c r="D80">
        <v>1</v>
      </c>
      <c r="E80">
        <f t="shared" si="19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f t="shared" si="21"/>
        <v>0.42945462806621904</v>
      </c>
      <c r="P80">
        <f t="shared" si="22"/>
        <v>8.2722001387896125</v>
      </c>
      <c r="Q80">
        <f t="shared" si="26"/>
        <v>21.011388352525618</v>
      </c>
      <c r="R80">
        <f t="shared" si="23"/>
        <v>194.79757421515683</v>
      </c>
      <c r="S80">
        <f t="shared" si="24"/>
        <v>468.15086329045141</v>
      </c>
      <c r="T80">
        <f t="shared" si="25"/>
        <v>1240.5997877196962</v>
      </c>
      <c r="U80" s="4">
        <v>21.02</v>
      </c>
      <c r="V80" s="4">
        <v>0.86</v>
      </c>
      <c r="W80" s="4">
        <v>-6.9989999999999997E-2</v>
      </c>
      <c r="AD80" t="s">
        <v>453</v>
      </c>
    </row>
    <row r="81" spans="1:33" x14ac:dyDescent="0.25">
      <c r="A81" t="s">
        <v>35</v>
      </c>
      <c r="B81" t="s">
        <v>36</v>
      </c>
      <c r="C81">
        <v>10</v>
      </c>
      <c r="D81">
        <v>1</v>
      </c>
      <c r="E81">
        <f t="shared" si="19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f t="shared" si="21"/>
        <v>0.42975929583214673</v>
      </c>
      <c r="P81">
        <f t="shared" si="22"/>
        <v>8.2741558572136036</v>
      </c>
      <c r="Q81">
        <f t="shared" si="26"/>
        <v>21.016355877322553</v>
      </c>
      <c r="R81">
        <f t="shared" si="23"/>
        <v>194.93576935351521</v>
      </c>
      <c r="S81">
        <f t="shared" si="24"/>
        <v>468.48298330573226</v>
      </c>
      <c r="T81">
        <f t="shared" si="25"/>
        <v>1241.4799057601904</v>
      </c>
      <c r="U81" s="4">
        <v>21.02</v>
      </c>
      <c r="V81" s="4">
        <v>0.86</v>
      </c>
      <c r="W81" s="4">
        <v>-6.9989999999999997E-2</v>
      </c>
      <c r="Y81" t="s">
        <v>454</v>
      </c>
      <c r="Z81" t="s">
        <v>455</v>
      </c>
      <c r="AA81" t="s">
        <v>456</v>
      </c>
      <c r="AB81" t="s">
        <v>457</v>
      </c>
      <c r="AC81" t="s">
        <v>458</v>
      </c>
    </row>
    <row r="82" spans="1:33" x14ac:dyDescent="0.25">
      <c r="A82" t="s">
        <v>37</v>
      </c>
      <c r="B82" t="s">
        <v>38</v>
      </c>
      <c r="C82">
        <v>1</v>
      </c>
      <c r="D82">
        <v>9</v>
      </c>
      <c r="E82">
        <f t="shared" si="19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f t="shared" si="21"/>
        <v>118154.92278936305</v>
      </c>
      <c r="P82">
        <f t="shared" si="22"/>
        <v>816.87428697715336</v>
      </c>
      <c r="Q82" s="2">
        <f t="shared" ref="Q82:Q91" si="27">U82*(1-EXP(-V82*(E82+0.0699)))</f>
        <v>2074.8606889219695</v>
      </c>
      <c r="R82" s="2">
        <f t="shared" si="23"/>
        <v>53594235.192170553</v>
      </c>
      <c r="S82" s="2">
        <f t="shared" si="24"/>
        <v>128801334.27582446</v>
      </c>
      <c r="T82" s="2">
        <f t="shared" si="25"/>
        <v>341323535.83093482</v>
      </c>
      <c r="U82" s="2">
        <f t="shared" ref="U82:U91" si="28">$AD$83*100</f>
        <v>2097.3599999999997</v>
      </c>
      <c r="V82" s="2">
        <v>0.5</v>
      </c>
      <c r="W82" s="2">
        <v>0</v>
      </c>
      <c r="X82" t="s">
        <v>459</v>
      </c>
      <c r="Y82">
        <f>(AVERAGE(40,80))*907.185</f>
        <v>54431.1</v>
      </c>
      <c r="Z82">
        <f>AVERAGE(22000, 36000)</f>
        <v>29000</v>
      </c>
      <c r="AA82">
        <f>20000*0.45392</f>
        <v>9078.4</v>
      </c>
      <c r="AB82">
        <f>100000*0.453592</f>
        <v>45359.199999999997</v>
      </c>
      <c r="AC82">
        <f>330000*0.453592</f>
        <v>149685.35999999999</v>
      </c>
      <c r="AD82">
        <f t="shared" ref="AD82:AD91" si="29">AVERAGE(Y82:AC82)</f>
        <v>57510.811999999998</v>
      </c>
      <c r="AF82">
        <f>AD82*0.001</f>
        <v>57.510812000000001</v>
      </c>
      <c r="AG82">
        <f t="shared" ref="AG82:AG90" si="30">R82*0.000001</f>
        <v>53.594235192170551</v>
      </c>
    </row>
    <row r="83" spans="1:33" x14ac:dyDescent="0.25">
      <c r="A83" t="s">
        <v>37</v>
      </c>
      <c r="B83" t="s">
        <v>38</v>
      </c>
      <c r="C83">
        <v>2</v>
      </c>
      <c r="D83">
        <v>9</v>
      </c>
      <c r="E83">
        <f t="shared" si="19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f t="shared" si="21"/>
        <v>121996.86235305671</v>
      </c>
      <c r="P83">
        <f t="shared" si="22"/>
        <v>825.63388001225235</v>
      </c>
      <c r="Q83" s="2">
        <f t="shared" si="27"/>
        <v>2097.1100552311209</v>
      </c>
      <c r="R83" s="2">
        <f t="shared" si="23"/>
        <v>55336911.736742258</v>
      </c>
      <c r="S83" s="2">
        <f t="shared" si="24"/>
        <v>132989453.82538395</v>
      </c>
      <c r="T83" s="2">
        <f t="shared" si="25"/>
        <v>352422052.63726747</v>
      </c>
      <c r="U83" s="2">
        <f t="shared" si="28"/>
        <v>2097.3599999999997</v>
      </c>
      <c r="V83" s="2">
        <v>0.5</v>
      </c>
      <c r="W83" s="2">
        <v>0</v>
      </c>
      <c r="X83" t="s">
        <v>460</v>
      </c>
      <c r="Y83">
        <f>(AVERAGE(75, 85))*0.3048</f>
        <v>24.384</v>
      </c>
      <c r="Z83">
        <v>18</v>
      </c>
      <c r="AA83">
        <f>35*0.3048</f>
        <v>10.668000000000001</v>
      </c>
      <c r="AB83">
        <f>60*0.3048</f>
        <v>18.288</v>
      </c>
      <c r="AC83">
        <f>110*0.3048</f>
        <v>33.527999999999999</v>
      </c>
      <c r="AD83">
        <f t="shared" si="29"/>
        <v>20.973599999999998</v>
      </c>
      <c r="AG83">
        <f t="shared" si="30"/>
        <v>55.336911736742259</v>
      </c>
    </row>
    <row r="84" spans="1:33" x14ac:dyDescent="0.25">
      <c r="A84" t="s">
        <v>37</v>
      </c>
      <c r="B84" t="s">
        <v>38</v>
      </c>
      <c r="C84">
        <v>3</v>
      </c>
      <c r="D84">
        <v>9</v>
      </c>
      <c r="E84">
        <f t="shared" si="19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f t="shared" si="21"/>
        <v>122040.00356649989</v>
      </c>
      <c r="P84">
        <f t="shared" si="22"/>
        <v>825.73119030095563</v>
      </c>
      <c r="Q84" s="2">
        <f t="shared" si="27"/>
        <v>2097.3572233644272</v>
      </c>
      <c r="R84" s="2">
        <f t="shared" si="23"/>
        <v>55356480.285264529</v>
      </c>
      <c r="S84" s="2">
        <f t="shared" si="24"/>
        <v>133036482.30056366</v>
      </c>
      <c r="T84" s="2">
        <f t="shared" si="25"/>
        <v>352546678.09649372</v>
      </c>
      <c r="U84" s="2">
        <f t="shared" si="28"/>
        <v>2097.3599999999997</v>
      </c>
      <c r="V84" s="2">
        <v>0.5</v>
      </c>
      <c r="W84" s="2">
        <v>0</v>
      </c>
      <c r="X84" t="s">
        <v>461</v>
      </c>
      <c r="Y84">
        <v>90</v>
      </c>
      <c r="Z84">
        <v>50</v>
      </c>
      <c r="AA84">
        <v>50</v>
      </c>
      <c r="AB84">
        <v>70</v>
      </c>
      <c r="AD84">
        <f t="shared" si="29"/>
        <v>65</v>
      </c>
      <c r="AG84">
        <f t="shared" si="30"/>
        <v>55.356480285264524</v>
      </c>
    </row>
    <row r="85" spans="1:33" x14ac:dyDescent="0.25">
      <c r="A85" t="s">
        <v>37</v>
      </c>
      <c r="B85" t="s">
        <v>38</v>
      </c>
      <c r="C85">
        <v>4</v>
      </c>
      <c r="D85">
        <v>9</v>
      </c>
      <c r="E85">
        <f t="shared" si="19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f t="shared" si="21"/>
        <v>122040.48287920165</v>
      </c>
      <c r="P85">
        <f t="shared" si="22"/>
        <v>825.73227132061595</v>
      </c>
      <c r="Q85" s="2">
        <f t="shared" si="27"/>
        <v>2097.3599691543645</v>
      </c>
      <c r="R85" s="2">
        <f t="shared" si="23"/>
        <v>55356697.698107451</v>
      </c>
      <c r="S85" s="2">
        <f t="shared" si="24"/>
        <v>133037004.8019886</v>
      </c>
      <c r="T85" s="2">
        <f t="shared" si="25"/>
        <v>352548062.72526979</v>
      </c>
      <c r="U85" s="2">
        <f t="shared" si="28"/>
        <v>2097.3599999999997</v>
      </c>
      <c r="V85" s="2">
        <v>0.5</v>
      </c>
      <c r="W85" s="2">
        <v>0</v>
      </c>
      <c r="X85" t="s">
        <v>462</v>
      </c>
      <c r="Y85">
        <f>(AVERAGE(4000,6000))*0.453592</f>
        <v>2267.96</v>
      </c>
      <c r="Z85">
        <v>900</v>
      </c>
      <c r="AA85">
        <f>(AVERAGE(700, 1000))*0.453592</f>
        <v>385.5532</v>
      </c>
      <c r="AB85">
        <f>1500*0.453592</f>
        <v>680.38800000000003</v>
      </c>
      <c r="AD85">
        <f t="shared" si="29"/>
        <v>1058.4753000000001</v>
      </c>
      <c r="AG85">
        <f t="shared" si="30"/>
        <v>55.356697698107446</v>
      </c>
    </row>
    <row r="86" spans="1:33" x14ac:dyDescent="0.25">
      <c r="A86" t="s">
        <v>37</v>
      </c>
      <c r="B86" t="s">
        <v>38</v>
      </c>
      <c r="C86">
        <v>5</v>
      </c>
      <c r="D86">
        <v>9</v>
      </c>
      <c r="E86">
        <f t="shared" si="19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>
        <f t="shared" si="21"/>
        <v>122040.4882038919</v>
      </c>
      <c r="P86">
        <f t="shared" si="22"/>
        <v>825.73228332965971</v>
      </c>
      <c r="Q86" s="2">
        <f t="shared" si="27"/>
        <v>2097.3599996573357</v>
      </c>
      <c r="R86" s="2">
        <f t="shared" si="23"/>
        <v>55356700.113349192</v>
      </c>
      <c r="S86" s="2">
        <f t="shared" si="24"/>
        <v>133037010.60646287</v>
      </c>
      <c r="T86" s="2">
        <f t="shared" si="25"/>
        <v>352548078.10712659</v>
      </c>
      <c r="U86" s="2">
        <f t="shared" si="28"/>
        <v>2097.3599999999997</v>
      </c>
      <c r="V86" s="2">
        <v>0.5</v>
      </c>
      <c r="W86" s="2">
        <v>0</v>
      </c>
      <c r="X86" t="s">
        <v>463</v>
      </c>
      <c r="Y86">
        <f>18*0.3048</f>
        <v>5.4864000000000006</v>
      </c>
      <c r="Z86">
        <v>4.5</v>
      </c>
      <c r="AA86">
        <f>(AVERAGE(8, 11.5))*0.3048</f>
        <v>2.9718</v>
      </c>
      <c r="AB86">
        <f>15*0.3048</f>
        <v>4.5720000000000001</v>
      </c>
      <c r="AD86">
        <f t="shared" si="29"/>
        <v>4.3825500000000002</v>
      </c>
      <c r="AG86">
        <f t="shared" si="30"/>
        <v>55.356700113349191</v>
      </c>
    </row>
    <row r="87" spans="1:33" x14ac:dyDescent="0.25">
      <c r="A87" t="s">
        <v>37</v>
      </c>
      <c r="B87" t="s">
        <v>38</v>
      </c>
      <c r="C87">
        <v>6</v>
      </c>
      <c r="D87">
        <v>9</v>
      </c>
      <c r="E87">
        <f t="shared" si="19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f t="shared" si="21"/>
        <v>122040.48826304385</v>
      </c>
      <c r="P87">
        <f t="shared" si="22"/>
        <v>825.73228346306814</v>
      </c>
      <c r="Q87" s="2">
        <f t="shared" si="27"/>
        <v>2097.359999996193</v>
      </c>
      <c r="R87" s="2">
        <f t="shared" si="23"/>
        <v>55356700.140180096</v>
      </c>
      <c r="S87" s="2">
        <f t="shared" si="24"/>
        <v>133037010.67094471</v>
      </c>
      <c r="T87" s="2">
        <f t="shared" si="25"/>
        <v>352548078.27800345</v>
      </c>
      <c r="U87" s="2">
        <f t="shared" si="28"/>
        <v>2097.3599999999997</v>
      </c>
      <c r="V87" s="2">
        <v>0.5</v>
      </c>
      <c r="W87" s="2">
        <v>0</v>
      </c>
      <c r="X87" t="s">
        <v>464</v>
      </c>
      <c r="Y87">
        <f>4000*0.453592</f>
        <v>1814.3679999999999</v>
      </c>
      <c r="Z87">
        <v>1360</v>
      </c>
      <c r="AB87">
        <f>2000*0.453592</f>
        <v>907.18399999999997</v>
      </c>
      <c r="AD87">
        <f t="shared" si="29"/>
        <v>1360.5173333333332</v>
      </c>
      <c r="AG87">
        <f t="shared" si="30"/>
        <v>55.356700140180095</v>
      </c>
    </row>
    <row r="88" spans="1:33" x14ac:dyDescent="0.25">
      <c r="A88" t="s">
        <v>37</v>
      </c>
      <c r="B88" t="s">
        <v>38</v>
      </c>
      <c r="C88">
        <v>7</v>
      </c>
      <c r="D88">
        <v>9</v>
      </c>
      <c r="E88">
        <f t="shared" si="19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f t="shared" si="21"/>
        <v>122040.48826370099</v>
      </c>
      <c r="P88">
        <f t="shared" si="22"/>
        <v>825.73228346455016</v>
      </c>
      <c r="Q88" s="2">
        <f t="shared" si="27"/>
        <v>2097.3599999999574</v>
      </c>
      <c r="R88" s="2">
        <f t="shared" si="23"/>
        <v>55356700.140478171</v>
      </c>
      <c r="S88" s="2">
        <f t="shared" si="24"/>
        <v>133037010.67166106</v>
      </c>
      <c r="T88" s="2">
        <f t="shared" si="25"/>
        <v>352548078.2799018</v>
      </c>
      <c r="U88" s="2">
        <f t="shared" si="28"/>
        <v>2097.3599999999997</v>
      </c>
      <c r="V88" s="2">
        <v>0.5</v>
      </c>
      <c r="W88" s="2">
        <v>0</v>
      </c>
      <c r="X88" t="s">
        <v>434</v>
      </c>
      <c r="Y88" s="7" t="s">
        <v>465</v>
      </c>
      <c r="Z88" s="7" t="s">
        <v>466</v>
      </c>
      <c r="AA88" s="7" t="s">
        <v>467</v>
      </c>
      <c r="AB88" s="7" t="s">
        <v>468</v>
      </c>
      <c r="AD88" t="e">
        <f t="shared" si="29"/>
        <v>#DIV/0!</v>
      </c>
      <c r="AG88">
        <f t="shared" si="30"/>
        <v>55.356700140478168</v>
      </c>
    </row>
    <row r="89" spans="1:33" x14ac:dyDescent="0.25">
      <c r="A89" t="s">
        <v>37</v>
      </c>
      <c r="B89" t="s">
        <v>38</v>
      </c>
      <c r="C89">
        <v>8</v>
      </c>
      <c r="D89">
        <v>9</v>
      </c>
      <c r="E89">
        <f t="shared" si="19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f t="shared" si="21"/>
        <v>122040.48826370828</v>
      </c>
      <c r="P89">
        <f t="shared" si="22"/>
        <v>825.73228346456665</v>
      </c>
      <c r="Q89" s="2">
        <f t="shared" si="27"/>
        <v>2097.3599999999992</v>
      </c>
      <c r="R89" s="2">
        <f t="shared" si="23"/>
        <v>55356700.140481479</v>
      </c>
      <c r="S89" s="2">
        <f t="shared" si="24"/>
        <v>133037010.67166904</v>
      </c>
      <c r="T89" s="2">
        <f t="shared" si="25"/>
        <v>352548078.27992296</v>
      </c>
      <c r="U89" s="2">
        <f t="shared" si="28"/>
        <v>2097.3599999999997</v>
      </c>
      <c r="V89" s="2">
        <v>0.5</v>
      </c>
      <c r="W89" s="2">
        <v>0</v>
      </c>
      <c r="X89" t="s">
        <v>469</v>
      </c>
      <c r="Y89">
        <v>12</v>
      </c>
      <c r="Z89">
        <v>11</v>
      </c>
      <c r="AA89">
        <v>10</v>
      </c>
      <c r="AB89">
        <v>12</v>
      </c>
      <c r="AD89">
        <f t="shared" si="29"/>
        <v>11.25</v>
      </c>
      <c r="AG89">
        <f t="shared" si="30"/>
        <v>55.356700140481479</v>
      </c>
    </row>
    <row r="90" spans="1:33" x14ac:dyDescent="0.25">
      <c r="A90" t="s">
        <v>37</v>
      </c>
      <c r="B90" t="s">
        <v>38</v>
      </c>
      <c r="C90">
        <v>9</v>
      </c>
      <c r="D90">
        <v>9</v>
      </c>
      <c r="E90">
        <f t="shared" si="19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f t="shared" si="21"/>
        <v>122040.48826370835</v>
      </c>
      <c r="P90">
        <f t="shared" si="22"/>
        <v>825.73228346456676</v>
      </c>
      <c r="Q90" s="2">
        <f t="shared" si="27"/>
        <v>2097.3599999999997</v>
      </c>
      <c r="R90" s="2">
        <f t="shared" si="23"/>
        <v>55356700.140481509</v>
      </c>
      <c r="S90" s="2">
        <f t="shared" si="24"/>
        <v>133037010.6716691</v>
      </c>
      <c r="T90" s="2">
        <f t="shared" si="25"/>
        <v>352548078.27992308</v>
      </c>
      <c r="U90" s="2">
        <f t="shared" si="28"/>
        <v>2097.3599999999997</v>
      </c>
      <c r="V90" s="2">
        <v>0.5</v>
      </c>
      <c r="W90" s="2">
        <v>0</v>
      </c>
      <c r="X90" t="s">
        <v>470</v>
      </c>
      <c r="Y90">
        <v>10</v>
      </c>
      <c r="Z90">
        <v>8</v>
      </c>
      <c r="AA90">
        <v>6</v>
      </c>
      <c r="AB90">
        <v>8</v>
      </c>
      <c r="AD90">
        <f t="shared" si="29"/>
        <v>8</v>
      </c>
      <c r="AG90">
        <f t="shared" si="30"/>
        <v>55.356700140481507</v>
      </c>
    </row>
    <row r="91" spans="1:33" x14ac:dyDescent="0.25">
      <c r="A91" t="s">
        <v>37</v>
      </c>
      <c r="B91" t="s">
        <v>38</v>
      </c>
      <c r="C91">
        <v>10</v>
      </c>
      <c r="D91">
        <v>9</v>
      </c>
      <c r="E91">
        <f t="shared" si="19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f t="shared" si="21"/>
        <v>122040.48826370835</v>
      </c>
      <c r="P91">
        <f t="shared" si="22"/>
        <v>825.73228346456676</v>
      </c>
      <c r="Q91" s="2">
        <f t="shared" si="27"/>
        <v>2097.3599999999997</v>
      </c>
      <c r="R91" s="2">
        <f t="shared" si="23"/>
        <v>55356700.140481509</v>
      </c>
      <c r="S91" s="2">
        <f t="shared" si="24"/>
        <v>133037010.6716691</v>
      </c>
      <c r="T91" s="2">
        <f t="shared" si="25"/>
        <v>352548078.27992308</v>
      </c>
      <c r="U91" s="2">
        <f t="shared" si="28"/>
        <v>2097.3599999999997</v>
      </c>
      <c r="V91" s="2">
        <v>0.5</v>
      </c>
      <c r="W91" s="2">
        <v>0</v>
      </c>
      <c r="X91" t="s">
        <v>471</v>
      </c>
      <c r="Z91">
        <v>1</v>
      </c>
      <c r="AA91">
        <v>0.5</v>
      </c>
      <c r="AB91">
        <v>0.5</v>
      </c>
      <c r="AD91">
        <f t="shared" si="29"/>
        <v>0.66666666666666663</v>
      </c>
    </row>
    <row r="92" spans="1:33" x14ac:dyDescent="0.25">
      <c r="A92" t="s">
        <v>39</v>
      </c>
      <c r="B92" t="s">
        <v>40</v>
      </c>
      <c r="C92">
        <v>1</v>
      </c>
      <c r="D92">
        <v>2</v>
      </c>
      <c r="E92">
        <f t="shared" si="19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f t="shared" si="21"/>
        <v>0.584573627345923</v>
      </c>
      <c r="P92">
        <f t="shared" si="22"/>
        <v>11.0477632758948</v>
      </c>
      <c r="Q92">
        <f t="shared" ref="Q92:Q101" si="31">150.93*(1-EXP(-0.11*(E92-0.13)))</f>
        <v>28.061318720772793</v>
      </c>
      <c r="R92">
        <f t="shared" si="23"/>
        <v>265.15845240718266</v>
      </c>
      <c r="S92">
        <f t="shared" si="24"/>
        <v>637.24694161783873</v>
      </c>
      <c r="T92">
        <f t="shared" si="25"/>
        <v>1688.7043952872725</v>
      </c>
      <c r="U92">
        <v>150.93</v>
      </c>
      <c r="V92">
        <v>0.11</v>
      </c>
      <c r="W92">
        <v>0.13</v>
      </c>
      <c r="Y92" t="s">
        <v>472</v>
      </c>
    </row>
    <row r="93" spans="1:33" x14ac:dyDescent="0.25">
      <c r="A93" t="s">
        <v>39</v>
      </c>
      <c r="B93" t="s">
        <v>40</v>
      </c>
      <c r="C93">
        <v>2</v>
      </c>
      <c r="D93">
        <v>2</v>
      </c>
      <c r="E93">
        <f t="shared" si="19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f t="shared" si="21"/>
        <v>3.7901550988063568</v>
      </c>
      <c r="P93">
        <f t="shared" si="22"/>
        <v>20.600619524629806</v>
      </c>
      <c r="Q93">
        <f t="shared" si="31"/>
        <v>52.325573592559707</v>
      </c>
      <c r="R93">
        <f t="shared" si="23"/>
        <v>1719.1874784798999</v>
      </c>
      <c r="S93">
        <f t="shared" si="24"/>
        <v>4131.6690182165348</v>
      </c>
      <c r="T93">
        <f t="shared" si="25"/>
        <v>10948.922898273817</v>
      </c>
      <c r="U93">
        <v>150.93</v>
      </c>
      <c r="V93">
        <v>0.11</v>
      </c>
      <c r="W93">
        <v>0.13</v>
      </c>
    </row>
    <row r="94" spans="1:33" x14ac:dyDescent="0.25">
      <c r="A94" t="s">
        <v>39</v>
      </c>
      <c r="B94" t="s">
        <v>40</v>
      </c>
      <c r="C94">
        <v>3</v>
      </c>
      <c r="D94">
        <v>2</v>
      </c>
      <c r="E94">
        <f t="shared" si="19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f t="shared" si="21"/>
        <v>9.7916017086089191</v>
      </c>
      <c r="P94">
        <f t="shared" si="22"/>
        <v>28.266966238472971</v>
      </c>
      <c r="Q94">
        <f t="shared" si="31"/>
        <v>71.798094245721344</v>
      </c>
      <c r="R94">
        <f t="shared" si="23"/>
        <v>4441.4011070429005</v>
      </c>
      <c r="S94">
        <f t="shared" si="24"/>
        <v>10673.879132523194</v>
      </c>
      <c r="T94">
        <f t="shared" si="25"/>
        <v>28285.779701186464</v>
      </c>
      <c r="U94">
        <v>150.93</v>
      </c>
      <c r="V94">
        <v>0.11</v>
      </c>
      <c r="W94">
        <v>0.13</v>
      </c>
    </row>
    <row r="95" spans="1:33" x14ac:dyDescent="0.25">
      <c r="A95" t="s">
        <v>39</v>
      </c>
      <c r="B95" t="s">
        <v>40</v>
      </c>
      <c r="C95">
        <v>4</v>
      </c>
      <c r="D95">
        <v>2</v>
      </c>
      <c r="E95">
        <f t="shared" si="19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f t="shared" si="21"/>
        <v>17.677639304648796</v>
      </c>
      <c r="P95">
        <f t="shared" si="22"/>
        <v>34.419353588029985</v>
      </c>
      <c r="Q95">
        <f t="shared" si="31"/>
        <v>87.425158113596154</v>
      </c>
      <c r="R95">
        <f t="shared" si="23"/>
        <v>8018.4518441494665</v>
      </c>
      <c r="S95">
        <f t="shared" si="24"/>
        <v>19270.492295480573</v>
      </c>
      <c r="T95">
        <f t="shared" si="25"/>
        <v>51066.804583023521</v>
      </c>
      <c r="U95">
        <v>150.93</v>
      </c>
      <c r="V95">
        <v>0.11</v>
      </c>
      <c r="W95">
        <v>0.13</v>
      </c>
    </row>
    <row r="96" spans="1:33" x14ac:dyDescent="0.25">
      <c r="A96" t="s">
        <v>39</v>
      </c>
      <c r="B96" t="s">
        <v>40</v>
      </c>
      <c r="C96">
        <v>5</v>
      </c>
      <c r="D96">
        <v>2</v>
      </c>
      <c r="E96">
        <f t="shared" si="19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f t="shared" si="21"/>
        <v>26.428599951476155</v>
      </c>
      <c r="P96">
        <f t="shared" si="22"/>
        <v>39.356760088396037</v>
      </c>
      <c r="Q96">
        <f t="shared" si="31"/>
        <v>99.96617062452593</v>
      </c>
      <c r="R96">
        <f t="shared" si="23"/>
        <v>11987.825544300675</v>
      </c>
      <c r="S96">
        <f t="shared" si="24"/>
        <v>28809.962855805512</v>
      </c>
      <c r="T96">
        <f t="shared" si="25"/>
        <v>76346.401567884604</v>
      </c>
      <c r="U96">
        <v>150.93</v>
      </c>
      <c r="V96">
        <v>0.11</v>
      </c>
      <c r="W96">
        <v>0.13</v>
      </c>
    </row>
    <row r="97" spans="1:29" x14ac:dyDescent="0.25">
      <c r="A97" t="s">
        <v>39</v>
      </c>
      <c r="B97" t="s">
        <v>40</v>
      </c>
      <c r="C97">
        <v>6</v>
      </c>
      <c r="D97">
        <v>2</v>
      </c>
      <c r="E97">
        <f t="shared" si="19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f t="shared" si="21"/>
        <v>35.241555115787342</v>
      </c>
      <c r="P97">
        <f t="shared" si="22"/>
        <v>43.319121618121926</v>
      </c>
      <c r="Q97">
        <f t="shared" si="31"/>
        <v>110.0305689100297</v>
      </c>
      <c r="R97">
        <f t="shared" si="23"/>
        <v>15985.319518006434</v>
      </c>
      <c r="S97">
        <f t="shared" si="24"/>
        <v>38417.013982231285</v>
      </c>
      <c r="T97">
        <f t="shared" si="25"/>
        <v>101805.0870529129</v>
      </c>
      <c r="U97">
        <v>150.93</v>
      </c>
      <c r="V97">
        <v>0.11</v>
      </c>
      <c r="W97">
        <v>0.13</v>
      </c>
    </row>
    <row r="98" spans="1:29" x14ac:dyDescent="0.25">
      <c r="A98" t="s">
        <v>39</v>
      </c>
      <c r="B98" t="s">
        <v>40</v>
      </c>
      <c r="C98">
        <v>7</v>
      </c>
      <c r="D98">
        <v>2</v>
      </c>
      <c r="E98">
        <f t="shared" si="19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f t="shared" si="21"/>
        <v>43.585971696550949</v>
      </c>
      <c r="P98">
        <f t="shared" si="22"/>
        <v>46.498991230050322</v>
      </c>
      <c r="Q98">
        <f t="shared" si="31"/>
        <v>118.10743772432782</v>
      </c>
      <c r="R98">
        <f t="shared" si="23"/>
        <v>19770.28771241799</v>
      </c>
      <c r="S98">
        <f t="shared" si="24"/>
        <v>47513.308609512111</v>
      </c>
      <c r="T98">
        <f t="shared" si="25"/>
        <v>125910.26781520709</v>
      </c>
      <c r="U98">
        <v>150.93</v>
      </c>
      <c r="V98">
        <v>0.11</v>
      </c>
      <c r="W98">
        <v>0.13</v>
      </c>
    </row>
    <row r="99" spans="1:29" x14ac:dyDescent="0.25">
      <c r="A99" t="s">
        <v>39</v>
      </c>
      <c r="B99" t="s">
        <v>40</v>
      </c>
      <c r="C99">
        <v>8</v>
      </c>
      <c r="D99">
        <v>2</v>
      </c>
      <c r="E99">
        <f t="shared" si="19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f t="shared" si="21"/>
        <v>51.163115634360331</v>
      </c>
      <c r="P99">
        <f t="shared" si="22"/>
        <v>49.050896368692506</v>
      </c>
      <c r="Q99">
        <f t="shared" si="31"/>
        <v>124.58927677647897</v>
      </c>
      <c r="R99">
        <f t="shared" si="23"/>
        <v>23207.226476381566</v>
      </c>
      <c r="S99">
        <f t="shared" si="24"/>
        <v>55773.195088636297</v>
      </c>
      <c r="T99">
        <f t="shared" si="25"/>
        <v>147798.96698488618</v>
      </c>
      <c r="U99">
        <v>150.93</v>
      </c>
      <c r="V99">
        <v>0.11</v>
      </c>
      <c r="W99">
        <v>0.13</v>
      </c>
    </row>
    <row r="100" spans="1:29" x14ac:dyDescent="0.25">
      <c r="A100" t="s">
        <v>39</v>
      </c>
      <c r="B100" t="s">
        <v>40</v>
      </c>
      <c r="C100">
        <v>9</v>
      </c>
      <c r="D100">
        <v>2</v>
      </c>
      <c r="E100">
        <f t="shared" si="19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f t="shared" si="21"/>
        <v>57.842821896938077</v>
      </c>
      <c r="P100">
        <f t="shared" si="22"/>
        <v>51.0988482130699</v>
      </c>
      <c r="Q100">
        <f t="shared" si="31"/>
        <v>129.79107446119755</v>
      </c>
      <c r="R100">
        <f t="shared" si="23"/>
        <v>26237.093874199669</v>
      </c>
      <c r="S100">
        <f t="shared" si="24"/>
        <v>63054.779798605312</v>
      </c>
      <c r="T100">
        <f t="shared" si="25"/>
        <v>167095.16646630407</v>
      </c>
      <c r="U100">
        <v>150.93</v>
      </c>
      <c r="V100">
        <v>0.11</v>
      </c>
      <c r="W100">
        <v>0.13</v>
      </c>
    </row>
    <row r="101" spans="1:29" x14ac:dyDescent="0.25">
      <c r="A101" t="s">
        <v>39</v>
      </c>
      <c r="B101" t="s">
        <v>40</v>
      </c>
      <c r="C101">
        <v>10</v>
      </c>
      <c r="D101">
        <v>2</v>
      </c>
      <c r="E101">
        <f t="shared" si="19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f t="shared" si="21"/>
        <v>63.60555029705624</v>
      </c>
      <c r="P101">
        <f t="shared" si="22"/>
        <v>52.742368065504692</v>
      </c>
      <c r="Q101">
        <f t="shared" si="31"/>
        <v>133.96561488638193</v>
      </c>
      <c r="R101">
        <f t="shared" si="23"/>
        <v>28851.026615496656</v>
      </c>
      <c r="S101">
        <f t="shared" si="24"/>
        <v>69336.76187333971</v>
      </c>
      <c r="T101">
        <f t="shared" si="25"/>
        <v>183742.41896435022</v>
      </c>
      <c r="U101">
        <v>150.93</v>
      </c>
      <c r="V101">
        <v>0.11</v>
      </c>
      <c r="W101">
        <v>0.13</v>
      </c>
    </row>
    <row r="102" spans="1:29" x14ac:dyDescent="0.25">
      <c r="A102" t="s">
        <v>41</v>
      </c>
      <c r="B102" t="s">
        <v>42</v>
      </c>
      <c r="C102">
        <v>1</v>
      </c>
      <c r="D102">
        <v>4</v>
      </c>
      <c r="E102">
        <f t="shared" si="19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f t="shared" si="21"/>
        <v>2.0449819515939427</v>
      </c>
      <c r="P102">
        <f t="shared" si="22"/>
        <v>14.339617063112403</v>
      </c>
      <c r="Q102">
        <f t="shared" ref="Q102:Q111" si="32">91.5*(1-EXP(-0.1269*(E102-0)))</f>
        <v>36.422627340305503</v>
      </c>
      <c r="R102">
        <f t="shared" si="23"/>
        <v>927.58931316686903</v>
      </c>
      <c r="S102">
        <f t="shared" si="24"/>
        <v>2229.246126332298</v>
      </c>
      <c r="T102">
        <f t="shared" si="25"/>
        <v>5907.5022347805898</v>
      </c>
      <c r="U102">
        <v>91.5</v>
      </c>
      <c r="V102">
        <v>0.12690000000000001</v>
      </c>
      <c r="W102">
        <v>0</v>
      </c>
      <c r="Y102" t="s">
        <v>473</v>
      </c>
    </row>
    <row r="103" spans="1:29" x14ac:dyDescent="0.25">
      <c r="A103" t="s">
        <v>41</v>
      </c>
      <c r="B103" t="s">
        <v>42</v>
      </c>
      <c r="C103">
        <v>2</v>
      </c>
      <c r="D103">
        <v>4</v>
      </c>
      <c r="E103">
        <f t="shared" si="19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f t="shared" si="21"/>
        <v>8.8123467943379108</v>
      </c>
      <c r="P103">
        <f t="shared" si="22"/>
        <v>22.971184634504269</v>
      </c>
      <c r="Q103">
        <f t="shared" si="32"/>
        <v>58.34680897164084</v>
      </c>
      <c r="R103">
        <f t="shared" si="23"/>
        <v>3997.2180213995657</v>
      </c>
      <c r="S103">
        <f t="shared" si="24"/>
        <v>9606.3879389559388</v>
      </c>
      <c r="T103">
        <f t="shared" si="25"/>
        <v>25456.928038233236</v>
      </c>
      <c r="U103">
        <v>91.5</v>
      </c>
      <c r="V103">
        <v>0.12690000000000001</v>
      </c>
      <c r="W103">
        <v>0</v>
      </c>
    </row>
    <row r="104" spans="1:29" x14ac:dyDescent="0.25">
      <c r="A104" t="s">
        <v>41</v>
      </c>
      <c r="B104" t="s">
        <v>42</v>
      </c>
      <c r="C104">
        <v>3</v>
      </c>
      <c r="D104">
        <v>4</v>
      </c>
      <c r="E104">
        <f t="shared" si="19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f t="shared" si="21"/>
        <v>16.581052355175359</v>
      </c>
      <c r="P104">
        <f t="shared" si="22"/>
        <v>28.16685746255764</v>
      </c>
      <c r="Q104">
        <f t="shared" si="32"/>
        <v>71.543817954896411</v>
      </c>
      <c r="R104">
        <f t="shared" si="23"/>
        <v>7521.0477792886577</v>
      </c>
      <c r="S104">
        <f t="shared" si="24"/>
        <v>18075.096801943422</v>
      </c>
      <c r="T104">
        <f t="shared" si="25"/>
        <v>47899.006525150064</v>
      </c>
      <c r="U104">
        <v>91.5</v>
      </c>
      <c r="V104">
        <v>0.12690000000000001</v>
      </c>
      <c r="W104">
        <v>0</v>
      </c>
    </row>
    <row r="105" spans="1:29" x14ac:dyDescent="0.25">
      <c r="A105" t="s">
        <v>41</v>
      </c>
      <c r="B105" t="s">
        <v>42</v>
      </c>
      <c r="C105">
        <v>4</v>
      </c>
      <c r="D105">
        <v>4</v>
      </c>
      <c r="E105">
        <f t="shared" si="19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f t="shared" si="21"/>
        <v>22.980883966940183</v>
      </c>
      <c r="P105">
        <f t="shared" si="22"/>
        <v>31.294332966039004</v>
      </c>
      <c r="Q105">
        <f t="shared" si="32"/>
        <v>79.487605733739073</v>
      </c>
      <c r="R105">
        <f t="shared" si="23"/>
        <v>10423.966019967243</v>
      </c>
      <c r="S105">
        <f t="shared" si="24"/>
        <v>25051.588608428843</v>
      </c>
      <c r="T105">
        <f t="shared" si="25"/>
        <v>66386.709812336427</v>
      </c>
      <c r="U105">
        <v>91.5</v>
      </c>
      <c r="V105">
        <v>0.12690000000000001</v>
      </c>
      <c r="W105">
        <v>0</v>
      </c>
    </row>
    <row r="106" spans="1:29" x14ac:dyDescent="0.25">
      <c r="A106" t="s">
        <v>41</v>
      </c>
      <c r="B106" t="s">
        <v>42</v>
      </c>
      <c r="C106">
        <v>5</v>
      </c>
      <c r="D106">
        <v>4</v>
      </c>
      <c r="E106">
        <f t="shared" si="19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f t="shared" si="21"/>
        <v>27.543129144945357</v>
      </c>
      <c r="P106">
        <f t="shared" si="22"/>
        <v>33.176880876304679</v>
      </c>
      <c r="Q106">
        <f t="shared" si="32"/>
        <v>84.269277425813883</v>
      </c>
      <c r="R106">
        <f t="shared" si="23"/>
        <v>12493.368083817328</v>
      </c>
      <c r="S106">
        <f t="shared" si="24"/>
        <v>30024.917288674184</v>
      </c>
      <c r="T106">
        <f t="shared" si="25"/>
        <v>79566.030814986589</v>
      </c>
      <c r="U106">
        <v>91.5</v>
      </c>
      <c r="V106">
        <v>0.12690000000000001</v>
      </c>
      <c r="W106">
        <v>0</v>
      </c>
    </row>
    <row r="107" spans="1:29" x14ac:dyDescent="0.25">
      <c r="A107" t="s">
        <v>41</v>
      </c>
      <c r="B107" t="s">
        <v>42</v>
      </c>
      <c r="C107">
        <v>6</v>
      </c>
      <c r="D107">
        <v>4</v>
      </c>
      <c r="E107">
        <f t="shared" si="19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f t="shared" si="21"/>
        <v>30.565366073329951</v>
      </c>
      <c r="P107">
        <f t="shared" si="22"/>
        <v>34.310058939730155</v>
      </c>
      <c r="Q107">
        <f t="shared" si="32"/>
        <v>87.147549706914589</v>
      </c>
      <c r="R107">
        <f t="shared" si="23"/>
        <v>13864.233325167126</v>
      </c>
      <c r="S107">
        <f t="shared" si="24"/>
        <v>33319.474465674422</v>
      </c>
      <c r="T107">
        <f t="shared" si="25"/>
        <v>88296.60733403721</v>
      </c>
      <c r="U107">
        <v>91.5</v>
      </c>
      <c r="V107">
        <v>0.12690000000000001</v>
      </c>
      <c r="W107">
        <v>0</v>
      </c>
    </row>
    <row r="108" spans="1:29" x14ac:dyDescent="0.25">
      <c r="A108" t="s">
        <v>41</v>
      </c>
      <c r="B108" t="s">
        <v>42</v>
      </c>
      <c r="C108">
        <v>7</v>
      </c>
      <c r="D108">
        <v>4</v>
      </c>
      <c r="E108">
        <f t="shared" si="19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f t="shared" si="21"/>
        <v>32.488711412223459</v>
      </c>
      <c r="P108">
        <f t="shared" si="22"/>
        <v>34.992162442343009</v>
      </c>
      <c r="Q108">
        <f t="shared" si="32"/>
        <v>88.880092603551248</v>
      </c>
      <c r="R108">
        <f t="shared" si="23"/>
        <v>14736.649133285309</v>
      </c>
      <c r="S108">
        <f t="shared" si="24"/>
        <v>35416.123848318457</v>
      </c>
      <c r="T108">
        <f t="shared" si="25"/>
        <v>93852.728198043915</v>
      </c>
      <c r="U108">
        <v>91.5</v>
      </c>
      <c r="V108">
        <v>0.12690000000000001</v>
      </c>
      <c r="W108">
        <v>0</v>
      </c>
    </row>
    <row r="109" spans="1:29" x14ac:dyDescent="0.25">
      <c r="A109" t="s">
        <v>41</v>
      </c>
      <c r="B109" t="s">
        <v>42</v>
      </c>
      <c r="C109">
        <v>8</v>
      </c>
      <c r="D109">
        <v>4</v>
      </c>
      <c r="E109">
        <f t="shared" si="19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f t="shared" si="21"/>
        <v>33.685084090738826</v>
      </c>
      <c r="P109">
        <f t="shared" si="22"/>
        <v>35.402746800877338</v>
      </c>
      <c r="Q109">
        <f t="shared" si="32"/>
        <v>89.922976874228439</v>
      </c>
      <c r="R109">
        <f t="shared" si="23"/>
        <v>15279.315297302403</v>
      </c>
      <c r="S109">
        <f t="shared" si="24"/>
        <v>36720.296316516229</v>
      </c>
      <c r="T109">
        <f t="shared" si="25"/>
        <v>97308.785238768003</v>
      </c>
      <c r="U109">
        <v>91.5</v>
      </c>
      <c r="V109">
        <v>0.12690000000000001</v>
      </c>
      <c r="W109">
        <v>0</v>
      </c>
    </row>
    <row r="110" spans="1:29" x14ac:dyDescent="0.25">
      <c r="A110" t="s">
        <v>41</v>
      </c>
      <c r="B110" t="s">
        <v>42</v>
      </c>
      <c r="C110">
        <v>9</v>
      </c>
      <c r="D110">
        <v>4</v>
      </c>
      <c r="E110">
        <f t="shared" si="19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f t="shared" si="21"/>
        <v>34.419423392181123</v>
      </c>
      <c r="P110">
        <f t="shared" si="22"/>
        <v>35.649893333371722</v>
      </c>
      <c r="Q110">
        <f t="shared" si="32"/>
        <v>90.550729066764177</v>
      </c>
      <c r="R110">
        <f t="shared" si="23"/>
        <v>15612.40639755655</v>
      </c>
      <c r="S110">
        <f t="shared" si="24"/>
        <v>37520.803647095767</v>
      </c>
      <c r="T110">
        <f t="shared" si="25"/>
        <v>99430.129664803782</v>
      </c>
      <c r="U110">
        <v>91.5</v>
      </c>
      <c r="V110">
        <v>0.12690000000000001</v>
      </c>
      <c r="W110">
        <v>0</v>
      </c>
    </row>
    <row r="111" spans="1:29" x14ac:dyDescent="0.25">
      <c r="A111" t="s">
        <v>41</v>
      </c>
      <c r="B111" t="s">
        <v>42</v>
      </c>
      <c r="C111">
        <v>10</v>
      </c>
      <c r="D111">
        <v>4</v>
      </c>
      <c r="E111">
        <f t="shared" si="19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f t="shared" si="21"/>
        <v>34.866637361856597</v>
      </c>
      <c r="P111">
        <f t="shared" si="22"/>
        <v>35.798660346177684</v>
      </c>
      <c r="Q111">
        <f t="shared" si="32"/>
        <v>90.92859727929131</v>
      </c>
      <c r="R111">
        <f t="shared" si="23"/>
        <v>15815.259483201911</v>
      </c>
      <c r="S111">
        <f t="shared" si="24"/>
        <v>38008.314066815459</v>
      </c>
      <c r="T111">
        <f t="shared" si="25"/>
        <v>100722.03227706096</v>
      </c>
      <c r="U111">
        <v>91.5</v>
      </c>
      <c r="V111">
        <v>0.12690000000000001</v>
      </c>
      <c r="W111">
        <v>0</v>
      </c>
    </row>
    <row r="112" spans="1:29" x14ac:dyDescent="0.25">
      <c r="A112" t="s">
        <v>43</v>
      </c>
      <c r="B112" t="s">
        <v>44</v>
      </c>
      <c r="C112">
        <v>1</v>
      </c>
      <c r="D112">
        <v>2</v>
      </c>
      <c r="E112">
        <f t="shared" si="19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f t="shared" si="21"/>
        <v>0.71114115274024581</v>
      </c>
      <c r="P112">
        <f t="shared" si="22"/>
        <v>11.098206692228981</v>
      </c>
      <c r="Q112" s="2">
        <f t="shared" ref="Q112:Q121" si="33">$AC$114*(1-EXP(-$AC$115*(E112-0)))</f>
        <v>28.189444998261614</v>
      </c>
      <c r="R112" s="2">
        <f t="shared" si="23"/>
        <v>322.56858449086275</v>
      </c>
      <c r="S112" s="2">
        <f t="shared" si="24"/>
        <v>775.21890048272712</v>
      </c>
      <c r="T112" s="2">
        <f t="shared" si="25"/>
        <v>2054.3300862792266</v>
      </c>
      <c r="U112" s="2">
        <f t="shared" ref="U112:U121" si="34">$AC$114</f>
        <v>47.633333333333333</v>
      </c>
      <c r="V112" s="2">
        <f t="shared" ref="V112:V121" si="35">$AC$115</f>
        <v>0.44799999999999995</v>
      </c>
      <c r="W112" s="2">
        <v>0</v>
      </c>
      <c r="Y112" t="s">
        <v>474</v>
      </c>
      <c r="Z112" t="s">
        <v>475</v>
      </c>
      <c r="AA112" t="s">
        <v>476</v>
      </c>
      <c r="AC112" t="s">
        <v>453</v>
      </c>
    </row>
    <row r="113" spans="1:39" x14ac:dyDescent="0.25">
      <c r="A113" t="s">
        <v>43</v>
      </c>
      <c r="B113" t="s">
        <v>44</v>
      </c>
      <c r="C113">
        <v>2</v>
      </c>
      <c r="D113">
        <v>2</v>
      </c>
      <c r="E113">
        <f t="shared" si="19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f t="shared" si="21"/>
        <v>1.985857524505982</v>
      </c>
      <c r="P113">
        <f t="shared" si="22"/>
        <v>15.628485733024908</v>
      </c>
      <c r="Q113" s="2">
        <f t="shared" si="33"/>
        <v>39.696353761883266</v>
      </c>
      <c r="R113" s="2">
        <f t="shared" si="23"/>
        <v>900.77089226532553</v>
      </c>
      <c r="S113" s="2">
        <f t="shared" si="24"/>
        <v>2164.7942616326013</v>
      </c>
      <c r="T113" s="2">
        <f t="shared" si="25"/>
        <v>5736.704793326393</v>
      </c>
      <c r="U113" s="2">
        <f t="shared" si="34"/>
        <v>47.633333333333333</v>
      </c>
      <c r="V113" s="2">
        <f t="shared" si="35"/>
        <v>0.44799999999999995</v>
      </c>
      <c r="W113" s="2">
        <v>0</v>
      </c>
      <c r="X113" t="s">
        <v>422</v>
      </c>
      <c r="Y113">
        <v>55</v>
      </c>
      <c r="Z113">
        <v>170</v>
      </c>
      <c r="AA113">
        <v>36</v>
      </c>
      <c r="AC113">
        <f>AVERAGE(Y113:AA113)</f>
        <v>87</v>
      </c>
    </row>
    <row r="114" spans="1:39" x14ac:dyDescent="0.25">
      <c r="A114" t="s">
        <v>43</v>
      </c>
      <c r="B114" t="s">
        <v>44</v>
      </c>
      <c r="C114">
        <v>3</v>
      </c>
      <c r="D114">
        <v>2</v>
      </c>
      <c r="E114">
        <f t="shared" si="19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f t="shared" si="21"/>
        <v>2.777495453994816</v>
      </c>
      <c r="P114">
        <f t="shared" si="22"/>
        <v>17.477741991862246</v>
      </c>
      <c r="Q114" s="2">
        <f t="shared" si="33"/>
        <v>44.393464659330107</v>
      </c>
      <c r="R114" s="2">
        <f t="shared" si="23"/>
        <v>1259.8522439217716</v>
      </c>
      <c r="S114" s="2">
        <f t="shared" si="24"/>
        <v>3027.7631432871221</v>
      </c>
      <c r="T114" s="2">
        <f t="shared" si="25"/>
        <v>8023.5723297108734</v>
      </c>
      <c r="U114" s="2">
        <f t="shared" si="34"/>
        <v>47.633333333333333</v>
      </c>
      <c r="V114" s="2">
        <f t="shared" si="35"/>
        <v>0.44799999999999995</v>
      </c>
      <c r="W114" s="2">
        <v>0</v>
      </c>
      <c r="X114" t="s">
        <v>18</v>
      </c>
      <c r="Y114">
        <v>39</v>
      </c>
      <c r="Z114">
        <v>79.8</v>
      </c>
      <c r="AA114">
        <v>24.1</v>
      </c>
      <c r="AC114">
        <f>AVERAGE(Y114:AA114)</f>
        <v>47.633333333333333</v>
      </c>
    </row>
    <row r="115" spans="1:39" x14ac:dyDescent="0.25">
      <c r="A115" t="s">
        <v>43</v>
      </c>
      <c r="B115" t="s">
        <v>44</v>
      </c>
      <c r="C115">
        <v>4</v>
      </c>
      <c r="D115">
        <v>2</v>
      </c>
      <c r="E115">
        <f t="shared" si="19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f t="shared" si="21"/>
        <v>3.1531431748360164</v>
      </c>
      <c r="P115">
        <f t="shared" si="22"/>
        <v>18.232606908582309</v>
      </c>
      <c r="Q115" s="2">
        <f t="shared" si="33"/>
        <v>46.310821547799065</v>
      </c>
      <c r="R115" s="2">
        <f t="shared" si="23"/>
        <v>1430.2433865409987</v>
      </c>
      <c r="S115" s="2">
        <f t="shared" si="24"/>
        <v>3437.2587996659422</v>
      </c>
      <c r="T115" s="2">
        <f t="shared" si="25"/>
        <v>9108.7358191147468</v>
      </c>
      <c r="U115" s="2">
        <f t="shared" si="34"/>
        <v>47.633333333333333</v>
      </c>
      <c r="V115" s="2">
        <f t="shared" si="35"/>
        <v>0.44799999999999995</v>
      </c>
      <c r="W115" s="2">
        <v>0</v>
      </c>
      <c r="X115" t="s">
        <v>19</v>
      </c>
      <c r="Y115">
        <v>0.4</v>
      </c>
      <c r="Z115">
        <v>0.219</v>
      </c>
      <c r="AA115">
        <v>0.72499999999999998</v>
      </c>
      <c r="AC115">
        <f>AVERAGE(Y115:AA115)</f>
        <v>0.44799999999999995</v>
      </c>
    </row>
    <row r="116" spans="1:39" x14ac:dyDescent="0.25">
      <c r="A116" t="s">
        <v>43</v>
      </c>
      <c r="B116" t="s">
        <v>44</v>
      </c>
      <c r="C116">
        <v>5</v>
      </c>
      <c r="D116">
        <v>2</v>
      </c>
      <c r="E116">
        <f t="shared" si="19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f t="shared" si="21"/>
        <v>3.3157267116091043</v>
      </c>
      <c r="P116">
        <f t="shared" si="22"/>
        <v>18.540742160130975</v>
      </c>
      <c r="Q116" s="2">
        <f t="shared" si="33"/>
        <v>47.093485086732677</v>
      </c>
      <c r="R116" s="2">
        <f t="shared" si="23"/>
        <v>1503.9901260122399</v>
      </c>
      <c r="S116" s="2">
        <f t="shared" si="24"/>
        <v>3614.4920115651048</v>
      </c>
      <c r="T116" s="2">
        <f t="shared" si="25"/>
        <v>9578.4038306475268</v>
      </c>
      <c r="U116" s="2">
        <f t="shared" si="34"/>
        <v>47.633333333333333</v>
      </c>
      <c r="V116" s="2">
        <f t="shared" si="35"/>
        <v>0.44799999999999995</v>
      </c>
      <c r="W116" s="2">
        <v>0</v>
      </c>
      <c r="X116" t="s">
        <v>477</v>
      </c>
      <c r="AA116">
        <v>-1.1299999999999999</v>
      </c>
    </row>
    <row r="117" spans="1:39" x14ac:dyDescent="0.25">
      <c r="A117" t="s">
        <v>43</v>
      </c>
      <c r="B117" t="s">
        <v>44</v>
      </c>
      <c r="C117">
        <v>6</v>
      </c>
      <c r="D117">
        <v>2</v>
      </c>
      <c r="E117">
        <f t="shared" ref="E117:E180" si="36">C117*D117</f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f t="shared" si="21"/>
        <v>3.3836673032858817</v>
      </c>
      <c r="P117">
        <f t="shared" si="22"/>
        <v>18.666522721849898</v>
      </c>
      <c r="Q117" s="2">
        <f t="shared" si="33"/>
        <v>47.412967713498745</v>
      </c>
      <c r="R117" s="2">
        <f t="shared" si="23"/>
        <v>1534.8074966596882</v>
      </c>
      <c r="S117" s="2">
        <f t="shared" si="24"/>
        <v>3688.5544260026159</v>
      </c>
      <c r="T117" s="2">
        <f t="shared" si="25"/>
        <v>9774.6692289069324</v>
      </c>
      <c r="U117" s="2">
        <f t="shared" si="34"/>
        <v>47.633333333333333</v>
      </c>
      <c r="V117" s="2">
        <f t="shared" si="35"/>
        <v>0.44799999999999995</v>
      </c>
      <c r="W117" s="2">
        <v>0</v>
      </c>
      <c r="X117" t="s">
        <v>423</v>
      </c>
      <c r="Y117" t="s">
        <v>428</v>
      </c>
      <c r="Z117" t="s">
        <v>478</v>
      </c>
      <c r="AA117" t="s">
        <v>479</v>
      </c>
    </row>
    <row r="118" spans="1:39" x14ac:dyDescent="0.25">
      <c r="A118" t="s">
        <v>43</v>
      </c>
      <c r="B118" t="s">
        <v>44</v>
      </c>
      <c r="C118">
        <v>7</v>
      </c>
      <c r="D118">
        <v>2</v>
      </c>
      <c r="E118">
        <f t="shared" si="36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f t="shared" si="21"/>
        <v>3.4116651846413717</v>
      </c>
      <c r="P118">
        <f t="shared" si="22"/>
        <v>18.717866245925169</v>
      </c>
      <c r="Q118" s="2">
        <f t="shared" si="33"/>
        <v>47.543380264649933</v>
      </c>
      <c r="R118" s="2">
        <f t="shared" si="23"/>
        <v>1547.5071371217587</v>
      </c>
      <c r="S118" s="2">
        <f t="shared" si="24"/>
        <v>3719.0750711890378</v>
      </c>
      <c r="T118" s="2">
        <f t="shared" si="25"/>
        <v>9855.5489386509489</v>
      </c>
      <c r="U118" s="2">
        <f t="shared" si="34"/>
        <v>47.633333333333333</v>
      </c>
      <c r="V118" s="2">
        <f t="shared" si="35"/>
        <v>0.44799999999999995</v>
      </c>
      <c r="W118" s="2">
        <v>0</v>
      </c>
      <c r="X118" t="s">
        <v>434</v>
      </c>
      <c r="Y118" s="7" t="s">
        <v>480</v>
      </c>
      <c r="Z118" s="7" t="s">
        <v>481</v>
      </c>
      <c r="AA118" s="7" t="s">
        <v>482</v>
      </c>
    </row>
    <row r="119" spans="1:39" x14ac:dyDescent="0.25">
      <c r="A119" t="s">
        <v>43</v>
      </c>
      <c r="B119" t="s">
        <v>44</v>
      </c>
      <c r="C119">
        <v>8</v>
      </c>
      <c r="D119">
        <v>2</v>
      </c>
      <c r="E119">
        <f t="shared" si="36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f t="shared" si="21"/>
        <v>3.4231381405788768</v>
      </c>
      <c r="P119">
        <f t="shared" si="22"/>
        <v>18.738824631135429</v>
      </c>
      <c r="Q119" s="2">
        <f t="shared" si="33"/>
        <v>47.596614563083989</v>
      </c>
      <c r="R119" s="2">
        <f t="shared" si="23"/>
        <v>1552.7111885852785</v>
      </c>
      <c r="S119" s="2">
        <f t="shared" si="24"/>
        <v>3731.5818038579146</v>
      </c>
      <c r="T119" s="2">
        <f t="shared" si="25"/>
        <v>9888.691780223473</v>
      </c>
      <c r="U119" s="2">
        <f t="shared" si="34"/>
        <v>47.633333333333333</v>
      </c>
      <c r="V119" s="2">
        <f t="shared" si="35"/>
        <v>0.44799999999999995</v>
      </c>
      <c r="W119" s="2">
        <v>0</v>
      </c>
    </row>
    <row r="120" spans="1:39" x14ac:dyDescent="0.25">
      <c r="A120" t="s">
        <v>43</v>
      </c>
      <c r="B120" t="s">
        <v>44</v>
      </c>
      <c r="C120">
        <v>9</v>
      </c>
      <c r="D120">
        <v>2</v>
      </c>
      <c r="E120">
        <f t="shared" si="36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f t="shared" si="21"/>
        <v>3.4278287746907621</v>
      </c>
      <c r="P120">
        <f t="shared" si="22"/>
        <v>18.747379827112582</v>
      </c>
      <c r="Q120" s="2">
        <f t="shared" si="33"/>
        <v>47.618344760865959</v>
      </c>
      <c r="R120" s="2">
        <f t="shared" si="23"/>
        <v>1554.8388269591867</v>
      </c>
      <c r="S120" s="2">
        <f t="shared" si="24"/>
        <v>3736.6950900244819</v>
      </c>
      <c r="T120" s="2">
        <f t="shared" si="25"/>
        <v>9902.241988564876</v>
      </c>
      <c r="U120" s="2">
        <f t="shared" si="34"/>
        <v>47.633333333333333</v>
      </c>
      <c r="V120" s="2">
        <f t="shared" si="35"/>
        <v>0.44799999999999995</v>
      </c>
      <c r="W120" s="2">
        <v>0</v>
      </c>
    </row>
    <row r="121" spans="1:39" x14ac:dyDescent="0.25">
      <c r="A121" t="s">
        <v>43</v>
      </c>
      <c r="B121" t="s">
        <v>44</v>
      </c>
      <c r="C121">
        <v>10</v>
      </c>
      <c r="D121">
        <v>2</v>
      </c>
      <c r="E121">
        <f t="shared" si="36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f t="shared" si="21"/>
        <v>3.4297447186421808</v>
      </c>
      <c r="P121">
        <f t="shared" si="22"/>
        <v>18.750872051225898</v>
      </c>
      <c r="Q121" s="2">
        <f t="shared" si="33"/>
        <v>47.62721501011378</v>
      </c>
      <c r="R121" s="2">
        <f t="shared" si="23"/>
        <v>1555.7078855504262</v>
      </c>
      <c r="S121" s="2">
        <f t="shared" si="24"/>
        <v>3738.783671113737</v>
      </c>
      <c r="T121" s="2">
        <f t="shared" si="25"/>
        <v>9907.776728451403</v>
      </c>
      <c r="U121" s="2">
        <f t="shared" si="34"/>
        <v>47.633333333333333</v>
      </c>
      <c r="V121" s="2">
        <f t="shared" si="35"/>
        <v>0.44799999999999995</v>
      </c>
      <c r="W121" s="2">
        <v>0</v>
      </c>
    </row>
    <row r="122" spans="1:39" x14ac:dyDescent="0.25">
      <c r="A122" t="s">
        <v>45</v>
      </c>
      <c r="B122" t="s">
        <v>46</v>
      </c>
      <c r="C122">
        <v>1</v>
      </c>
      <c r="D122">
        <v>5</v>
      </c>
      <c r="E122">
        <f t="shared" si="36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f t="shared" si="21"/>
        <v>236.49415018863132</v>
      </c>
      <c r="P122">
        <f t="shared" si="22"/>
        <v>82.777750262180959</v>
      </c>
      <c r="Q122" s="2">
        <f t="shared" ref="Q122:Q161" si="37">U122*(1-EXP(-V122*(E122-W122)))</f>
        <v>210.25548566593963</v>
      </c>
      <c r="R122" s="2">
        <f t="shared" si="23"/>
        <v>107272.06964857042</v>
      </c>
      <c r="S122" s="2">
        <f t="shared" si="24"/>
        <v>257803.58002540361</v>
      </c>
      <c r="T122" s="2">
        <f t="shared" si="25"/>
        <v>683179.48706731957</v>
      </c>
      <c r="U122" s="2">
        <f t="shared" ref="U122:U131" si="38">$AM$124</f>
        <v>300.78571428571428</v>
      </c>
      <c r="V122" s="2">
        <f t="shared" ref="V122:V131" si="39">$AM$125</f>
        <v>0.24014285714285719</v>
      </c>
      <c r="W122" s="2">
        <v>0</v>
      </c>
      <c r="Y122" t="s">
        <v>483</v>
      </c>
      <c r="Z122" t="s">
        <v>484</v>
      </c>
      <c r="AA122" t="s">
        <v>485</v>
      </c>
      <c r="AB122" t="s">
        <v>486</v>
      </c>
      <c r="AC122" t="s">
        <v>487</v>
      </c>
      <c r="AD122" t="s">
        <v>488</v>
      </c>
      <c r="AE122" t="s">
        <v>489</v>
      </c>
      <c r="AF122" t="s">
        <v>490</v>
      </c>
      <c r="AG122" t="s">
        <v>491</v>
      </c>
      <c r="AH122" t="s">
        <v>492</v>
      </c>
      <c r="AI122" t="s">
        <v>493</v>
      </c>
      <c r="AJ122" t="s">
        <v>494</v>
      </c>
      <c r="AK122" t="s">
        <v>495</v>
      </c>
    </row>
    <row r="123" spans="1:39" x14ac:dyDescent="0.25">
      <c r="A123" t="s">
        <v>45</v>
      </c>
      <c r="B123" t="s">
        <v>46</v>
      </c>
      <c r="C123">
        <v>2</v>
      </c>
      <c r="D123">
        <v>5</v>
      </c>
      <c r="E123">
        <f t="shared" si="36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f t="shared" si="21"/>
        <v>502.79687483030051</v>
      </c>
      <c r="P123">
        <f t="shared" si="22"/>
        <v>104.78036841309248</v>
      </c>
      <c r="Q123" s="2">
        <f t="shared" si="37"/>
        <v>266.14213576925488</v>
      </c>
      <c r="R123" s="2">
        <f t="shared" si="23"/>
        <v>228065.09730942317</v>
      </c>
      <c r="S123" s="2">
        <f t="shared" si="24"/>
        <v>548101.6517890488</v>
      </c>
      <c r="T123" s="2">
        <f t="shared" si="25"/>
        <v>1452469.3772409793</v>
      </c>
      <c r="U123" s="2">
        <f t="shared" si="38"/>
        <v>300.78571428571428</v>
      </c>
      <c r="V123" s="2">
        <f t="shared" si="39"/>
        <v>0.24014285714285719</v>
      </c>
      <c r="W123" s="2">
        <v>1</v>
      </c>
      <c r="X123" t="s">
        <v>422</v>
      </c>
      <c r="Y123">
        <v>70</v>
      </c>
      <c r="Z123">
        <v>450</v>
      </c>
      <c r="AA123">
        <v>48</v>
      </c>
      <c r="AB123">
        <v>152</v>
      </c>
      <c r="AC123">
        <v>430</v>
      </c>
      <c r="AD123">
        <v>360</v>
      </c>
      <c r="AE123">
        <v>340</v>
      </c>
      <c r="AF123">
        <v>110</v>
      </c>
      <c r="AG123">
        <v>430</v>
      </c>
      <c r="AH123">
        <v>573</v>
      </c>
      <c r="AI123">
        <v>487</v>
      </c>
      <c r="AM123">
        <f>AVERAGE(Y123:AI123)</f>
        <v>313.63636363636363</v>
      </c>
    </row>
    <row r="124" spans="1:39" x14ac:dyDescent="0.25">
      <c r="A124" t="s">
        <v>45</v>
      </c>
      <c r="B124" t="s">
        <v>46</v>
      </c>
      <c r="C124">
        <v>3</v>
      </c>
      <c r="D124">
        <v>5</v>
      </c>
      <c r="E124">
        <f t="shared" si="36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f t="shared" si="21"/>
        <v>643.88434170857965</v>
      </c>
      <c r="P124">
        <f t="shared" si="22"/>
        <v>113.2002016676865</v>
      </c>
      <c r="Q124" s="2">
        <f t="shared" si="37"/>
        <v>287.5285122359237</v>
      </c>
      <c r="R124" s="2">
        <f t="shared" si="23"/>
        <v>292061.37189564627</v>
      </c>
      <c r="S124" s="2">
        <f t="shared" si="24"/>
        <v>701901.87910513394</v>
      </c>
      <c r="T124" s="2">
        <f t="shared" si="25"/>
        <v>1860039.9796286048</v>
      </c>
      <c r="U124" s="2">
        <f t="shared" si="38"/>
        <v>300.78571428571428</v>
      </c>
      <c r="V124" s="2">
        <f t="shared" si="39"/>
        <v>0.24014285714285719</v>
      </c>
      <c r="W124" s="2">
        <v>2</v>
      </c>
      <c r="X124" t="s">
        <v>18</v>
      </c>
      <c r="AC124">
        <v>449</v>
      </c>
      <c r="AD124">
        <v>285</v>
      </c>
      <c r="AE124">
        <v>250</v>
      </c>
      <c r="AF124">
        <v>92.5</v>
      </c>
      <c r="AG124">
        <v>329</v>
      </c>
      <c r="AH124">
        <v>416</v>
      </c>
      <c r="AI124">
        <v>284</v>
      </c>
      <c r="AM124">
        <f>AVERAGE(Y124:AI124)</f>
        <v>300.78571428571428</v>
      </c>
    </row>
    <row r="125" spans="1:39" x14ac:dyDescent="0.25">
      <c r="A125" t="s">
        <v>45</v>
      </c>
      <c r="B125" t="s">
        <v>46</v>
      </c>
      <c r="C125">
        <v>4</v>
      </c>
      <c r="D125">
        <v>5</v>
      </c>
      <c r="E125">
        <f t="shared" si="36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>
        <f t="shared" si="21"/>
        <v>704.38814000550622</v>
      </c>
      <c r="P125">
        <f t="shared" si="22"/>
        <v>116.4222542229289</v>
      </c>
      <c r="Q125" s="2">
        <f t="shared" si="37"/>
        <v>295.71252572623939</v>
      </c>
      <c r="R125" s="2">
        <f t="shared" si="23"/>
        <v>319505.46579705627</v>
      </c>
      <c r="S125" s="2">
        <f t="shared" si="24"/>
        <v>767857.40398235095</v>
      </c>
      <c r="T125" s="2">
        <f t="shared" si="25"/>
        <v>2034822.1205532299</v>
      </c>
      <c r="U125" s="2">
        <f t="shared" si="38"/>
        <v>300.78571428571428</v>
      </c>
      <c r="V125" s="2">
        <f t="shared" si="39"/>
        <v>0.24014285714285719</v>
      </c>
      <c r="W125" s="2">
        <v>3</v>
      </c>
      <c r="X125" t="s">
        <v>19</v>
      </c>
      <c r="AC125">
        <v>0.14099999999999999</v>
      </c>
      <c r="AD125">
        <v>0.1</v>
      </c>
      <c r="AE125">
        <v>0.54</v>
      </c>
      <c r="AF125">
        <v>0.5</v>
      </c>
      <c r="AG125">
        <v>0.1</v>
      </c>
      <c r="AH125">
        <v>0.2</v>
      </c>
      <c r="AI125">
        <v>0.1</v>
      </c>
      <c r="AM125">
        <f>AVERAGE(Y125:AI125)</f>
        <v>0.24014285714285719</v>
      </c>
    </row>
    <row r="126" spans="1:39" x14ac:dyDescent="0.25">
      <c r="A126" t="s">
        <v>45</v>
      </c>
      <c r="B126" t="s">
        <v>46</v>
      </c>
      <c r="C126">
        <v>5</v>
      </c>
      <c r="D126">
        <v>5</v>
      </c>
      <c r="E126">
        <f t="shared" si="36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f t="shared" si="21"/>
        <v>728.53936450918093</v>
      </c>
      <c r="P126">
        <f t="shared" si="22"/>
        <v>117.65525045395043</v>
      </c>
      <c r="Q126" s="2">
        <f t="shared" si="37"/>
        <v>298.84433615303408</v>
      </c>
      <c r="R126" s="2">
        <f t="shared" si="23"/>
        <v>330460.2899861114</v>
      </c>
      <c r="S126" s="2">
        <f t="shared" si="24"/>
        <v>794184.78727736452</v>
      </c>
      <c r="T126" s="2">
        <f t="shared" si="25"/>
        <v>2104589.6862850161</v>
      </c>
      <c r="U126" s="2">
        <f t="shared" si="38"/>
        <v>300.78571428571428</v>
      </c>
      <c r="V126" s="2">
        <f t="shared" si="39"/>
        <v>0.24014285714285719</v>
      </c>
      <c r="W126" s="2">
        <v>4</v>
      </c>
      <c r="X126" t="s">
        <v>477</v>
      </c>
    </row>
    <row r="127" spans="1:39" x14ac:dyDescent="0.25">
      <c r="A127" t="s">
        <v>45</v>
      </c>
      <c r="B127" t="s">
        <v>46</v>
      </c>
      <c r="C127">
        <v>6</v>
      </c>
      <c r="D127">
        <v>5</v>
      </c>
      <c r="E127">
        <f t="shared" si="36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f t="shared" si="21"/>
        <v>737.93004883363142</v>
      </c>
      <c r="P127">
        <f t="shared" si="22"/>
        <v>118.12708624174343</v>
      </c>
      <c r="Q127" s="2">
        <f t="shared" si="37"/>
        <v>300.04279905402831</v>
      </c>
      <c r="R127" s="2">
        <f t="shared" si="23"/>
        <v>334719.83781043056</v>
      </c>
      <c r="S127" s="2">
        <f t="shared" si="24"/>
        <v>804421.62415388261</v>
      </c>
      <c r="T127" s="2">
        <f t="shared" si="25"/>
        <v>2131717.3040077887</v>
      </c>
      <c r="U127" s="2">
        <f t="shared" si="38"/>
        <v>300.78571428571428</v>
      </c>
      <c r="V127" s="2">
        <f t="shared" si="39"/>
        <v>0.24014285714285719</v>
      </c>
      <c r="W127" s="2">
        <v>5</v>
      </c>
      <c r="X127" t="s">
        <v>423</v>
      </c>
      <c r="AD127" t="s">
        <v>426</v>
      </c>
      <c r="AE127" t="s">
        <v>496</v>
      </c>
      <c r="AF127" t="s">
        <v>428</v>
      </c>
      <c r="AG127" t="s">
        <v>428</v>
      </c>
      <c r="AH127" t="s">
        <v>428</v>
      </c>
      <c r="AI127" t="s">
        <v>428</v>
      </c>
    </row>
    <row r="128" spans="1:39" x14ac:dyDescent="0.25">
      <c r="A128" t="s">
        <v>45</v>
      </c>
      <c r="B128" t="s">
        <v>46</v>
      </c>
      <c r="C128">
        <v>7</v>
      </c>
      <c r="D128">
        <v>5</v>
      </c>
      <c r="E128">
        <f t="shared" si="36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>
        <f t="shared" si="21"/>
        <v>741.54552690168384</v>
      </c>
      <c r="P128">
        <f t="shared" si="22"/>
        <v>118.30764560197586</v>
      </c>
      <c r="Q128" s="2">
        <f t="shared" si="37"/>
        <v>300.50141982901869</v>
      </c>
      <c r="R128" s="2">
        <f t="shared" si="23"/>
        <v>336359.79302631918</v>
      </c>
      <c r="S128" s="2">
        <f t="shared" si="24"/>
        <v>808362.87677558069</v>
      </c>
      <c r="T128" s="2">
        <f t="shared" si="25"/>
        <v>2142161.6234552888</v>
      </c>
      <c r="U128" s="2">
        <f t="shared" si="38"/>
        <v>300.78571428571428</v>
      </c>
      <c r="V128" s="2">
        <f t="shared" si="39"/>
        <v>0.24014285714285719</v>
      </c>
      <c r="W128" s="2">
        <v>6</v>
      </c>
      <c r="X128" t="s">
        <v>434</v>
      </c>
      <c r="Y128" s="7" t="s">
        <v>497</v>
      </c>
      <c r="Z128" s="7" t="s">
        <v>498</v>
      </c>
      <c r="AA128" s="7" t="s">
        <v>499</v>
      </c>
      <c r="AB128" s="7" t="s">
        <v>500</v>
      </c>
      <c r="AC128" s="7" t="s">
        <v>501</v>
      </c>
      <c r="AD128" s="7" t="s">
        <v>502</v>
      </c>
      <c r="AE128" s="7" t="s">
        <v>503</v>
      </c>
      <c r="AF128" s="7" t="s">
        <v>504</v>
      </c>
      <c r="AG128" s="7" t="s">
        <v>505</v>
      </c>
      <c r="AH128" s="7" t="s">
        <v>506</v>
      </c>
      <c r="AI128" s="7" t="s">
        <v>507</v>
      </c>
    </row>
    <row r="129" spans="1:97" x14ac:dyDescent="0.25">
      <c r="A129" t="s">
        <v>45</v>
      </c>
      <c r="B129" t="s">
        <v>46</v>
      </c>
      <c r="C129">
        <v>8</v>
      </c>
      <c r="D129">
        <v>5</v>
      </c>
      <c r="E129">
        <f t="shared" si="36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f t="shared" si="21"/>
        <v>742.9322926417459</v>
      </c>
      <c r="P129">
        <f t="shared" si="22"/>
        <v>118.37674100213623</v>
      </c>
      <c r="Q129" s="2">
        <f t="shared" si="37"/>
        <v>300.67692214542603</v>
      </c>
      <c r="R129" s="2">
        <f t="shared" si="23"/>
        <v>336988.82013305963</v>
      </c>
      <c r="S129" s="2">
        <f t="shared" si="24"/>
        <v>809874.5977723134</v>
      </c>
      <c r="T129" s="2">
        <f t="shared" si="25"/>
        <v>2146167.6840966307</v>
      </c>
      <c r="U129" s="2">
        <f t="shared" si="38"/>
        <v>300.78571428571428</v>
      </c>
      <c r="V129" s="2">
        <f t="shared" si="39"/>
        <v>0.24014285714285719</v>
      </c>
      <c r="W129" s="2">
        <v>7</v>
      </c>
    </row>
    <row r="130" spans="1:97" x14ac:dyDescent="0.25">
      <c r="A130" t="s">
        <v>45</v>
      </c>
      <c r="B130" t="s">
        <v>46</v>
      </c>
      <c r="C130">
        <v>9</v>
      </c>
      <c r="D130">
        <v>5</v>
      </c>
      <c r="E130">
        <f t="shared" si="36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f t="shared" ref="O130:O193" si="40">R130*0.00220462</f>
        <v>743.46344339640029</v>
      </c>
      <c r="P130">
        <f t="shared" ref="P130:P193" si="41">Q130/2.54</f>
        <v>118.40318202583714</v>
      </c>
      <c r="Q130" s="2">
        <f t="shared" si="37"/>
        <v>300.74408234562634</v>
      </c>
      <c r="R130" s="2">
        <f t="shared" ref="R130:R193" si="42">L130*(Q130^M130)</f>
        <v>337229.74634921225</v>
      </c>
      <c r="S130" s="2">
        <f t="shared" ref="S130:S193" si="43">R130/20/5.7/3.65*1000</f>
        <v>810453.60814518679</v>
      </c>
      <c r="T130" s="2">
        <f t="shared" ref="T130:T193" si="44">S130*2.65</f>
        <v>2147702.0615847451</v>
      </c>
      <c r="U130" s="2">
        <f t="shared" si="38"/>
        <v>300.78571428571428</v>
      </c>
      <c r="V130" s="2">
        <f t="shared" si="39"/>
        <v>0.24014285714285719</v>
      </c>
      <c r="W130" s="2">
        <v>8</v>
      </c>
    </row>
    <row r="131" spans="1:97" x14ac:dyDescent="0.25">
      <c r="A131" t="s">
        <v>45</v>
      </c>
      <c r="B131" t="s">
        <v>46</v>
      </c>
      <c r="C131">
        <v>10</v>
      </c>
      <c r="D131">
        <v>5</v>
      </c>
      <c r="E131">
        <f t="shared" si="36"/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f t="shared" si="40"/>
        <v>743.66677011026241</v>
      </c>
      <c r="P131">
        <f t="shared" si="41"/>
        <v>118.41330032217421</v>
      </c>
      <c r="Q131" s="2">
        <f t="shared" si="37"/>
        <v>300.76978281832248</v>
      </c>
      <c r="R131" s="2">
        <f t="shared" si="42"/>
        <v>337321.97390491894</v>
      </c>
      <c r="S131" s="2">
        <f t="shared" si="43"/>
        <v>810675.25571958418</v>
      </c>
      <c r="T131" s="2">
        <f t="shared" si="44"/>
        <v>2148289.4276568978</v>
      </c>
      <c r="U131" s="2">
        <f t="shared" si="38"/>
        <v>300.78571428571428</v>
      </c>
      <c r="V131" s="2">
        <f t="shared" si="39"/>
        <v>0.24014285714285719</v>
      </c>
      <c r="W131" s="2">
        <v>9</v>
      </c>
      <c r="AE131" t="s">
        <v>508</v>
      </c>
    </row>
    <row r="132" spans="1:97" x14ac:dyDescent="0.25">
      <c r="A132" s="2" t="s">
        <v>47</v>
      </c>
      <c r="B132" t="s">
        <v>48</v>
      </c>
      <c r="C132">
        <v>1</v>
      </c>
      <c r="D132">
        <v>1</v>
      </c>
      <c r="E132">
        <f t="shared" si="36"/>
        <v>1</v>
      </c>
      <c r="F132">
        <v>48.065368900000003</v>
      </c>
      <c r="G132">
        <v>127.37322760000001</v>
      </c>
      <c r="H132">
        <f t="shared" ref="H132:H161" si="45">F132*3.65*5.7*20/1000</f>
        <v>19.999999999290001</v>
      </c>
      <c r="I132">
        <f t="shared" ref="I132:J161" si="46">H132/1000</f>
        <v>1.9999999999290002E-2</v>
      </c>
      <c r="J132">
        <f t="shared" si="46"/>
        <v>1.9999999999290002E-5</v>
      </c>
      <c r="K132">
        <f t="shared" ref="K132:K161" si="47">I132*2.20462</f>
        <v>4.4092399998434721E-2</v>
      </c>
      <c r="L132" s="3">
        <v>1.23E-2</v>
      </c>
      <c r="M132" s="3">
        <v>3.2</v>
      </c>
      <c r="N132">
        <f t="shared" ref="N132:N161" si="48">(H132/L132)^(1/M132)</f>
        <v>10.080371233277278</v>
      </c>
      <c r="O132">
        <f t="shared" si="40"/>
        <v>0.25186145377015484</v>
      </c>
      <c r="P132">
        <f t="shared" si="41"/>
        <v>6.8413557525043736</v>
      </c>
      <c r="Q132" s="2">
        <f t="shared" si="37"/>
        <v>17.37704361136111</v>
      </c>
      <c r="R132" s="2">
        <f t="shared" si="42"/>
        <v>114.24256959029441</v>
      </c>
      <c r="S132" s="2">
        <f t="shared" si="43"/>
        <v>274.55556258181787</v>
      </c>
      <c r="T132" s="2">
        <f t="shared" si="44"/>
        <v>727.57224084181735</v>
      </c>
      <c r="U132" s="2">
        <f t="shared" ref="U132:U141" si="49">$AH$134</f>
        <v>39.200000000000003</v>
      </c>
      <c r="V132" s="2">
        <f t="shared" ref="V132:V141" si="50">$AH$135</f>
        <v>0.58571428571428563</v>
      </c>
      <c r="W132" s="2">
        <v>0</v>
      </c>
      <c r="Y132" t="s">
        <v>509</v>
      </c>
      <c r="Z132" t="s">
        <v>510</v>
      </c>
      <c r="AA132" t="s">
        <v>511</v>
      </c>
      <c r="AB132" t="s">
        <v>512</v>
      </c>
      <c r="AC132" t="s">
        <v>513</v>
      </c>
      <c r="AD132" t="s">
        <v>514</v>
      </c>
      <c r="AE132" t="s">
        <v>515</v>
      </c>
      <c r="AF132" t="s">
        <v>516</v>
      </c>
      <c r="AH132" t="s">
        <v>453</v>
      </c>
    </row>
    <row r="133" spans="1:97" x14ac:dyDescent="0.25">
      <c r="A133" s="2" t="s">
        <v>47</v>
      </c>
      <c r="B133" t="s">
        <v>48</v>
      </c>
      <c r="C133">
        <v>2</v>
      </c>
      <c r="D133">
        <v>1</v>
      </c>
      <c r="E133">
        <f t="shared" si="36"/>
        <v>2</v>
      </c>
      <c r="F133">
        <v>120.16342229999999</v>
      </c>
      <c r="G133">
        <v>318.43306899999999</v>
      </c>
      <c r="H133">
        <f t="shared" si="45"/>
        <v>50.000000019030004</v>
      </c>
      <c r="I133">
        <f t="shared" si="46"/>
        <v>5.0000000019030003E-2</v>
      </c>
      <c r="J133">
        <f t="shared" si="46"/>
        <v>5.000000001903E-5</v>
      </c>
      <c r="K133">
        <f t="shared" si="47"/>
        <v>0.11023100004195391</v>
      </c>
      <c r="L133" s="3">
        <v>1.23E-2</v>
      </c>
      <c r="M133" s="3">
        <v>3.2</v>
      </c>
      <c r="N133">
        <f t="shared" si="48"/>
        <v>13.422480419127959</v>
      </c>
      <c r="O133">
        <f t="shared" si="40"/>
        <v>1.0380652970264856</v>
      </c>
      <c r="P133">
        <f t="shared" si="41"/>
        <v>10.649993717455057</v>
      </c>
      <c r="Q133" s="2">
        <f t="shared" si="37"/>
        <v>27.050984042335848</v>
      </c>
      <c r="R133" s="2">
        <f t="shared" si="42"/>
        <v>470.85905826241515</v>
      </c>
      <c r="S133" s="2">
        <f t="shared" si="43"/>
        <v>1131.6007168046506</v>
      </c>
      <c r="T133" s="2">
        <f t="shared" si="44"/>
        <v>2998.7418995323237</v>
      </c>
      <c r="U133" s="2">
        <f t="shared" si="49"/>
        <v>39.200000000000003</v>
      </c>
      <c r="V133" s="2">
        <f t="shared" si="50"/>
        <v>0.58571428571428563</v>
      </c>
      <c r="W133" s="2">
        <v>0</v>
      </c>
      <c r="X133" t="s">
        <v>422</v>
      </c>
      <c r="Y133">
        <v>33</v>
      </c>
      <c r="Z133">
        <v>40</v>
      </c>
      <c r="AA133">
        <v>40</v>
      </c>
      <c r="AB133">
        <v>76</v>
      </c>
      <c r="AC133">
        <v>57</v>
      </c>
      <c r="AD133">
        <v>60</v>
      </c>
      <c r="AE133">
        <v>70</v>
      </c>
      <c r="AF133">
        <v>35.6</v>
      </c>
      <c r="AH133">
        <f>AVERAGE(Y133:AF133)</f>
        <v>51.45</v>
      </c>
    </row>
    <row r="134" spans="1:97" x14ac:dyDescent="0.25">
      <c r="A134" s="2" t="s">
        <v>47</v>
      </c>
      <c r="B134" t="s">
        <v>48</v>
      </c>
      <c r="C134">
        <v>3</v>
      </c>
      <c r="D134">
        <v>1</v>
      </c>
      <c r="E134">
        <f t="shared" si="36"/>
        <v>3</v>
      </c>
      <c r="F134">
        <v>192.26147560000001</v>
      </c>
      <c r="G134">
        <v>509.49291040000003</v>
      </c>
      <c r="H134">
        <f t="shared" si="45"/>
        <v>79.999999997160003</v>
      </c>
      <c r="I134">
        <f t="shared" si="46"/>
        <v>7.999999999716001E-2</v>
      </c>
      <c r="J134">
        <f t="shared" si="46"/>
        <v>7.9999999997160007E-5</v>
      </c>
      <c r="K134">
        <f t="shared" si="47"/>
        <v>0.17636959999373888</v>
      </c>
      <c r="L134" s="3">
        <v>1.23E-2</v>
      </c>
      <c r="M134" s="3">
        <v>3.2</v>
      </c>
      <c r="N134">
        <f t="shared" si="48"/>
        <v>15.546057640091004</v>
      </c>
      <c r="O134">
        <f t="shared" si="40"/>
        <v>1.8558784479473054</v>
      </c>
      <c r="P134">
        <f t="shared" si="41"/>
        <v>12.770293212588555</v>
      </c>
      <c r="Q134" s="2">
        <f t="shared" si="37"/>
        <v>32.436544759974929</v>
      </c>
      <c r="R134" s="2">
        <f t="shared" si="42"/>
        <v>841.81330476331766</v>
      </c>
      <c r="S134" s="2">
        <f t="shared" si="43"/>
        <v>2023.1033519906698</v>
      </c>
      <c r="T134" s="2">
        <f t="shared" si="44"/>
        <v>5361.2238827752744</v>
      </c>
      <c r="U134" s="2">
        <f t="shared" si="49"/>
        <v>39.200000000000003</v>
      </c>
      <c r="V134" s="2">
        <f t="shared" si="50"/>
        <v>0.58571428571428563</v>
      </c>
      <c r="W134" s="2">
        <v>0</v>
      </c>
      <c r="X134" t="s">
        <v>18</v>
      </c>
      <c r="Y134">
        <v>25.4</v>
      </c>
      <c r="Z134">
        <v>19.899999999999999</v>
      </c>
      <c r="AB134">
        <v>48.8</v>
      </c>
      <c r="AC134">
        <v>43.7</v>
      </c>
      <c r="AD134">
        <v>61</v>
      </c>
      <c r="AE134">
        <v>43.8</v>
      </c>
      <c r="AF134">
        <v>31.8</v>
      </c>
      <c r="AH134">
        <f>AVERAGE(Y134:AF134)</f>
        <v>39.200000000000003</v>
      </c>
    </row>
    <row r="135" spans="1:97" x14ac:dyDescent="0.25">
      <c r="A135" s="2" t="s">
        <v>47</v>
      </c>
      <c r="B135" t="s">
        <v>48</v>
      </c>
      <c r="C135">
        <v>4</v>
      </c>
      <c r="D135">
        <v>1</v>
      </c>
      <c r="E135">
        <f t="shared" si="36"/>
        <v>4</v>
      </c>
      <c r="F135">
        <v>242.73011299999999</v>
      </c>
      <c r="G135">
        <v>643.23479940000004</v>
      </c>
      <c r="H135">
        <f t="shared" si="45"/>
        <v>101.00000001929999</v>
      </c>
      <c r="I135">
        <f t="shared" si="46"/>
        <v>0.10100000001929998</v>
      </c>
      <c r="J135">
        <f t="shared" si="46"/>
        <v>1.0100000001929998E-4</v>
      </c>
      <c r="K135">
        <f t="shared" si="47"/>
        <v>0.22266662004254911</v>
      </c>
      <c r="L135" s="3">
        <v>1.23E-2</v>
      </c>
      <c r="M135" s="3">
        <v>3.2</v>
      </c>
      <c r="N135">
        <f t="shared" si="48"/>
        <v>16.72072414391199</v>
      </c>
      <c r="O135">
        <f t="shared" si="40"/>
        <v>2.4627031113161757</v>
      </c>
      <c r="P135">
        <f t="shared" si="41"/>
        <v>13.950681054760786</v>
      </c>
      <c r="Q135" s="2">
        <f t="shared" si="37"/>
        <v>35.434729879092394</v>
      </c>
      <c r="R135" s="2">
        <f t="shared" si="42"/>
        <v>1117.0646693381061</v>
      </c>
      <c r="S135" s="2">
        <f t="shared" si="43"/>
        <v>2684.606270939933</v>
      </c>
      <c r="T135" s="2">
        <f t="shared" si="44"/>
        <v>7114.2066179908225</v>
      </c>
      <c r="U135" s="2">
        <f t="shared" si="49"/>
        <v>39.200000000000003</v>
      </c>
      <c r="V135" s="2">
        <f t="shared" si="50"/>
        <v>0.58571428571428563</v>
      </c>
      <c r="W135" s="2">
        <v>0</v>
      </c>
      <c r="X135" t="s">
        <v>19</v>
      </c>
      <c r="Y135">
        <v>1.9</v>
      </c>
      <c r="Z135">
        <v>0.5</v>
      </c>
      <c r="AB135">
        <v>0.5</v>
      </c>
      <c r="AC135">
        <v>0.5</v>
      </c>
      <c r="AD135">
        <v>0.3</v>
      </c>
      <c r="AE135">
        <v>0.1</v>
      </c>
      <c r="AF135">
        <v>0.3</v>
      </c>
      <c r="AH135">
        <f>AVERAGE(Y135:AF135)</f>
        <v>0.58571428571428563</v>
      </c>
    </row>
    <row r="136" spans="1:97" x14ac:dyDescent="0.25">
      <c r="A136" s="2" t="s">
        <v>47</v>
      </c>
      <c r="B136" t="s">
        <v>48</v>
      </c>
      <c r="C136">
        <v>5</v>
      </c>
      <c r="D136">
        <v>1</v>
      </c>
      <c r="E136">
        <f t="shared" si="36"/>
        <v>5</v>
      </c>
      <c r="F136">
        <v>254.74645520000001</v>
      </c>
      <c r="G136">
        <v>675.07810619999998</v>
      </c>
      <c r="H136">
        <f t="shared" si="45"/>
        <v>106.00000000872002</v>
      </c>
      <c r="I136">
        <f t="shared" si="46"/>
        <v>0.10600000000872002</v>
      </c>
      <c r="J136">
        <f t="shared" si="46"/>
        <v>1.0600000000872002E-4</v>
      </c>
      <c r="K136">
        <f t="shared" si="47"/>
        <v>0.23368972001922431</v>
      </c>
      <c r="L136" s="3">
        <v>1.23E-2</v>
      </c>
      <c r="M136" s="3">
        <v>3.2</v>
      </c>
      <c r="N136">
        <f t="shared" si="48"/>
        <v>16.975115407979288</v>
      </c>
      <c r="O136">
        <f t="shared" si="40"/>
        <v>2.8535096232610093</v>
      </c>
      <c r="P136">
        <f t="shared" si="41"/>
        <v>14.607812493572116</v>
      </c>
      <c r="Q136" s="2">
        <f t="shared" si="37"/>
        <v>37.103843733673173</v>
      </c>
      <c r="R136" s="2">
        <f t="shared" si="42"/>
        <v>1294.3317321175573</v>
      </c>
      <c r="S136" s="2">
        <f t="shared" si="43"/>
        <v>3110.6266092707456</v>
      </c>
      <c r="T136" s="2">
        <f t="shared" si="44"/>
        <v>8243.1605145674748</v>
      </c>
      <c r="U136" s="2">
        <f t="shared" si="49"/>
        <v>39.200000000000003</v>
      </c>
      <c r="V136" s="2">
        <f t="shared" si="50"/>
        <v>0.58571428571428563</v>
      </c>
      <c r="W136" s="2">
        <v>0</v>
      </c>
      <c r="X136" t="s">
        <v>477</v>
      </c>
    </row>
    <row r="137" spans="1:97" x14ac:dyDescent="0.25">
      <c r="A137" s="2" t="s">
        <v>47</v>
      </c>
      <c r="B137" t="s">
        <v>48</v>
      </c>
      <c r="C137">
        <v>6</v>
      </c>
      <c r="D137">
        <v>1</v>
      </c>
      <c r="E137">
        <f t="shared" si="36"/>
        <v>6</v>
      </c>
      <c r="F137">
        <v>283.32131700000002</v>
      </c>
      <c r="G137">
        <v>750.80149010000002</v>
      </c>
      <c r="H137">
        <f t="shared" si="45"/>
        <v>117.89000000370002</v>
      </c>
      <c r="I137">
        <f t="shared" si="46"/>
        <v>0.11789000000370002</v>
      </c>
      <c r="J137">
        <f t="shared" si="46"/>
        <v>1.1789000000370003E-4</v>
      </c>
      <c r="K137">
        <f t="shared" si="47"/>
        <v>0.25990265180815714</v>
      </c>
      <c r="L137" s="3">
        <v>1.23E-2</v>
      </c>
      <c r="M137" s="3">
        <v>3.2</v>
      </c>
      <c r="N137">
        <f t="shared" si="48"/>
        <v>17.548548692677855</v>
      </c>
      <c r="O137">
        <f t="shared" si="40"/>
        <v>3.0885501240514888</v>
      </c>
      <c r="P137">
        <f t="shared" si="41"/>
        <v>14.9736428693574</v>
      </c>
      <c r="Q137" s="2">
        <f t="shared" si="37"/>
        <v>38.033052888167795</v>
      </c>
      <c r="R137" s="2">
        <f t="shared" si="42"/>
        <v>1400.9444367063206</v>
      </c>
      <c r="S137" s="2">
        <f t="shared" si="43"/>
        <v>3366.8455580541236</v>
      </c>
      <c r="T137" s="2">
        <f t="shared" si="44"/>
        <v>8922.1407288434275</v>
      </c>
      <c r="U137" s="2">
        <f t="shared" si="49"/>
        <v>39.200000000000003</v>
      </c>
      <c r="V137" s="2">
        <f t="shared" si="50"/>
        <v>0.58571428571428563</v>
      </c>
      <c r="W137" s="2">
        <v>0</v>
      </c>
      <c r="X137" t="s">
        <v>423</v>
      </c>
      <c r="Y137" t="s">
        <v>428</v>
      </c>
      <c r="Z137" t="s">
        <v>428</v>
      </c>
      <c r="AA137" t="s">
        <v>429</v>
      </c>
      <c r="AB137" t="s">
        <v>428</v>
      </c>
      <c r="AC137" t="s">
        <v>428</v>
      </c>
      <c r="AD137" t="s">
        <v>517</v>
      </c>
      <c r="AE137" t="s">
        <v>428</v>
      </c>
      <c r="AF137" t="s">
        <v>428</v>
      </c>
    </row>
    <row r="138" spans="1:97" x14ac:dyDescent="0.25">
      <c r="A138" s="2" t="s">
        <v>47</v>
      </c>
      <c r="B138" t="s">
        <v>48</v>
      </c>
      <c r="C138">
        <v>7</v>
      </c>
      <c r="D138">
        <v>1</v>
      </c>
      <c r="E138">
        <f t="shared" si="36"/>
        <v>7</v>
      </c>
      <c r="F138">
        <v>314.44364339999998</v>
      </c>
      <c r="G138">
        <v>833.27565500000003</v>
      </c>
      <c r="H138">
        <f t="shared" si="45"/>
        <v>130.84000001874</v>
      </c>
      <c r="I138">
        <f t="shared" si="46"/>
        <v>0.13084000001873999</v>
      </c>
      <c r="J138">
        <f t="shared" si="46"/>
        <v>1.3084000001873999E-4</v>
      </c>
      <c r="K138">
        <f t="shared" si="47"/>
        <v>0.28845248084131453</v>
      </c>
      <c r="L138" s="3">
        <v>1.23E-2</v>
      </c>
      <c r="M138" s="3">
        <v>3.2</v>
      </c>
      <c r="N138">
        <f t="shared" si="48"/>
        <v>18.129510157606568</v>
      </c>
      <c r="O138">
        <f t="shared" si="40"/>
        <v>3.2249986423096479</v>
      </c>
      <c r="P138">
        <f t="shared" si="41"/>
        <v>15.17730359222479</v>
      </c>
      <c r="Q138" s="2">
        <f t="shared" si="37"/>
        <v>38.550351124250966</v>
      </c>
      <c r="R138" s="2">
        <f t="shared" si="42"/>
        <v>1462.8365170912211</v>
      </c>
      <c r="S138" s="2">
        <f t="shared" si="43"/>
        <v>3515.588841843839</v>
      </c>
      <c r="T138" s="2">
        <f t="shared" si="44"/>
        <v>9316.310430886173</v>
      </c>
      <c r="U138" s="2">
        <f t="shared" si="49"/>
        <v>39.200000000000003</v>
      </c>
      <c r="V138" s="2">
        <f t="shared" si="50"/>
        <v>0.58571428571428563</v>
      </c>
      <c r="W138" s="2">
        <v>0</v>
      </c>
      <c r="X138" t="s">
        <v>434</v>
      </c>
      <c r="Y138" s="7" t="s">
        <v>518</v>
      </c>
      <c r="Z138" s="7" t="s">
        <v>519</v>
      </c>
      <c r="AA138" s="7" t="s">
        <v>520</v>
      </c>
      <c r="AB138" s="7" t="s">
        <v>521</v>
      </c>
      <c r="AC138" s="7" t="s">
        <v>522</v>
      </c>
      <c r="AD138" s="7" t="s">
        <v>523</v>
      </c>
      <c r="AE138" s="7" t="s">
        <v>524</v>
      </c>
      <c r="AF138" s="7" t="s">
        <v>525</v>
      </c>
    </row>
    <row r="139" spans="1:97" x14ac:dyDescent="0.25">
      <c r="A139" s="2" t="s">
        <v>47</v>
      </c>
      <c r="B139" t="s">
        <v>48</v>
      </c>
      <c r="C139">
        <v>8</v>
      </c>
      <c r="D139">
        <v>1</v>
      </c>
      <c r="E139">
        <f t="shared" si="36"/>
        <v>8</v>
      </c>
      <c r="F139">
        <v>345.5659698</v>
      </c>
      <c r="G139">
        <v>915.74981979999995</v>
      </c>
      <c r="H139">
        <f t="shared" si="45"/>
        <v>143.79000003377999</v>
      </c>
      <c r="I139">
        <f t="shared" si="46"/>
        <v>0.14379000003377998</v>
      </c>
      <c r="J139">
        <f t="shared" si="46"/>
        <v>1.4379000003377998E-4</v>
      </c>
      <c r="K139">
        <f t="shared" si="47"/>
        <v>0.31700230987447198</v>
      </c>
      <c r="L139" s="3">
        <v>1.23E-2</v>
      </c>
      <c r="M139" s="3">
        <v>3.2</v>
      </c>
      <c r="N139">
        <f t="shared" si="48"/>
        <v>18.672173165729784</v>
      </c>
      <c r="O139">
        <f t="shared" si="40"/>
        <v>3.3027278870807972</v>
      </c>
      <c r="P139">
        <f t="shared" si="41"/>
        <v>15.290683160419015</v>
      </c>
      <c r="Q139" s="2">
        <f t="shared" si="37"/>
        <v>38.838335227464299</v>
      </c>
      <c r="R139" s="2">
        <f t="shared" si="42"/>
        <v>1498.0939513752016</v>
      </c>
      <c r="S139" s="2">
        <f t="shared" si="43"/>
        <v>3600.3219211131977</v>
      </c>
      <c r="T139" s="2">
        <f t="shared" si="44"/>
        <v>9540.8530909499732</v>
      </c>
      <c r="U139" s="2">
        <f t="shared" si="49"/>
        <v>39.200000000000003</v>
      </c>
      <c r="V139" s="2">
        <f t="shared" si="50"/>
        <v>0.58571428571428563</v>
      </c>
      <c r="W139" s="2">
        <v>0</v>
      </c>
    </row>
    <row r="140" spans="1:97" x14ac:dyDescent="0.25">
      <c r="A140" s="2" t="s">
        <v>47</v>
      </c>
      <c r="B140" t="s">
        <v>48</v>
      </c>
      <c r="C140">
        <v>9</v>
      </c>
      <c r="D140">
        <v>1</v>
      </c>
      <c r="E140">
        <f t="shared" si="36"/>
        <v>9</v>
      </c>
      <c r="F140">
        <v>372.74693589999998</v>
      </c>
      <c r="G140">
        <v>987.77937999999995</v>
      </c>
      <c r="H140">
        <f t="shared" si="45"/>
        <v>155.10000002799001</v>
      </c>
      <c r="I140">
        <f t="shared" si="46"/>
        <v>0.15510000002799001</v>
      </c>
      <c r="J140">
        <f t="shared" si="46"/>
        <v>1.5510000002799001E-4</v>
      </c>
      <c r="K140">
        <f t="shared" si="47"/>
        <v>0.34193656206170731</v>
      </c>
      <c r="L140" s="3">
        <v>1.23E-2</v>
      </c>
      <c r="M140" s="3">
        <v>3.2</v>
      </c>
      <c r="N140">
        <f t="shared" si="48"/>
        <v>19.11924945060121</v>
      </c>
      <c r="O140">
        <f t="shared" si="40"/>
        <v>3.3465536012826043</v>
      </c>
      <c r="P140">
        <f t="shared" si="41"/>
        <v>15.353802481134966</v>
      </c>
      <c r="Q140" s="2">
        <f t="shared" si="37"/>
        <v>38.998658302082816</v>
      </c>
      <c r="R140" s="2">
        <f t="shared" si="42"/>
        <v>1517.9729845880943</v>
      </c>
      <c r="S140" s="2">
        <f t="shared" si="43"/>
        <v>3648.0965743525458</v>
      </c>
      <c r="T140" s="2">
        <f t="shared" si="44"/>
        <v>9667.4559220342453</v>
      </c>
      <c r="U140" s="2">
        <f t="shared" si="49"/>
        <v>39.200000000000003</v>
      </c>
      <c r="V140" s="2">
        <f t="shared" si="50"/>
        <v>0.58571428571428563</v>
      </c>
      <c r="W140" s="2">
        <v>0</v>
      </c>
    </row>
    <row r="141" spans="1:97" x14ac:dyDescent="0.25">
      <c r="A141" s="2" t="s">
        <v>47</v>
      </c>
      <c r="B141" t="s">
        <v>48</v>
      </c>
      <c r="C141">
        <v>10</v>
      </c>
      <c r="D141">
        <v>1</v>
      </c>
      <c r="E141">
        <f t="shared" si="36"/>
        <v>10</v>
      </c>
      <c r="F141">
        <v>408.79596249999997</v>
      </c>
      <c r="G141">
        <v>1083.309301</v>
      </c>
      <c r="H141">
        <f t="shared" si="45"/>
        <v>170.09999999625001</v>
      </c>
      <c r="I141">
        <f t="shared" si="46"/>
        <v>0.17009999999625</v>
      </c>
      <c r="J141">
        <f t="shared" si="46"/>
        <v>1.7009999999625E-4</v>
      </c>
      <c r="K141">
        <f t="shared" si="47"/>
        <v>0.37500586199173264</v>
      </c>
      <c r="L141" s="3">
        <v>1.23E-2</v>
      </c>
      <c r="M141" s="3">
        <v>3.2</v>
      </c>
      <c r="N141">
        <f t="shared" si="48"/>
        <v>19.678851599644297</v>
      </c>
      <c r="O141">
        <f t="shared" si="40"/>
        <v>3.3711241356732273</v>
      </c>
      <c r="P141">
        <f t="shared" si="41"/>
        <v>15.388941516422333</v>
      </c>
      <c r="Q141" s="2">
        <f t="shared" si="37"/>
        <v>39.087911451712728</v>
      </c>
      <c r="R141" s="2">
        <f t="shared" si="42"/>
        <v>1529.1180047687253</v>
      </c>
      <c r="S141" s="2">
        <f t="shared" si="43"/>
        <v>3674.8810496724955</v>
      </c>
      <c r="T141" s="2">
        <f t="shared" si="44"/>
        <v>9738.4347816321133</v>
      </c>
      <c r="U141" s="2">
        <f t="shared" si="49"/>
        <v>39.200000000000003</v>
      </c>
      <c r="V141" s="2">
        <f t="shared" si="50"/>
        <v>0.58571428571428563</v>
      </c>
      <c r="W141" s="2">
        <v>0</v>
      </c>
    </row>
    <row r="142" spans="1:97" x14ac:dyDescent="0.25">
      <c r="A142" s="2" t="s">
        <v>49</v>
      </c>
      <c r="B142" t="s">
        <v>50</v>
      </c>
      <c r="C142">
        <v>1</v>
      </c>
      <c r="D142">
        <v>1</v>
      </c>
      <c r="E142">
        <f t="shared" si="36"/>
        <v>1</v>
      </c>
      <c r="F142">
        <v>127.5414564</v>
      </c>
      <c r="G142">
        <v>337.98485950000003</v>
      </c>
      <c r="H142">
        <f t="shared" si="45"/>
        <v>53.070000008040005</v>
      </c>
      <c r="I142">
        <f t="shared" si="46"/>
        <v>5.3070000008040005E-2</v>
      </c>
      <c r="J142">
        <f t="shared" si="46"/>
        <v>5.3070000008040008E-5</v>
      </c>
      <c r="K142">
        <f t="shared" si="47"/>
        <v>0.11699918341772515</v>
      </c>
      <c r="L142" s="3">
        <v>1.2E-2</v>
      </c>
      <c r="M142" s="3">
        <v>3.1</v>
      </c>
      <c r="N142">
        <f t="shared" si="48"/>
        <v>14.997604075732943</v>
      </c>
      <c r="O142">
        <f t="shared" si="40"/>
        <v>4.4008721087089593E-2</v>
      </c>
      <c r="P142">
        <f t="shared" si="41"/>
        <v>4.307310756443238</v>
      </c>
      <c r="Q142" s="2">
        <f t="shared" si="37"/>
        <v>10.940569321365825</v>
      </c>
      <c r="R142" s="2">
        <f t="shared" si="42"/>
        <v>19.962043838434557</v>
      </c>
      <c r="S142" s="2">
        <f t="shared" si="43"/>
        <v>47.974150056319537</v>
      </c>
      <c r="T142" s="2">
        <f t="shared" si="44"/>
        <v>127.13149764924677</v>
      </c>
      <c r="U142" s="2">
        <f t="shared" ref="U142:U151" si="51">AVERAGE($Z$144:$AA$144)</f>
        <v>54.3</v>
      </c>
      <c r="V142" s="2">
        <f t="shared" ref="V142:V151" si="52">AVERAGE($Z$145:$AA$145)</f>
        <v>0.22500000000000001</v>
      </c>
      <c r="W142" s="2">
        <v>0</v>
      </c>
      <c r="Y142" t="s">
        <v>526</v>
      </c>
      <c r="Z142" t="s">
        <v>527</v>
      </c>
      <c r="AA142" t="s">
        <v>528</v>
      </c>
      <c r="AB142" t="s">
        <v>529</v>
      </c>
      <c r="AC142" t="s">
        <v>530</v>
      </c>
      <c r="AD142" t="s">
        <v>531</v>
      </c>
      <c r="AE142" t="s">
        <v>532</v>
      </c>
      <c r="AF142" t="s">
        <v>533</v>
      </c>
      <c r="AG142" t="s">
        <v>534</v>
      </c>
      <c r="AH142" t="s">
        <v>535</v>
      </c>
      <c r="AI142" t="s">
        <v>536</v>
      </c>
      <c r="AJ142" t="s">
        <v>537</v>
      </c>
      <c r="AK142" t="s">
        <v>538</v>
      </c>
      <c r="AL142" t="s">
        <v>539</v>
      </c>
      <c r="AM142" t="s">
        <v>540</v>
      </c>
      <c r="AN142" t="s">
        <v>541</v>
      </c>
      <c r="AO142" t="s">
        <v>542</v>
      </c>
      <c r="AP142" t="s">
        <v>543</v>
      </c>
      <c r="AQ142" t="s">
        <v>544</v>
      </c>
      <c r="AR142" t="s">
        <v>544</v>
      </c>
      <c r="AS142" t="s">
        <v>545</v>
      </c>
      <c r="AT142" t="s">
        <v>546</v>
      </c>
      <c r="AU142" t="s">
        <v>547</v>
      </c>
      <c r="AV142" t="s">
        <v>548</v>
      </c>
      <c r="AW142" t="s">
        <v>549</v>
      </c>
      <c r="AX142" t="s">
        <v>429</v>
      </c>
      <c r="AY142" t="s">
        <v>550</v>
      </c>
      <c r="AZ142" t="s">
        <v>551</v>
      </c>
      <c r="BA142" t="s">
        <v>552</v>
      </c>
      <c r="BB142" t="s">
        <v>553</v>
      </c>
      <c r="BC142" t="s">
        <v>554</v>
      </c>
      <c r="BD142" t="s">
        <v>555</v>
      </c>
      <c r="BE142" t="s">
        <v>556</v>
      </c>
      <c r="BF142" t="s">
        <v>557</v>
      </c>
      <c r="BG142" t="s">
        <v>558</v>
      </c>
      <c r="BH142" t="s">
        <v>559</v>
      </c>
      <c r="BI142" t="s">
        <v>560</v>
      </c>
      <c r="BJ142" t="s">
        <v>561</v>
      </c>
      <c r="BK142" t="s">
        <v>562</v>
      </c>
      <c r="BL142" t="s">
        <v>563</v>
      </c>
      <c r="BM142" t="s">
        <v>564</v>
      </c>
      <c r="BN142" t="s">
        <v>565</v>
      </c>
      <c r="BO142" t="s">
        <v>566</v>
      </c>
      <c r="BP142" t="s">
        <v>567</v>
      </c>
      <c r="BQ142" t="s">
        <v>568</v>
      </c>
      <c r="BR142" t="s">
        <v>569</v>
      </c>
      <c r="BS142" t="s">
        <v>429</v>
      </c>
      <c r="BT142" t="s">
        <v>570</v>
      </c>
      <c r="BU142" t="s">
        <v>571</v>
      </c>
      <c r="BV142" t="s">
        <v>572</v>
      </c>
      <c r="BW142" t="s">
        <v>573</v>
      </c>
      <c r="BX142" t="s">
        <v>574</v>
      </c>
      <c r="BY142" t="s">
        <v>575</v>
      </c>
      <c r="BZ142" t="s">
        <v>576</v>
      </c>
      <c r="CA142" t="s">
        <v>577</v>
      </c>
      <c r="CB142" t="s">
        <v>578</v>
      </c>
      <c r="CC142" t="s">
        <v>579</v>
      </c>
      <c r="CD142" t="s">
        <v>580</v>
      </c>
      <c r="CE142" t="s">
        <v>581</v>
      </c>
      <c r="CF142" t="s">
        <v>582</v>
      </c>
      <c r="CG142" t="s">
        <v>583</v>
      </c>
      <c r="CH142" t="s">
        <v>584</v>
      </c>
      <c r="CI142" t="s">
        <v>585</v>
      </c>
      <c r="CJ142" t="s">
        <v>586</v>
      </c>
      <c r="CK142" t="s">
        <v>587</v>
      </c>
      <c r="CL142" t="s">
        <v>588</v>
      </c>
      <c r="CM142" t="s">
        <v>589</v>
      </c>
      <c r="CN142" t="s">
        <v>590</v>
      </c>
      <c r="CO142" t="s">
        <v>591</v>
      </c>
      <c r="CP142" t="s">
        <v>592</v>
      </c>
      <c r="CQ142" t="s">
        <v>593</v>
      </c>
      <c r="CR142" t="s">
        <v>594</v>
      </c>
      <c r="CS142" t="s">
        <v>595</v>
      </c>
    </row>
    <row r="143" spans="1:97" x14ac:dyDescent="0.25">
      <c r="A143" s="2" t="s">
        <v>49</v>
      </c>
      <c r="B143" t="s">
        <v>50</v>
      </c>
      <c r="C143">
        <v>2</v>
      </c>
      <c r="D143">
        <v>1</v>
      </c>
      <c r="E143">
        <f t="shared" si="36"/>
        <v>2</v>
      </c>
      <c r="F143">
        <v>347.4885845</v>
      </c>
      <c r="G143">
        <v>920.84474890000001</v>
      </c>
      <c r="H143">
        <f t="shared" si="45"/>
        <v>144.59000001044998</v>
      </c>
      <c r="I143">
        <f t="shared" si="46"/>
        <v>0.14459000001044997</v>
      </c>
      <c r="J143">
        <f t="shared" si="46"/>
        <v>1.4459000001044997E-4</v>
      </c>
      <c r="K143">
        <f t="shared" si="47"/>
        <v>0.31876600582303821</v>
      </c>
      <c r="L143" s="3">
        <v>1.2E-2</v>
      </c>
      <c r="M143" s="3">
        <v>3.1</v>
      </c>
      <c r="N143">
        <f t="shared" si="48"/>
        <v>20.722289929778977</v>
      </c>
      <c r="O143">
        <f t="shared" si="40"/>
        <v>0.27150214154147551</v>
      </c>
      <c r="P143">
        <f t="shared" si="41"/>
        <v>7.7467682546998846</v>
      </c>
      <c r="Q143" s="2">
        <f t="shared" si="37"/>
        <v>19.676791366937707</v>
      </c>
      <c r="R143" s="2">
        <f t="shared" si="42"/>
        <v>123.15144629980473</v>
      </c>
      <c r="S143" s="2">
        <f t="shared" si="43"/>
        <v>295.96598485893952</v>
      </c>
      <c r="T143" s="2">
        <f t="shared" si="44"/>
        <v>784.30985987618965</v>
      </c>
      <c r="U143" s="2">
        <f t="shared" si="51"/>
        <v>54.3</v>
      </c>
      <c r="V143" s="2">
        <f t="shared" si="52"/>
        <v>0.22500000000000001</v>
      </c>
      <c r="W143" s="2">
        <v>0</v>
      </c>
      <c r="X143" t="s">
        <v>422</v>
      </c>
      <c r="Y143">
        <v>41</v>
      </c>
      <c r="Z143">
        <v>41</v>
      </c>
      <c r="AA143">
        <v>120</v>
      </c>
      <c r="AB143">
        <v>40</v>
      </c>
    </row>
    <row r="144" spans="1:97" x14ac:dyDescent="0.25">
      <c r="A144" s="2" t="s">
        <v>49</v>
      </c>
      <c r="B144" t="s">
        <v>50</v>
      </c>
      <c r="C144">
        <v>3</v>
      </c>
      <c r="D144">
        <v>1</v>
      </c>
      <c r="E144">
        <f t="shared" si="36"/>
        <v>3</v>
      </c>
      <c r="F144">
        <v>732.42009129999997</v>
      </c>
      <c r="G144">
        <v>1940.9132420000001</v>
      </c>
      <c r="H144">
        <f t="shared" si="45"/>
        <v>304.75999998992995</v>
      </c>
      <c r="I144">
        <f t="shared" si="46"/>
        <v>0.30475999998992997</v>
      </c>
      <c r="J144">
        <f t="shared" si="46"/>
        <v>3.0475999998992999E-4</v>
      </c>
      <c r="K144">
        <f t="shared" si="47"/>
        <v>0.6718799911777994</v>
      </c>
      <c r="L144" s="3">
        <v>1.2E-2</v>
      </c>
      <c r="M144" s="3">
        <v>3.1</v>
      </c>
      <c r="N144">
        <f t="shared" si="48"/>
        <v>26.356984171020404</v>
      </c>
      <c r="O144">
        <f t="shared" si="40"/>
        <v>0.69553360117709406</v>
      </c>
      <c r="P144">
        <f t="shared" si="41"/>
        <v>10.49323085079137</v>
      </c>
      <c r="Q144" s="2">
        <f t="shared" si="37"/>
        <v>26.652806361010079</v>
      </c>
      <c r="R144" s="2">
        <f t="shared" si="42"/>
        <v>315.48910976816597</v>
      </c>
      <c r="S144" s="2">
        <f t="shared" si="43"/>
        <v>758.20502227389079</v>
      </c>
      <c r="T144" s="2">
        <f t="shared" si="44"/>
        <v>2009.2433090258105</v>
      </c>
      <c r="U144" s="2">
        <f t="shared" si="51"/>
        <v>54.3</v>
      </c>
      <c r="V144" s="2">
        <f t="shared" si="52"/>
        <v>0.22500000000000001</v>
      </c>
      <c r="W144" s="2">
        <v>0</v>
      </c>
      <c r="X144" t="s">
        <v>18</v>
      </c>
      <c r="Z144">
        <v>31</v>
      </c>
      <c r="AA144">
        <v>77.599999999999994</v>
      </c>
    </row>
    <row r="145" spans="1:28" x14ac:dyDescent="0.25">
      <c r="A145" s="2" t="s">
        <v>49</v>
      </c>
      <c r="B145" t="s">
        <v>50</v>
      </c>
      <c r="C145">
        <v>4</v>
      </c>
      <c r="D145">
        <v>1</v>
      </c>
      <c r="E145">
        <f t="shared" si="36"/>
        <v>4</v>
      </c>
      <c r="F145">
        <v>1115.2006730000001</v>
      </c>
      <c r="G145">
        <v>2955.281782</v>
      </c>
      <c r="H145">
        <f t="shared" si="45"/>
        <v>464.03500003530002</v>
      </c>
      <c r="I145">
        <f t="shared" si="46"/>
        <v>0.46403500003530002</v>
      </c>
      <c r="J145">
        <f t="shared" si="46"/>
        <v>4.6403500003530001E-4</v>
      </c>
      <c r="K145">
        <f t="shared" si="47"/>
        <v>1.023020841777823</v>
      </c>
      <c r="L145" s="3">
        <v>1.2E-2</v>
      </c>
      <c r="M145" s="3">
        <v>3.1</v>
      </c>
      <c r="N145">
        <f t="shared" si="48"/>
        <v>30.185377428941027</v>
      </c>
      <c r="O145">
        <f t="shared" si="40"/>
        <v>1.2526815339585728</v>
      </c>
      <c r="P145">
        <f t="shared" si="41"/>
        <v>12.686325777986404</v>
      </c>
      <c r="Q145" s="2">
        <f t="shared" si="37"/>
        <v>32.223267476085468</v>
      </c>
      <c r="R145" s="2">
        <f t="shared" si="42"/>
        <v>568.20746158456916</v>
      </c>
      <c r="S145" s="2">
        <f t="shared" si="43"/>
        <v>1365.5550626882218</v>
      </c>
      <c r="T145" s="2">
        <f t="shared" si="44"/>
        <v>3618.7209161237879</v>
      </c>
      <c r="U145" s="2">
        <f t="shared" si="51"/>
        <v>54.3</v>
      </c>
      <c r="V145" s="2">
        <f t="shared" si="52"/>
        <v>0.22500000000000001</v>
      </c>
      <c r="W145" s="2">
        <v>0</v>
      </c>
      <c r="X145" t="s">
        <v>19</v>
      </c>
      <c r="Z145">
        <v>0.25</v>
      </c>
      <c r="AA145">
        <v>0.2</v>
      </c>
    </row>
    <row r="146" spans="1:28" x14ac:dyDescent="0.25">
      <c r="A146" s="2" t="s">
        <v>49</v>
      </c>
      <c r="B146" t="s">
        <v>50</v>
      </c>
      <c r="C146">
        <v>5</v>
      </c>
      <c r="D146">
        <v>1</v>
      </c>
      <c r="E146">
        <f t="shared" si="36"/>
        <v>5</v>
      </c>
      <c r="F146">
        <v>1550.4325879999999</v>
      </c>
      <c r="G146">
        <v>4108.6463590000003</v>
      </c>
      <c r="H146">
        <f t="shared" si="45"/>
        <v>645.13499986679994</v>
      </c>
      <c r="I146">
        <f t="shared" si="46"/>
        <v>0.6451349998667999</v>
      </c>
      <c r="J146">
        <f t="shared" si="46"/>
        <v>6.4513499986679993E-4</v>
      </c>
      <c r="K146">
        <f t="shared" si="47"/>
        <v>1.4222775234063443</v>
      </c>
      <c r="L146" s="3">
        <v>1.2E-2</v>
      </c>
      <c r="M146" s="3">
        <v>3.1</v>
      </c>
      <c r="N146">
        <f t="shared" si="48"/>
        <v>33.570503685170742</v>
      </c>
      <c r="O146">
        <f t="shared" si="40"/>
        <v>1.8703769643042842</v>
      </c>
      <c r="P146">
        <f t="shared" si="41"/>
        <v>14.437547646630552</v>
      </c>
      <c r="Q146" s="2">
        <f t="shared" si="37"/>
        <v>36.671371022441605</v>
      </c>
      <c r="R146" s="2">
        <f t="shared" si="42"/>
        <v>848.38972898017994</v>
      </c>
      <c r="S146" s="2">
        <f t="shared" si="43"/>
        <v>2038.9082647925497</v>
      </c>
      <c r="T146" s="2">
        <f t="shared" si="44"/>
        <v>5403.1069017002565</v>
      </c>
      <c r="U146" s="2">
        <f t="shared" si="51"/>
        <v>54.3</v>
      </c>
      <c r="V146" s="2">
        <f t="shared" si="52"/>
        <v>0.22500000000000001</v>
      </c>
      <c r="W146" s="2">
        <v>0</v>
      </c>
      <c r="X146" t="s">
        <v>477</v>
      </c>
    </row>
    <row r="147" spans="1:28" x14ac:dyDescent="0.25">
      <c r="A147" s="2" t="s">
        <v>49</v>
      </c>
      <c r="B147" t="s">
        <v>50</v>
      </c>
      <c r="C147">
        <v>6</v>
      </c>
      <c r="D147">
        <v>1</v>
      </c>
      <c r="E147">
        <f t="shared" si="36"/>
        <v>6</v>
      </c>
      <c r="F147">
        <v>1976.4359529999999</v>
      </c>
      <c r="G147">
        <v>5237.5552749999997</v>
      </c>
      <c r="H147">
        <f t="shared" si="45"/>
        <v>822.3950000433</v>
      </c>
      <c r="I147">
        <f t="shared" si="46"/>
        <v>0.82239500004330002</v>
      </c>
      <c r="J147">
        <f t="shared" si="46"/>
        <v>8.2239500004330007E-4</v>
      </c>
      <c r="K147">
        <f t="shared" si="47"/>
        <v>1.8130684649954598</v>
      </c>
      <c r="L147" s="3">
        <v>1.2E-2</v>
      </c>
      <c r="M147" s="3">
        <v>3.1</v>
      </c>
      <c r="N147">
        <f t="shared" si="48"/>
        <v>36.305087581617954</v>
      </c>
      <c r="O147">
        <f t="shared" si="40"/>
        <v>2.4911180490079294</v>
      </c>
      <c r="P147">
        <f t="shared" si="41"/>
        <v>15.835926711389014</v>
      </c>
      <c r="Q147" s="2">
        <f t="shared" si="37"/>
        <v>40.223253846928095</v>
      </c>
      <c r="R147" s="2">
        <f t="shared" si="42"/>
        <v>1129.9534835971413</v>
      </c>
      <c r="S147" s="2">
        <f t="shared" si="43"/>
        <v>2715.5815515432378</v>
      </c>
      <c r="T147" s="2">
        <f t="shared" si="44"/>
        <v>7196.2911115895795</v>
      </c>
      <c r="U147" s="2">
        <f t="shared" si="51"/>
        <v>54.3</v>
      </c>
      <c r="V147" s="2">
        <f t="shared" si="52"/>
        <v>0.22500000000000001</v>
      </c>
      <c r="W147" s="2">
        <v>0</v>
      </c>
      <c r="X147" t="s">
        <v>423</v>
      </c>
      <c r="Y147" t="s">
        <v>429</v>
      </c>
      <c r="Z147" t="s">
        <v>517</v>
      </c>
      <c r="AA147" t="s">
        <v>428</v>
      </c>
      <c r="AB147" t="s">
        <v>429</v>
      </c>
    </row>
    <row r="148" spans="1:28" x14ac:dyDescent="0.25">
      <c r="A148" s="2" t="s">
        <v>49</v>
      </c>
      <c r="B148" t="s">
        <v>50</v>
      </c>
      <c r="C148">
        <v>7</v>
      </c>
      <c r="D148">
        <v>1</v>
      </c>
      <c r="E148">
        <f t="shared" si="36"/>
        <v>7</v>
      </c>
      <c r="F148">
        <v>2275.6669069999998</v>
      </c>
      <c r="G148">
        <v>6030.517304</v>
      </c>
      <c r="H148">
        <f t="shared" si="45"/>
        <v>946.90500000269992</v>
      </c>
      <c r="I148">
        <f t="shared" si="46"/>
        <v>0.94690500000269995</v>
      </c>
      <c r="J148">
        <f t="shared" si="46"/>
        <v>9.4690500000269994E-4</v>
      </c>
      <c r="K148">
        <f t="shared" si="47"/>
        <v>2.0875657011059521</v>
      </c>
      <c r="L148" s="3">
        <v>1.2E-2</v>
      </c>
      <c r="M148" s="3">
        <v>3.1</v>
      </c>
      <c r="N148">
        <f t="shared" si="48"/>
        <v>37.994242889558372</v>
      </c>
      <c r="O148">
        <f t="shared" si="40"/>
        <v>3.0770072449392756</v>
      </c>
      <c r="P148">
        <f t="shared" si="41"/>
        <v>16.952555074572206</v>
      </c>
      <c r="Q148" s="2">
        <f t="shared" si="37"/>
        <v>43.059489889413406</v>
      </c>
      <c r="R148" s="2">
        <f t="shared" si="42"/>
        <v>1395.7086685865481</v>
      </c>
      <c r="S148" s="2">
        <f t="shared" si="43"/>
        <v>3354.2626017460907</v>
      </c>
      <c r="T148" s="2">
        <f t="shared" si="44"/>
        <v>8888.7958946271392</v>
      </c>
      <c r="U148" s="2">
        <f t="shared" si="51"/>
        <v>54.3</v>
      </c>
      <c r="V148" s="2">
        <f t="shared" si="52"/>
        <v>0.22500000000000001</v>
      </c>
      <c r="W148" s="2">
        <v>0</v>
      </c>
      <c r="X148" t="s">
        <v>434</v>
      </c>
      <c r="Y148" s="7" t="s">
        <v>596</v>
      </c>
      <c r="Z148" s="7" t="s">
        <v>597</v>
      </c>
      <c r="AA148" s="7" t="s">
        <v>598</v>
      </c>
      <c r="AB148" s="7" t="s">
        <v>599</v>
      </c>
    </row>
    <row r="149" spans="1:28" x14ac:dyDescent="0.25">
      <c r="A149" s="2" t="s">
        <v>49</v>
      </c>
      <c r="B149" t="s">
        <v>50</v>
      </c>
      <c r="C149">
        <v>8</v>
      </c>
      <c r="D149">
        <v>1</v>
      </c>
      <c r="E149">
        <f t="shared" si="36"/>
        <v>8</v>
      </c>
      <c r="F149">
        <v>2451.3338140000001</v>
      </c>
      <c r="G149">
        <v>6496.0346079999999</v>
      </c>
      <c r="H149">
        <f t="shared" si="45"/>
        <v>1020.0000000054</v>
      </c>
      <c r="I149">
        <f t="shared" si="46"/>
        <v>1.0200000000053999</v>
      </c>
      <c r="J149">
        <f t="shared" si="46"/>
        <v>1.0200000000053998E-3</v>
      </c>
      <c r="K149">
        <f t="shared" si="47"/>
        <v>2.2487124000119048</v>
      </c>
      <c r="L149" s="3">
        <v>1.2E-2</v>
      </c>
      <c r="M149" s="3">
        <v>3.1</v>
      </c>
      <c r="N149">
        <f t="shared" si="48"/>
        <v>38.916622113975315</v>
      </c>
      <c r="O149">
        <f t="shared" si="40"/>
        <v>3.6069534357875623</v>
      </c>
      <c r="P149">
        <f t="shared" si="41"/>
        <v>17.844200932900726</v>
      </c>
      <c r="Q149" s="2">
        <f t="shared" si="37"/>
        <v>45.324270369567849</v>
      </c>
      <c r="R149" s="2">
        <f t="shared" si="42"/>
        <v>1636.0885031377572</v>
      </c>
      <c r="S149" s="2">
        <f t="shared" si="43"/>
        <v>3931.9598729578402</v>
      </c>
      <c r="T149" s="2">
        <f t="shared" si="44"/>
        <v>10419.693663338276</v>
      </c>
      <c r="U149" s="2">
        <f t="shared" si="51"/>
        <v>54.3</v>
      </c>
      <c r="V149" s="2">
        <f t="shared" si="52"/>
        <v>0.22500000000000001</v>
      </c>
      <c r="W149" s="2">
        <v>0</v>
      </c>
    </row>
    <row r="150" spans="1:28" x14ac:dyDescent="0.25">
      <c r="A150" s="2" t="s">
        <v>49</v>
      </c>
      <c r="B150" t="s">
        <v>50</v>
      </c>
      <c r="C150">
        <v>9</v>
      </c>
      <c r="D150">
        <v>1</v>
      </c>
      <c r="E150">
        <f t="shared" si="36"/>
        <v>9</v>
      </c>
      <c r="F150">
        <v>2643.5952900000002</v>
      </c>
      <c r="G150">
        <v>7005.5275179999999</v>
      </c>
      <c r="H150">
        <f t="shared" si="45"/>
        <v>1100.000000169</v>
      </c>
      <c r="I150">
        <f t="shared" si="46"/>
        <v>1.100000000169</v>
      </c>
      <c r="J150">
        <f t="shared" si="46"/>
        <v>1.1000000001690001E-3</v>
      </c>
      <c r="K150">
        <f t="shared" si="47"/>
        <v>2.4250820003725808</v>
      </c>
      <c r="L150" s="3">
        <v>1.2E-2</v>
      </c>
      <c r="M150" s="3">
        <v>3.1</v>
      </c>
      <c r="N150">
        <f t="shared" si="48"/>
        <v>39.876163449959911</v>
      </c>
      <c r="O150">
        <f t="shared" si="40"/>
        <v>4.0720692802737393</v>
      </c>
      <c r="P150">
        <f t="shared" si="41"/>
        <v>18.556194612165676</v>
      </c>
      <c r="Q150" s="2">
        <f t="shared" si="37"/>
        <v>47.132734314900816</v>
      </c>
      <c r="R150" s="2">
        <f t="shared" si="42"/>
        <v>1847.0617522628568</v>
      </c>
      <c r="S150" s="2">
        <f t="shared" si="43"/>
        <v>4438.9852253373138</v>
      </c>
      <c r="T150" s="2">
        <f t="shared" si="44"/>
        <v>11763.310847143881</v>
      </c>
      <c r="U150" s="2">
        <f t="shared" si="51"/>
        <v>54.3</v>
      </c>
      <c r="V150" s="2">
        <f t="shared" si="52"/>
        <v>0.22500000000000001</v>
      </c>
      <c r="W150" s="2">
        <v>0</v>
      </c>
    </row>
    <row r="151" spans="1:28" x14ac:dyDescent="0.25">
      <c r="A151" s="2" t="s">
        <v>49</v>
      </c>
      <c r="B151" t="s">
        <v>50</v>
      </c>
      <c r="C151">
        <v>10</v>
      </c>
      <c r="D151">
        <v>1</v>
      </c>
      <c r="E151">
        <f t="shared" si="36"/>
        <v>10</v>
      </c>
      <c r="F151">
        <v>3076.18361</v>
      </c>
      <c r="G151">
        <v>8151.8865660000001</v>
      </c>
      <c r="H151">
        <f t="shared" si="45"/>
        <v>1280.0000001210001</v>
      </c>
      <c r="I151">
        <f t="shared" si="46"/>
        <v>1.2800000001210001</v>
      </c>
      <c r="J151">
        <f t="shared" si="46"/>
        <v>1.2800000001210001E-3</v>
      </c>
      <c r="K151">
        <f t="shared" si="47"/>
        <v>2.8219136002667589</v>
      </c>
      <c r="L151" s="3">
        <v>1.2E-2</v>
      </c>
      <c r="M151" s="3">
        <v>3.1</v>
      </c>
      <c r="N151">
        <f t="shared" si="48"/>
        <v>41.874029007707747</v>
      </c>
      <c r="O151">
        <f t="shared" si="40"/>
        <v>4.4714172570266442</v>
      </c>
      <c r="P151">
        <f t="shared" si="41"/>
        <v>19.124733112712899</v>
      </c>
      <c r="Q151" s="2">
        <f t="shared" si="37"/>
        <v>48.576822106290763</v>
      </c>
      <c r="R151" s="2">
        <f t="shared" si="42"/>
        <v>2028.203162915443</v>
      </c>
      <c r="S151" s="2">
        <f t="shared" si="43"/>
        <v>4874.3166616569169</v>
      </c>
      <c r="T151" s="2">
        <f t="shared" si="44"/>
        <v>12916.939153390829</v>
      </c>
      <c r="U151" s="2">
        <f t="shared" si="51"/>
        <v>54.3</v>
      </c>
      <c r="V151" s="2">
        <f t="shared" si="52"/>
        <v>0.22500000000000001</v>
      </c>
      <c r="W151" s="2">
        <v>0</v>
      </c>
    </row>
    <row r="152" spans="1:28" x14ac:dyDescent="0.25">
      <c r="A152" s="2" t="s">
        <v>51</v>
      </c>
      <c r="B152" t="s">
        <v>52</v>
      </c>
      <c r="C152">
        <v>1</v>
      </c>
      <c r="D152">
        <v>1</v>
      </c>
      <c r="E152">
        <f t="shared" si="36"/>
        <v>1</v>
      </c>
      <c r="F152">
        <v>476.02739730000002</v>
      </c>
      <c r="G152">
        <v>1261.4726029999999</v>
      </c>
      <c r="H152">
        <f t="shared" si="45"/>
        <v>198.07500001653005</v>
      </c>
      <c r="I152">
        <f t="shared" si="46"/>
        <v>0.19807500001653006</v>
      </c>
      <c r="J152">
        <f t="shared" si="46"/>
        <v>1.9807500001653005E-4</v>
      </c>
      <c r="K152">
        <f t="shared" si="47"/>
        <v>0.43668010653644246</v>
      </c>
      <c r="L152" s="3">
        <v>1.24E-2</v>
      </c>
      <c r="M152" s="3">
        <v>3.2</v>
      </c>
      <c r="N152">
        <f t="shared" si="48"/>
        <v>20.585669387454402</v>
      </c>
      <c r="O152">
        <f t="shared" si="40"/>
        <v>4.2411938413157834E-3</v>
      </c>
      <c r="P152">
        <f t="shared" si="41"/>
        <v>1.9044529608533411</v>
      </c>
      <c r="Q152" s="2">
        <f t="shared" si="37"/>
        <v>4.8373105205674864</v>
      </c>
      <c r="R152" s="2">
        <f t="shared" si="42"/>
        <v>1.923775453962943</v>
      </c>
      <c r="S152" s="2">
        <f t="shared" si="43"/>
        <v>4.6233488439388202</v>
      </c>
      <c r="T152" s="2">
        <f t="shared" si="44"/>
        <v>12.251874436437873</v>
      </c>
      <c r="U152">
        <f t="shared" ref="U152:U161" si="53">$Y$154</f>
        <v>20.9</v>
      </c>
      <c r="V152">
        <f t="shared" ref="V152:V161" si="54">$Y$155</f>
        <v>0.19500000000000001</v>
      </c>
      <c r="W152">
        <f t="shared" ref="W152:W161" si="55">$Y$156</f>
        <v>-0.35</v>
      </c>
      <c r="Y152" t="s">
        <v>600</v>
      </c>
      <c r="Z152" t="s">
        <v>601</v>
      </c>
      <c r="AA152" t="s">
        <v>602</v>
      </c>
    </row>
    <row r="153" spans="1:28" x14ac:dyDescent="0.25">
      <c r="A153" s="2" t="s">
        <v>51</v>
      </c>
      <c r="B153" t="s">
        <v>52</v>
      </c>
      <c r="C153">
        <v>2</v>
      </c>
      <c r="D153">
        <v>1</v>
      </c>
      <c r="E153">
        <f t="shared" si="36"/>
        <v>2</v>
      </c>
      <c r="F153">
        <v>1129.488104</v>
      </c>
      <c r="G153">
        <v>2993.143474</v>
      </c>
      <c r="H153">
        <f t="shared" si="45"/>
        <v>469.98000007439998</v>
      </c>
      <c r="I153">
        <f t="shared" si="46"/>
        <v>0.4699800000744</v>
      </c>
      <c r="J153">
        <f t="shared" si="46"/>
        <v>4.6998000007440001E-4</v>
      </c>
      <c r="K153">
        <f t="shared" si="47"/>
        <v>1.0361273077640236</v>
      </c>
      <c r="L153" s="3">
        <v>1.24E-2</v>
      </c>
      <c r="M153" s="3">
        <v>3.2</v>
      </c>
      <c r="N153">
        <f t="shared" si="48"/>
        <v>26.966869202838879</v>
      </c>
      <c r="O153">
        <f t="shared" si="40"/>
        <v>1.8640835784128396E-2</v>
      </c>
      <c r="P153">
        <f t="shared" si="41"/>
        <v>3.0248277144610802</v>
      </c>
      <c r="Q153" s="2">
        <f t="shared" si="37"/>
        <v>7.6830623947311434</v>
      </c>
      <c r="R153" s="2">
        <f t="shared" si="42"/>
        <v>8.4553509376347833</v>
      </c>
      <c r="S153" s="2">
        <f t="shared" si="43"/>
        <v>20.320478100540214</v>
      </c>
      <c r="T153" s="2">
        <f t="shared" si="44"/>
        <v>53.849266966431564</v>
      </c>
      <c r="U153">
        <f t="shared" si="53"/>
        <v>20.9</v>
      </c>
      <c r="V153">
        <f t="shared" si="54"/>
        <v>0.19500000000000001</v>
      </c>
      <c r="W153">
        <f t="shared" si="55"/>
        <v>-0.35</v>
      </c>
      <c r="X153" t="s">
        <v>422</v>
      </c>
      <c r="Y153">
        <v>20</v>
      </c>
      <c r="Z153">
        <v>18</v>
      </c>
      <c r="AA153">
        <v>18</v>
      </c>
    </row>
    <row r="154" spans="1:28" x14ac:dyDescent="0.25">
      <c r="A154" s="2" t="s">
        <v>51</v>
      </c>
      <c r="B154" t="s">
        <v>52</v>
      </c>
      <c r="C154">
        <v>3</v>
      </c>
      <c r="D154">
        <v>1</v>
      </c>
      <c r="E154">
        <f t="shared" si="36"/>
        <v>3</v>
      </c>
      <c r="F154">
        <v>1548.9065129999999</v>
      </c>
      <c r="G154">
        <v>4104.6022599999997</v>
      </c>
      <c r="H154">
        <f t="shared" si="45"/>
        <v>644.50000005929996</v>
      </c>
      <c r="I154">
        <f t="shared" si="46"/>
        <v>0.64450000005929997</v>
      </c>
      <c r="J154">
        <f t="shared" si="46"/>
        <v>6.445000000593E-4</v>
      </c>
      <c r="K154">
        <f t="shared" si="47"/>
        <v>1.4208775901307338</v>
      </c>
      <c r="L154" s="3">
        <v>1.24E-2</v>
      </c>
      <c r="M154" s="3">
        <v>3.2</v>
      </c>
      <c r="N154">
        <f t="shared" si="48"/>
        <v>29.763766337987356</v>
      </c>
      <c r="O154">
        <f t="shared" si="40"/>
        <v>4.366930968595243E-2</v>
      </c>
      <c r="P154">
        <f t="shared" si="41"/>
        <v>3.9467108917405</v>
      </c>
      <c r="Q154" s="2">
        <f t="shared" si="37"/>
        <v>10.02464566502087</v>
      </c>
      <c r="R154" s="2">
        <f t="shared" si="42"/>
        <v>19.808089233497125</v>
      </c>
      <c r="S154" s="2">
        <f t="shared" si="43"/>
        <v>47.604155812297819</v>
      </c>
      <c r="T154" s="2">
        <f t="shared" si="44"/>
        <v>126.15101290258922</v>
      </c>
      <c r="U154">
        <f t="shared" si="53"/>
        <v>20.9</v>
      </c>
      <c r="V154">
        <f t="shared" si="54"/>
        <v>0.19500000000000001</v>
      </c>
      <c r="W154">
        <f t="shared" si="55"/>
        <v>-0.35</v>
      </c>
      <c r="X154" t="s">
        <v>18</v>
      </c>
      <c r="Y154">
        <v>20.9</v>
      </c>
    </row>
    <row r="155" spans="1:28" x14ac:dyDescent="0.25">
      <c r="A155" s="2" t="s">
        <v>51</v>
      </c>
      <c r="B155" t="s">
        <v>52</v>
      </c>
      <c r="C155">
        <v>4</v>
      </c>
      <c r="D155">
        <v>1</v>
      </c>
      <c r="E155">
        <f t="shared" si="36"/>
        <v>4</v>
      </c>
      <c r="F155">
        <v>2095.4578219999999</v>
      </c>
      <c r="G155">
        <v>5552.9632300000003</v>
      </c>
      <c r="H155">
        <f t="shared" si="45"/>
        <v>871.91999973419991</v>
      </c>
      <c r="I155">
        <f t="shared" si="46"/>
        <v>0.87191999973419987</v>
      </c>
      <c r="J155">
        <f t="shared" si="46"/>
        <v>8.7191999973419991E-4</v>
      </c>
      <c r="K155">
        <f t="shared" si="47"/>
        <v>1.9222522698140116</v>
      </c>
      <c r="L155" s="3">
        <v>1.24E-2</v>
      </c>
      <c r="M155" s="3">
        <v>3.2</v>
      </c>
      <c r="N155">
        <f t="shared" si="48"/>
        <v>32.711817394436984</v>
      </c>
      <c r="O155">
        <f t="shared" si="40"/>
        <v>7.6646686250982088E-2</v>
      </c>
      <c r="P155">
        <f t="shared" si="41"/>
        <v>4.705268320684806</v>
      </c>
      <c r="Q155" s="2">
        <f t="shared" si="37"/>
        <v>11.951381534539408</v>
      </c>
      <c r="R155" s="2">
        <f t="shared" si="42"/>
        <v>34.766393415183607</v>
      </c>
      <c r="S155" s="2">
        <f t="shared" si="43"/>
        <v>83.552976244132694</v>
      </c>
      <c r="T155" s="2">
        <f t="shared" si="44"/>
        <v>221.41538704695162</v>
      </c>
      <c r="U155">
        <f t="shared" si="53"/>
        <v>20.9</v>
      </c>
      <c r="V155">
        <f t="shared" si="54"/>
        <v>0.19500000000000001</v>
      </c>
      <c r="W155">
        <f t="shared" si="55"/>
        <v>-0.35</v>
      </c>
      <c r="X155" t="s">
        <v>19</v>
      </c>
      <c r="Y155">
        <v>0.19500000000000001</v>
      </c>
    </row>
    <row r="156" spans="1:28" x14ac:dyDescent="0.25">
      <c r="A156" s="2" t="s">
        <v>51</v>
      </c>
      <c r="B156" t="s">
        <v>52</v>
      </c>
      <c r="C156">
        <v>5</v>
      </c>
      <c r="D156">
        <v>1</v>
      </c>
      <c r="E156">
        <f t="shared" si="36"/>
        <v>5</v>
      </c>
      <c r="F156">
        <v>2636.890171</v>
      </c>
      <c r="G156">
        <v>6987.7589529999996</v>
      </c>
      <c r="H156">
        <f t="shared" si="45"/>
        <v>1097.2100001530998</v>
      </c>
      <c r="I156">
        <f t="shared" si="46"/>
        <v>1.0972100001530998</v>
      </c>
      <c r="J156">
        <f t="shared" si="46"/>
        <v>1.0972100001530997E-3</v>
      </c>
      <c r="K156">
        <f t="shared" si="47"/>
        <v>2.4189311105375264</v>
      </c>
      <c r="L156" s="3">
        <v>1.24E-2</v>
      </c>
      <c r="M156" s="3">
        <v>3.2</v>
      </c>
      <c r="N156">
        <f t="shared" si="48"/>
        <v>35.147648337383011</v>
      </c>
      <c r="O156">
        <f t="shared" si="40"/>
        <v>0.11418347013324644</v>
      </c>
      <c r="P156">
        <f t="shared" si="41"/>
        <v>5.3294356633460485</v>
      </c>
      <c r="Q156" s="2">
        <f t="shared" si="37"/>
        <v>13.536766584898963</v>
      </c>
      <c r="R156" s="2">
        <f t="shared" si="42"/>
        <v>51.792812427196722</v>
      </c>
      <c r="S156" s="2">
        <f t="shared" si="43"/>
        <v>124.47203178850451</v>
      </c>
      <c r="T156" s="2">
        <f t="shared" si="44"/>
        <v>329.85088423953692</v>
      </c>
      <c r="U156">
        <f t="shared" si="53"/>
        <v>20.9</v>
      </c>
      <c r="V156">
        <f t="shared" si="54"/>
        <v>0.19500000000000001</v>
      </c>
      <c r="W156">
        <f t="shared" si="55"/>
        <v>-0.35</v>
      </c>
      <c r="X156" t="s">
        <v>477</v>
      </c>
      <c r="Y156">
        <v>-0.35</v>
      </c>
    </row>
    <row r="157" spans="1:28" x14ac:dyDescent="0.25">
      <c r="A157" s="2" t="s">
        <v>51</v>
      </c>
      <c r="B157" t="s">
        <v>52</v>
      </c>
      <c r="C157">
        <v>6</v>
      </c>
      <c r="D157">
        <v>1</v>
      </c>
      <c r="E157">
        <f t="shared" si="36"/>
        <v>6</v>
      </c>
      <c r="F157">
        <v>2919.850997</v>
      </c>
      <c r="G157">
        <v>7737.6051429999998</v>
      </c>
      <c r="H157">
        <f t="shared" si="45"/>
        <v>1214.9499998517001</v>
      </c>
      <c r="I157">
        <f t="shared" si="46"/>
        <v>1.2149499998517002</v>
      </c>
      <c r="J157">
        <f t="shared" si="46"/>
        <v>1.2149499998517002E-3</v>
      </c>
      <c r="K157">
        <f t="shared" si="47"/>
        <v>2.6785030686730549</v>
      </c>
      <c r="L157" s="3">
        <v>1.24E-2</v>
      </c>
      <c r="M157" s="3">
        <v>3.2</v>
      </c>
      <c r="N157">
        <f t="shared" si="48"/>
        <v>36.285258805695427</v>
      </c>
      <c r="O157">
        <f t="shared" si="40"/>
        <v>0.15327221520668291</v>
      </c>
      <c r="P157">
        <f t="shared" si="41"/>
        <v>5.8430221853144442</v>
      </c>
      <c r="Q157" s="2">
        <f t="shared" si="37"/>
        <v>14.841276350698688</v>
      </c>
      <c r="R157" s="2">
        <f t="shared" si="42"/>
        <v>69.523190031244795</v>
      </c>
      <c r="S157" s="2">
        <f t="shared" si="43"/>
        <v>167.08288880376062</v>
      </c>
      <c r="T157" s="2">
        <f t="shared" si="44"/>
        <v>442.76965532996564</v>
      </c>
      <c r="U157">
        <f t="shared" si="53"/>
        <v>20.9</v>
      </c>
      <c r="V157">
        <f t="shared" si="54"/>
        <v>0.19500000000000001</v>
      </c>
      <c r="W157">
        <f t="shared" si="55"/>
        <v>-0.35</v>
      </c>
      <c r="X157" t="s">
        <v>423</v>
      </c>
    </row>
    <row r="158" spans="1:28" x14ac:dyDescent="0.25">
      <c r="A158" s="2" t="s">
        <v>51</v>
      </c>
      <c r="B158" t="s">
        <v>52</v>
      </c>
      <c r="C158">
        <v>7</v>
      </c>
      <c r="D158">
        <v>1</v>
      </c>
      <c r="E158">
        <f t="shared" si="36"/>
        <v>7</v>
      </c>
      <c r="F158">
        <v>3445.5659700000001</v>
      </c>
      <c r="G158">
        <v>9130.7498190000006</v>
      </c>
      <c r="H158">
        <f t="shared" si="45"/>
        <v>1433.7000001169999</v>
      </c>
      <c r="I158">
        <f t="shared" si="46"/>
        <v>1.4337000001169999</v>
      </c>
      <c r="J158">
        <f t="shared" si="46"/>
        <v>1.4337000001169999E-3</v>
      </c>
      <c r="K158">
        <f t="shared" si="47"/>
        <v>3.1607636942579402</v>
      </c>
      <c r="L158" s="3">
        <v>1.24E-2</v>
      </c>
      <c r="M158" s="3">
        <v>3.2</v>
      </c>
      <c r="N158">
        <f t="shared" si="48"/>
        <v>38.211926836032923</v>
      </c>
      <c r="O158">
        <f t="shared" si="40"/>
        <v>0.19164966333316838</v>
      </c>
      <c r="P158">
        <f t="shared" si="41"/>
        <v>6.2656189755004892</v>
      </c>
      <c r="Q158" s="2">
        <f t="shared" si="37"/>
        <v>15.914672197771242</v>
      </c>
      <c r="R158" s="2">
        <f t="shared" si="42"/>
        <v>86.930928383652684</v>
      </c>
      <c r="S158" s="2">
        <f t="shared" si="43"/>
        <v>208.91835708640397</v>
      </c>
      <c r="T158" s="2">
        <f t="shared" si="44"/>
        <v>553.63364627897056</v>
      </c>
      <c r="U158">
        <f t="shared" si="53"/>
        <v>20.9</v>
      </c>
      <c r="V158">
        <f t="shared" si="54"/>
        <v>0.19500000000000001</v>
      </c>
      <c r="W158">
        <f t="shared" si="55"/>
        <v>-0.35</v>
      </c>
      <c r="X158" t="s">
        <v>434</v>
      </c>
      <c r="Y158" s="7" t="s">
        <v>603</v>
      </c>
      <c r="Z158" s="7" t="s">
        <v>604</v>
      </c>
      <c r="AA158" s="7" t="s">
        <v>605</v>
      </c>
    </row>
    <row r="159" spans="1:28" x14ac:dyDescent="0.25">
      <c r="A159" s="2" t="s">
        <v>51</v>
      </c>
      <c r="B159" t="s">
        <v>52</v>
      </c>
      <c r="C159">
        <v>8</v>
      </c>
      <c r="D159">
        <v>1</v>
      </c>
      <c r="E159">
        <f t="shared" si="36"/>
        <v>8</v>
      </c>
      <c r="F159">
        <v>3970.9204519999998</v>
      </c>
      <c r="G159">
        <v>10522.939200000001</v>
      </c>
      <c r="H159">
        <f t="shared" si="45"/>
        <v>1652.3000000771999</v>
      </c>
      <c r="I159">
        <f t="shared" si="46"/>
        <v>1.6523000000771999</v>
      </c>
      <c r="J159">
        <f t="shared" si="46"/>
        <v>1.6523000000772E-3</v>
      </c>
      <c r="K159">
        <f t="shared" si="47"/>
        <v>3.6426936261701961</v>
      </c>
      <c r="L159" s="3">
        <v>1.24E-2</v>
      </c>
      <c r="M159" s="3">
        <v>3.2</v>
      </c>
      <c r="N159">
        <f t="shared" si="48"/>
        <v>39.94463945663405</v>
      </c>
      <c r="O159">
        <f t="shared" si="40"/>
        <v>0.22780925292423412</v>
      </c>
      <c r="P159">
        <f t="shared" si="41"/>
        <v>6.613346260848795</v>
      </c>
      <c r="Q159" s="2">
        <f t="shared" si="37"/>
        <v>16.797899502555939</v>
      </c>
      <c r="R159" s="2">
        <f t="shared" si="42"/>
        <v>103.33266183026286</v>
      </c>
      <c r="S159" s="2">
        <f t="shared" si="43"/>
        <v>248.33612552334262</v>
      </c>
      <c r="T159" s="2">
        <f t="shared" si="44"/>
        <v>658.09073263685787</v>
      </c>
      <c r="U159">
        <f t="shared" si="53"/>
        <v>20.9</v>
      </c>
      <c r="V159">
        <f t="shared" si="54"/>
        <v>0.19500000000000001</v>
      </c>
      <c r="W159">
        <f t="shared" si="55"/>
        <v>-0.35</v>
      </c>
    </row>
    <row r="160" spans="1:28" x14ac:dyDescent="0.25">
      <c r="A160" s="2" t="s">
        <v>51</v>
      </c>
      <c r="B160" t="s">
        <v>52</v>
      </c>
      <c r="C160">
        <v>9</v>
      </c>
      <c r="D160">
        <v>1</v>
      </c>
      <c r="E160">
        <f t="shared" si="36"/>
        <v>9</v>
      </c>
      <c r="F160">
        <v>4109.5890410000002</v>
      </c>
      <c r="G160">
        <v>10890.410959999999</v>
      </c>
      <c r="H160">
        <f t="shared" si="45"/>
        <v>1709.9999999601</v>
      </c>
      <c r="I160">
        <f t="shared" si="46"/>
        <v>1.7099999999601001</v>
      </c>
      <c r="J160">
        <f t="shared" si="46"/>
        <v>1.7099999999601002E-3</v>
      </c>
      <c r="K160">
        <f t="shared" si="47"/>
        <v>3.7699001999120356</v>
      </c>
      <c r="L160" s="3">
        <v>1.24E-2</v>
      </c>
      <c r="M160" s="3">
        <v>3.2</v>
      </c>
      <c r="N160">
        <f t="shared" si="48"/>
        <v>40.375415800387913</v>
      </c>
      <c r="O160">
        <f t="shared" si="40"/>
        <v>0.26087551618474653</v>
      </c>
      <c r="P160">
        <f t="shared" si="41"/>
        <v>6.8994683227851157</v>
      </c>
      <c r="Q160" s="2">
        <f t="shared" si="37"/>
        <v>17.524649539874193</v>
      </c>
      <c r="R160" s="2">
        <f t="shared" si="42"/>
        <v>118.33128438676349</v>
      </c>
      <c r="S160" s="2">
        <f t="shared" si="43"/>
        <v>284.38184183312541</v>
      </c>
      <c r="T160" s="2">
        <f t="shared" si="44"/>
        <v>753.61188085778235</v>
      </c>
      <c r="U160">
        <f t="shared" si="53"/>
        <v>20.9</v>
      </c>
      <c r="V160">
        <f t="shared" si="54"/>
        <v>0.19500000000000001</v>
      </c>
      <c r="W160">
        <f t="shared" si="55"/>
        <v>-0.35</v>
      </c>
    </row>
    <row r="161" spans="1:25" x14ac:dyDescent="0.25">
      <c r="A161" s="2" t="s">
        <v>51</v>
      </c>
      <c r="B161" t="s">
        <v>52</v>
      </c>
      <c r="C161">
        <v>10</v>
      </c>
      <c r="D161">
        <v>1</v>
      </c>
      <c r="E161">
        <f t="shared" si="36"/>
        <v>10</v>
      </c>
      <c r="F161">
        <v>4373.9485699999996</v>
      </c>
      <c r="G161">
        <v>11590.96371</v>
      </c>
      <c r="H161">
        <f t="shared" si="45"/>
        <v>1819.9999999769998</v>
      </c>
      <c r="I161">
        <f t="shared" si="46"/>
        <v>1.8199999999769998</v>
      </c>
      <c r="J161">
        <f t="shared" si="46"/>
        <v>1.8199999999769997E-3</v>
      </c>
      <c r="K161">
        <f t="shared" si="47"/>
        <v>4.012408399949293</v>
      </c>
      <c r="L161" s="3">
        <v>1.24E-2</v>
      </c>
      <c r="M161" s="3">
        <v>3.2</v>
      </c>
      <c r="N161">
        <f t="shared" si="48"/>
        <v>41.169731262769922</v>
      </c>
      <c r="O161">
        <f t="shared" si="40"/>
        <v>0.29044537704626744</v>
      </c>
      <c r="P161">
        <f t="shared" si="41"/>
        <v>7.1348994717807708</v>
      </c>
      <c r="Q161" s="2">
        <f t="shared" si="37"/>
        <v>18.122644658323157</v>
      </c>
      <c r="R161" s="2">
        <f t="shared" si="42"/>
        <v>131.74396360654782</v>
      </c>
      <c r="S161" s="2">
        <f t="shared" si="43"/>
        <v>316.61611056608461</v>
      </c>
      <c r="T161" s="2">
        <f t="shared" si="44"/>
        <v>839.03269300012425</v>
      </c>
      <c r="U161">
        <f t="shared" si="53"/>
        <v>20.9</v>
      </c>
      <c r="V161">
        <f t="shared" si="54"/>
        <v>0.19500000000000001</v>
      </c>
      <c r="W161">
        <f t="shared" si="55"/>
        <v>-0.35</v>
      </c>
    </row>
    <row r="162" spans="1:25" x14ac:dyDescent="0.25">
      <c r="A162" t="s">
        <v>53</v>
      </c>
      <c r="B162" t="s">
        <v>54</v>
      </c>
      <c r="C162">
        <v>1</v>
      </c>
      <c r="D162">
        <v>2</v>
      </c>
      <c r="E162">
        <f t="shared" si="36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f t="shared" si="40"/>
        <v>3.8588377440321391E-2</v>
      </c>
      <c r="P162">
        <f t="shared" si="41"/>
        <v>4.6525262861153562</v>
      </c>
      <c r="Q162">
        <f t="shared" ref="Q162:Q171" si="56">41*(1-EXP(-0.17*(E162)))</f>
        <v>11.817416766733004</v>
      </c>
      <c r="R162">
        <f t="shared" si="42"/>
        <v>17.503414393555982</v>
      </c>
      <c r="S162">
        <f t="shared" si="43"/>
        <v>42.065403493285224</v>
      </c>
      <c r="T162">
        <f t="shared" si="44"/>
        <v>111.47331925720584</v>
      </c>
      <c r="U162">
        <v>41</v>
      </c>
      <c r="V162">
        <v>0.17</v>
      </c>
      <c r="W162">
        <v>0</v>
      </c>
      <c r="Y162" t="s">
        <v>606</v>
      </c>
    </row>
    <row r="163" spans="1:25" x14ac:dyDescent="0.25">
      <c r="A163" t="s">
        <v>53</v>
      </c>
      <c r="B163" t="s">
        <v>54</v>
      </c>
      <c r="C163">
        <v>2</v>
      </c>
      <c r="D163">
        <v>2</v>
      </c>
      <c r="E163">
        <f t="shared" si="36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f t="shared" si="40"/>
        <v>0.18841727616725545</v>
      </c>
      <c r="P163">
        <f t="shared" si="41"/>
        <v>7.964056422445208</v>
      </c>
      <c r="Q163">
        <f t="shared" si="56"/>
        <v>20.228703313010829</v>
      </c>
      <c r="R163">
        <f t="shared" si="42"/>
        <v>85.464740484643812</v>
      </c>
      <c r="S163">
        <f t="shared" si="43"/>
        <v>205.39471397414999</v>
      </c>
      <c r="T163">
        <f t="shared" si="44"/>
        <v>544.29599203149746</v>
      </c>
      <c r="U163">
        <v>41</v>
      </c>
      <c r="V163">
        <v>0.17</v>
      </c>
      <c r="W163">
        <v>0</v>
      </c>
    </row>
    <row r="164" spans="1:25" x14ac:dyDescent="0.25">
      <c r="A164" t="s">
        <v>53</v>
      </c>
      <c r="B164" t="s">
        <v>54</v>
      </c>
      <c r="C164">
        <v>3</v>
      </c>
      <c r="D164">
        <v>2</v>
      </c>
      <c r="E164">
        <f t="shared" si="36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f t="shared" si="40"/>
        <v>0.40482448204776578</v>
      </c>
      <c r="P164">
        <f t="shared" si="41"/>
        <v>10.321105296418812</v>
      </c>
      <c r="Q164">
        <f t="shared" si="56"/>
        <v>26.215607452903786</v>
      </c>
      <c r="R164">
        <f t="shared" si="42"/>
        <v>183.62551462282198</v>
      </c>
      <c r="S164">
        <f t="shared" si="43"/>
        <v>441.30140500558036</v>
      </c>
      <c r="T164">
        <f t="shared" si="44"/>
        <v>1169.448723264788</v>
      </c>
      <c r="U164">
        <v>41</v>
      </c>
      <c r="V164">
        <v>0.17</v>
      </c>
      <c r="W164">
        <v>0</v>
      </c>
    </row>
    <row r="165" spans="1:25" x14ac:dyDescent="0.25">
      <c r="A165" t="s">
        <v>53</v>
      </c>
      <c r="B165" t="s">
        <v>54</v>
      </c>
      <c r="C165">
        <v>4</v>
      </c>
      <c r="D165">
        <v>2</v>
      </c>
      <c r="E165">
        <f t="shared" si="36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f t="shared" si="40"/>
        <v>0.63129036650426562</v>
      </c>
      <c r="P165">
        <f t="shared" si="41"/>
        <v>11.998782734214256</v>
      </c>
      <c r="Q165">
        <f t="shared" si="56"/>
        <v>30.476908144904211</v>
      </c>
      <c r="R165">
        <f t="shared" si="42"/>
        <v>286.34883404136116</v>
      </c>
      <c r="S165">
        <f t="shared" si="43"/>
        <v>688.17311713857521</v>
      </c>
      <c r="T165">
        <f t="shared" si="44"/>
        <v>1823.6587604172241</v>
      </c>
      <c r="U165">
        <v>41</v>
      </c>
      <c r="V165">
        <v>0.17</v>
      </c>
      <c r="W165">
        <v>0</v>
      </c>
    </row>
    <row r="166" spans="1:25" x14ac:dyDescent="0.25">
      <c r="A166" t="s">
        <v>53</v>
      </c>
      <c r="B166" t="s">
        <v>54</v>
      </c>
      <c r="C166">
        <v>5</v>
      </c>
      <c r="D166">
        <v>2</v>
      </c>
      <c r="E166">
        <f t="shared" si="36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f t="shared" si="40"/>
        <v>0.83517717152534021</v>
      </c>
      <c r="P166">
        <f t="shared" si="41"/>
        <v>13.192903745605465</v>
      </c>
      <c r="Q166">
        <f t="shared" si="56"/>
        <v>33.50997551383788</v>
      </c>
      <c r="R166">
        <f t="shared" si="42"/>
        <v>378.83044312640737</v>
      </c>
      <c r="S166">
        <f t="shared" si="43"/>
        <v>910.43125000338216</v>
      </c>
      <c r="T166">
        <f t="shared" si="44"/>
        <v>2412.6428125089628</v>
      </c>
      <c r="U166">
        <v>41</v>
      </c>
      <c r="V166">
        <v>0.17</v>
      </c>
      <c r="W166">
        <v>0</v>
      </c>
    </row>
    <row r="167" spans="1:25" x14ac:dyDescent="0.25">
      <c r="A167" t="s">
        <v>53</v>
      </c>
      <c r="B167" t="s">
        <v>54</v>
      </c>
      <c r="C167">
        <v>6</v>
      </c>
      <c r="D167">
        <v>2</v>
      </c>
      <c r="E167">
        <f t="shared" si="36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f t="shared" si="40"/>
        <v>1.0040766809778492</v>
      </c>
      <c r="P167">
        <f t="shared" si="41"/>
        <v>14.042843643300998</v>
      </c>
      <c r="Q167">
        <f t="shared" si="56"/>
        <v>35.668822853984537</v>
      </c>
      <c r="R167">
        <f t="shared" si="42"/>
        <v>455.44206302122319</v>
      </c>
      <c r="S167">
        <f t="shared" si="43"/>
        <v>1094.5495386234636</v>
      </c>
      <c r="T167">
        <f t="shared" si="44"/>
        <v>2900.5562773521783</v>
      </c>
      <c r="U167">
        <v>41</v>
      </c>
      <c r="V167">
        <v>0.17</v>
      </c>
      <c r="W167">
        <v>0</v>
      </c>
    </row>
    <row r="168" spans="1:25" x14ac:dyDescent="0.25">
      <c r="A168" t="s">
        <v>53</v>
      </c>
      <c r="B168" t="s">
        <v>54</v>
      </c>
      <c r="C168">
        <v>7</v>
      </c>
      <c r="D168">
        <v>2</v>
      </c>
      <c r="E168">
        <f t="shared" si="36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f t="shared" si="40"/>
        <v>1.1371127539997286</v>
      </c>
      <c r="P168">
        <f t="shared" si="41"/>
        <v>14.647805638612571</v>
      </c>
      <c r="Q168">
        <f t="shared" si="56"/>
        <v>37.20542632207593</v>
      </c>
      <c r="R168">
        <f t="shared" si="42"/>
        <v>515.78628244310971</v>
      </c>
      <c r="S168">
        <f t="shared" si="43"/>
        <v>1239.5728970033879</v>
      </c>
      <c r="T168">
        <f t="shared" si="44"/>
        <v>3284.8681770589778</v>
      </c>
      <c r="U168">
        <v>41</v>
      </c>
      <c r="V168">
        <v>0.17</v>
      </c>
      <c r="W168">
        <v>0</v>
      </c>
    </row>
    <row r="169" spans="1:25" x14ac:dyDescent="0.25">
      <c r="A169" t="s">
        <v>53</v>
      </c>
      <c r="B169" t="s">
        <v>54</v>
      </c>
      <c r="C169">
        <v>8</v>
      </c>
      <c r="D169">
        <v>2</v>
      </c>
      <c r="E169">
        <f t="shared" si="36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f t="shared" si="40"/>
        <v>1.2385753690707848</v>
      </c>
      <c r="P169">
        <f t="shared" si="41"/>
        <v>15.078399633274598</v>
      </c>
      <c r="Q169">
        <f t="shared" si="56"/>
        <v>38.299135068517479</v>
      </c>
      <c r="R169">
        <f t="shared" si="42"/>
        <v>561.80900521213846</v>
      </c>
      <c r="S169">
        <f t="shared" si="43"/>
        <v>1350.1778543911041</v>
      </c>
      <c r="T169">
        <f t="shared" si="44"/>
        <v>3577.9713141364259</v>
      </c>
      <c r="U169">
        <v>41</v>
      </c>
      <c r="V169">
        <v>0.17</v>
      </c>
      <c r="W169">
        <v>0</v>
      </c>
    </row>
    <row r="170" spans="1:25" x14ac:dyDescent="0.25">
      <c r="A170" t="s">
        <v>53</v>
      </c>
      <c r="B170" t="s">
        <v>54</v>
      </c>
      <c r="C170">
        <v>9</v>
      </c>
      <c r="D170">
        <v>2</v>
      </c>
      <c r="E170">
        <f t="shared" si="36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f t="shared" si="40"/>
        <v>1.3143238586178687</v>
      </c>
      <c r="P170">
        <f t="shared" si="41"/>
        <v>15.384883659834832</v>
      </c>
      <c r="Q170">
        <f t="shared" si="56"/>
        <v>39.077604495980474</v>
      </c>
      <c r="R170">
        <f t="shared" si="42"/>
        <v>596.16798297115542</v>
      </c>
      <c r="S170">
        <f t="shared" si="43"/>
        <v>1432.751701444738</v>
      </c>
      <c r="T170">
        <f t="shared" si="44"/>
        <v>3796.7920088285555</v>
      </c>
      <c r="U170">
        <v>41</v>
      </c>
      <c r="V170">
        <v>0.17</v>
      </c>
      <c r="W170">
        <v>0</v>
      </c>
    </row>
    <row r="171" spans="1:25" x14ac:dyDescent="0.25">
      <c r="A171" t="s">
        <v>53</v>
      </c>
      <c r="B171" t="s">
        <v>54</v>
      </c>
      <c r="C171">
        <v>10</v>
      </c>
      <c r="D171">
        <v>2</v>
      </c>
      <c r="E171">
        <f t="shared" si="36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f t="shared" si="40"/>
        <v>1.3700639142901681</v>
      </c>
      <c r="P171">
        <f t="shared" si="41"/>
        <v>15.603029894341192</v>
      </c>
      <c r="Q171">
        <f t="shared" si="56"/>
        <v>39.631695931626631</v>
      </c>
      <c r="R171">
        <f t="shared" si="42"/>
        <v>621.45127699565819</v>
      </c>
      <c r="S171">
        <f t="shared" si="43"/>
        <v>1493.5142441616397</v>
      </c>
      <c r="T171">
        <f t="shared" si="44"/>
        <v>3957.8127470283448</v>
      </c>
      <c r="U171">
        <v>41</v>
      </c>
      <c r="V171">
        <v>0.17</v>
      </c>
      <c r="W171">
        <v>0</v>
      </c>
    </row>
    <row r="172" spans="1:25" x14ac:dyDescent="0.25">
      <c r="A172" t="s">
        <v>55</v>
      </c>
      <c r="B172" t="s">
        <v>56</v>
      </c>
      <c r="C172">
        <v>1</v>
      </c>
      <c r="D172">
        <v>1</v>
      </c>
      <c r="E172">
        <f t="shared" si="36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f t="shared" si="40"/>
        <v>5.8918280589254329E-2</v>
      </c>
      <c r="P172">
        <f t="shared" si="41"/>
        <v>5.00599724669864</v>
      </c>
      <c r="Q172">
        <f t="shared" ref="Q172:Q181" si="57">152*(1-EXP(-0.096*(E172-0.09)))</f>
        <v>12.715233006614545</v>
      </c>
      <c r="R172">
        <f t="shared" si="42"/>
        <v>26.724914311425248</v>
      </c>
      <c r="S172">
        <f t="shared" si="43"/>
        <v>64.227143262257258</v>
      </c>
      <c r="T172">
        <f t="shared" si="44"/>
        <v>170.20192964498173</v>
      </c>
      <c r="U172">
        <v>152</v>
      </c>
      <c r="V172">
        <v>9.6000000000000002E-2</v>
      </c>
      <c r="W172">
        <v>0.09</v>
      </c>
      <c r="Y172" t="s">
        <v>607</v>
      </c>
    </row>
    <row r="173" spans="1:25" x14ac:dyDescent="0.25">
      <c r="A173" t="s">
        <v>55</v>
      </c>
      <c r="B173" t="s">
        <v>56</v>
      </c>
      <c r="C173">
        <v>2</v>
      </c>
      <c r="D173">
        <v>1</v>
      </c>
      <c r="E173">
        <f t="shared" si="36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f t="shared" si="40"/>
        <v>0.47325800148199632</v>
      </c>
      <c r="P173">
        <f t="shared" si="41"/>
        <v>10.02551228346263</v>
      </c>
      <c r="Q173">
        <f t="shared" si="57"/>
        <v>25.464801199995083</v>
      </c>
      <c r="R173">
        <f t="shared" si="42"/>
        <v>214.66647380591499</v>
      </c>
      <c r="S173">
        <f t="shared" si="43"/>
        <v>515.90116271548902</v>
      </c>
      <c r="T173">
        <f t="shared" si="44"/>
        <v>1367.138081196046</v>
      </c>
      <c r="U173">
        <v>152</v>
      </c>
      <c r="V173">
        <v>9.6000000000000002E-2</v>
      </c>
      <c r="W173">
        <v>0.09</v>
      </c>
    </row>
    <row r="174" spans="1:25" x14ac:dyDescent="0.25">
      <c r="A174" t="s">
        <v>55</v>
      </c>
      <c r="B174" t="s">
        <v>56</v>
      </c>
      <c r="C174">
        <v>3</v>
      </c>
      <c r="D174">
        <v>1</v>
      </c>
      <c r="E174">
        <f t="shared" si="36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f t="shared" si="40"/>
        <v>1.4572956392570955</v>
      </c>
      <c r="P174">
        <f t="shared" si="41"/>
        <v>14.585561072478503</v>
      </c>
      <c r="Q174">
        <f t="shared" si="57"/>
        <v>37.047325124095401</v>
      </c>
      <c r="R174">
        <f t="shared" si="42"/>
        <v>661.0189689184964</v>
      </c>
      <c r="S174">
        <f t="shared" si="43"/>
        <v>1588.6060296046535</v>
      </c>
      <c r="T174">
        <f t="shared" si="44"/>
        <v>4209.8059784523311</v>
      </c>
      <c r="U174">
        <v>152</v>
      </c>
      <c r="V174">
        <v>9.6000000000000002E-2</v>
      </c>
      <c r="W174">
        <v>0.09</v>
      </c>
    </row>
    <row r="175" spans="1:25" x14ac:dyDescent="0.25">
      <c r="A175" t="s">
        <v>55</v>
      </c>
      <c r="B175" t="s">
        <v>56</v>
      </c>
      <c r="C175">
        <v>4</v>
      </c>
      <c r="D175">
        <v>1</v>
      </c>
      <c r="E175">
        <f t="shared" si="36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f t="shared" si="40"/>
        <v>3.085080153406305</v>
      </c>
      <c r="P175">
        <f t="shared" si="41"/>
        <v>18.728201308817106</v>
      </c>
      <c r="Q175">
        <f t="shared" si="57"/>
        <v>47.569631324395452</v>
      </c>
      <c r="R175">
        <f t="shared" si="42"/>
        <v>1399.3704826257156</v>
      </c>
      <c r="S175">
        <f t="shared" si="43"/>
        <v>3363.0629238781917</v>
      </c>
      <c r="T175">
        <f t="shared" si="44"/>
        <v>8912.1167482772071</v>
      </c>
      <c r="U175">
        <v>152</v>
      </c>
      <c r="V175">
        <v>9.6000000000000002E-2</v>
      </c>
      <c r="W175">
        <v>0.09</v>
      </c>
    </row>
    <row r="176" spans="1:25" x14ac:dyDescent="0.25">
      <c r="A176" t="s">
        <v>55</v>
      </c>
      <c r="B176" t="s">
        <v>56</v>
      </c>
      <c r="C176">
        <v>5</v>
      </c>
      <c r="D176">
        <v>1</v>
      </c>
      <c r="E176">
        <f t="shared" si="36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f t="shared" si="40"/>
        <v>5.3436950694669401</v>
      </c>
      <c r="P176">
        <f t="shared" si="41"/>
        <v>22.491640895049091</v>
      </c>
      <c r="Q176">
        <f t="shared" si="57"/>
        <v>57.128767873424692</v>
      </c>
      <c r="R176">
        <f t="shared" si="42"/>
        <v>2423.8621936963923</v>
      </c>
      <c r="S176">
        <f t="shared" si="43"/>
        <v>5825.1915253458119</v>
      </c>
      <c r="T176">
        <f t="shared" si="44"/>
        <v>15436.757542166401</v>
      </c>
      <c r="U176">
        <v>152</v>
      </c>
      <c r="V176">
        <v>9.6000000000000002E-2</v>
      </c>
      <c r="W176">
        <v>0.09</v>
      </c>
    </row>
    <row r="177" spans="1:25" x14ac:dyDescent="0.25">
      <c r="A177" t="s">
        <v>55</v>
      </c>
      <c r="B177" t="s">
        <v>56</v>
      </c>
      <c r="C177">
        <v>6</v>
      </c>
      <c r="D177">
        <v>1</v>
      </c>
      <c r="E177">
        <f t="shared" si="36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f t="shared" si="40"/>
        <v>8.169776368743193</v>
      </c>
      <c r="P177">
        <f t="shared" si="41"/>
        <v>25.91059033578934</v>
      </c>
      <c r="Q177">
        <f t="shared" si="57"/>
        <v>65.812899452904929</v>
      </c>
      <c r="R177">
        <f t="shared" si="42"/>
        <v>3705.7526325367608</v>
      </c>
      <c r="S177">
        <f t="shared" si="43"/>
        <v>8905.9183670674374</v>
      </c>
      <c r="T177">
        <f t="shared" si="44"/>
        <v>23600.683672728708</v>
      </c>
      <c r="U177">
        <v>152</v>
      </c>
      <c r="V177">
        <v>9.6000000000000002E-2</v>
      </c>
      <c r="W177">
        <v>0.09</v>
      </c>
    </row>
    <row r="178" spans="1:25" x14ac:dyDescent="0.25">
      <c r="A178" t="s">
        <v>55</v>
      </c>
      <c r="B178" t="s">
        <v>56</v>
      </c>
      <c r="C178">
        <v>7</v>
      </c>
      <c r="D178">
        <v>1</v>
      </c>
      <c r="E178">
        <f t="shared" si="36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f t="shared" si="40"/>
        <v>11.474058109118864</v>
      </c>
      <c r="P178">
        <f t="shared" si="41"/>
        <v>29.016582875460092</v>
      </c>
      <c r="Q178">
        <f t="shared" si="57"/>
        <v>73.702120503668638</v>
      </c>
      <c r="R178">
        <f t="shared" si="42"/>
        <v>5204.55140074882</v>
      </c>
      <c r="S178">
        <f t="shared" si="43"/>
        <v>12507.934152244219</v>
      </c>
      <c r="T178">
        <f t="shared" si="44"/>
        <v>33146.025503447177</v>
      </c>
      <c r="U178">
        <v>152</v>
      </c>
      <c r="V178">
        <v>9.6000000000000002E-2</v>
      </c>
      <c r="W178">
        <v>0.09</v>
      </c>
    </row>
    <row r="179" spans="1:25" x14ac:dyDescent="0.25">
      <c r="A179" t="s">
        <v>55</v>
      </c>
      <c r="B179" t="s">
        <v>56</v>
      </c>
      <c r="C179">
        <v>8</v>
      </c>
      <c r="D179">
        <v>1</v>
      </c>
      <c r="E179">
        <f t="shared" si="36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f t="shared" si="40"/>
        <v>15.157460260179651</v>
      </c>
      <c r="P179">
        <f t="shared" si="41"/>
        <v>31.838265331928827</v>
      </c>
      <c r="Q179">
        <f t="shared" si="57"/>
        <v>80.869193943099219</v>
      </c>
      <c r="R179">
        <f t="shared" si="42"/>
        <v>6875.3164990699761</v>
      </c>
      <c r="S179">
        <f t="shared" si="43"/>
        <v>16523.23119218932</v>
      </c>
      <c r="T179">
        <f t="shared" si="44"/>
        <v>43786.562659301693</v>
      </c>
      <c r="U179">
        <v>152</v>
      </c>
      <c r="V179">
        <v>9.6000000000000002E-2</v>
      </c>
      <c r="W179">
        <v>0.09</v>
      </c>
    </row>
    <row r="180" spans="1:25" x14ac:dyDescent="0.25">
      <c r="A180" t="s">
        <v>55</v>
      </c>
      <c r="B180" t="s">
        <v>56</v>
      </c>
      <c r="C180">
        <v>9</v>
      </c>
      <c r="D180">
        <v>1</v>
      </c>
      <c r="E180">
        <f t="shared" si="36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f t="shared" si="40"/>
        <v>19.12126104006353</v>
      </c>
      <c r="P180">
        <f t="shared" si="41"/>
        <v>34.401662308403012</v>
      </c>
      <c r="Q180">
        <f t="shared" si="57"/>
        <v>87.380222263343654</v>
      </c>
      <c r="R180">
        <f t="shared" si="42"/>
        <v>8673.2684272407623</v>
      </c>
      <c r="S180">
        <f t="shared" si="43"/>
        <v>20844.192326942473</v>
      </c>
      <c r="T180">
        <f t="shared" si="44"/>
        <v>55237.109666397555</v>
      </c>
      <c r="U180">
        <v>152</v>
      </c>
      <c r="V180">
        <v>9.6000000000000002E-2</v>
      </c>
      <c r="W180">
        <v>0.09</v>
      </c>
    </row>
    <row r="181" spans="1:25" x14ac:dyDescent="0.25">
      <c r="A181" t="s">
        <v>55</v>
      </c>
      <c r="B181" t="s">
        <v>56</v>
      </c>
      <c r="C181">
        <v>10</v>
      </c>
      <c r="D181">
        <v>1</v>
      </c>
      <c r="E181">
        <f t="shared" ref="E181:E244" si="58">C181*D181</f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f t="shared" si="40"/>
        <v>23.273183523538354</v>
      </c>
      <c r="P181">
        <f t="shared" si="41"/>
        <v>36.730416220429134</v>
      </c>
      <c r="Q181">
        <f t="shared" si="57"/>
        <v>93.295257199890003</v>
      </c>
      <c r="R181">
        <f t="shared" si="42"/>
        <v>10556.551026271354</v>
      </c>
      <c r="S181">
        <f t="shared" si="43"/>
        <v>25370.225970370957</v>
      </c>
      <c r="T181">
        <f t="shared" si="44"/>
        <v>67231.098821483029</v>
      </c>
      <c r="U181">
        <v>152</v>
      </c>
      <c r="V181">
        <v>9.6000000000000002E-2</v>
      </c>
      <c r="W181">
        <v>0.09</v>
      </c>
    </row>
    <row r="182" spans="1:25" x14ac:dyDescent="0.25">
      <c r="A182" t="s">
        <v>57</v>
      </c>
      <c r="B182" t="s">
        <v>58</v>
      </c>
      <c r="C182">
        <v>1</v>
      </c>
      <c r="D182">
        <v>2</v>
      </c>
      <c r="E182">
        <f t="shared" si="58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f t="shared" si="40"/>
        <v>0.82530599124171045</v>
      </c>
      <c r="P182">
        <f t="shared" si="41"/>
        <v>15.804692329076595</v>
      </c>
      <c r="Q182">
        <f t="shared" ref="Q182:Q191" si="59">72.9*(1-EXP(-0.4*(E182)))</f>
        <v>40.143918515854551</v>
      </c>
      <c r="R182">
        <f t="shared" si="42"/>
        <v>374.35294574199202</v>
      </c>
      <c r="S182">
        <f t="shared" si="43"/>
        <v>899.67062182646498</v>
      </c>
      <c r="T182">
        <f t="shared" si="44"/>
        <v>2384.1271478401322</v>
      </c>
      <c r="U182">
        <v>72.900000000000006</v>
      </c>
      <c r="V182">
        <v>0.4</v>
      </c>
      <c r="W182">
        <v>0</v>
      </c>
      <c r="Y182" t="s">
        <v>608</v>
      </c>
    </row>
    <row r="183" spans="1:25" x14ac:dyDescent="0.25">
      <c r="A183" t="s">
        <v>57</v>
      </c>
      <c r="B183" t="s">
        <v>58</v>
      </c>
      <c r="C183">
        <v>2</v>
      </c>
      <c r="D183">
        <v>2</v>
      </c>
      <c r="E183">
        <f t="shared" si="58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f t="shared" si="40"/>
        <v>2.6075497870551114</v>
      </c>
      <c r="P183">
        <f t="shared" si="41"/>
        <v>22.906198361491981</v>
      </c>
      <c r="Q183">
        <f t="shared" si="59"/>
        <v>58.181743838189632</v>
      </c>
      <c r="R183">
        <f t="shared" si="42"/>
        <v>1182.7660944086108</v>
      </c>
      <c r="S183">
        <f t="shared" si="43"/>
        <v>2842.5044326090137</v>
      </c>
      <c r="T183">
        <f t="shared" si="44"/>
        <v>7532.6367464138866</v>
      </c>
      <c r="U183">
        <v>72.900000000000006</v>
      </c>
      <c r="V183">
        <v>0.4</v>
      </c>
      <c r="W183">
        <v>0</v>
      </c>
    </row>
    <row r="184" spans="1:25" x14ac:dyDescent="0.25">
      <c r="A184" t="s">
        <v>57</v>
      </c>
      <c r="B184" t="s">
        <v>58</v>
      </c>
      <c r="C184">
        <v>3</v>
      </c>
      <c r="D184">
        <v>2</v>
      </c>
      <c r="E184">
        <f t="shared" si="58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f t="shared" si="40"/>
        <v>3.9067424584819719</v>
      </c>
      <c r="P184">
        <f t="shared" si="41"/>
        <v>26.097110710709384</v>
      </c>
      <c r="Q184">
        <f t="shared" si="59"/>
        <v>66.286661205201838</v>
      </c>
      <c r="R184">
        <f t="shared" si="42"/>
        <v>1772.0706781585814</v>
      </c>
      <c r="S184">
        <f t="shared" si="43"/>
        <v>4258.7615432794546</v>
      </c>
      <c r="T184">
        <f t="shared" si="44"/>
        <v>11285.718089690554</v>
      </c>
      <c r="U184">
        <v>72.900000000000006</v>
      </c>
      <c r="V184">
        <v>0.4</v>
      </c>
      <c r="W184">
        <v>0</v>
      </c>
    </row>
    <row r="185" spans="1:25" x14ac:dyDescent="0.25">
      <c r="A185" t="s">
        <v>57</v>
      </c>
      <c r="B185" t="s">
        <v>58</v>
      </c>
      <c r="C185">
        <v>4</v>
      </c>
      <c r="D185">
        <v>2</v>
      </c>
      <c r="E185">
        <f t="shared" si="58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f t="shared" si="40"/>
        <v>4.6112699590305661</v>
      </c>
      <c r="P185">
        <f t="shared" si="41"/>
        <v>27.530880051172087</v>
      </c>
      <c r="Q185">
        <f t="shared" si="59"/>
        <v>69.928435329977106</v>
      </c>
      <c r="R185">
        <f t="shared" si="42"/>
        <v>2091.6393569098377</v>
      </c>
      <c r="S185">
        <f t="shared" si="43"/>
        <v>5026.7708649599563</v>
      </c>
      <c r="T185">
        <f t="shared" si="44"/>
        <v>13320.942792143884</v>
      </c>
      <c r="U185">
        <v>72.900000000000006</v>
      </c>
      <c r="V185">
        <v>0.4</v>
      </c>
      <c r="W185">
        <v>0</v>
      </c>
    </row>
    <row r="186" spans="1:25" x14ac:dyDescent="0.25">
      <c r="A186" t="s">
        <v>57</v>
      </c>
      <c r="B186" t="s">
        <v>58</v>
      </c>
      <c r="C186">
        <v>5</v>
      </c>
      <c r="D186">
        <v>2</v>
      </c>
      <c r="E186">
        <f t="shared" si="58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f t="shared" si="40"/>
        <v>4.9540670098420607</v>
      </c>
      <c r="P186">
        <f t="shared" si="41"/>
        <v>28.17511414370523</v>
      </c>
      <c r="Q186">
        <f t="shared" si="59"/>
        <v>71.564789925011283</v>
      </c>
      <c r="R186">
        <f t="shared" si="42"/>
        <v>2247.12966853338</v>
      </c>
      <c r="S186">
        <f t="shared" si="43"/>
        <v>5400.4558244012987</v>
      </c>
      <c r="T186">
        <f t="shared" si="44"/>
        <v>14311.207934663442</v>
      </c>
      <c r="U186">
        <v>72.900000000000006</v>
      </c>
      <c r="V186">
        <v>0.4</v>
      </c>
      <c r="W186">
        <v>0</v>
      </c>
    </row>
    <row r="187" spans="1:25" x14ac:dyDescent="0.25">
      <c r="A187" t="s">
        <v>57</v>
      </c>
      <c r="B187" t="s">
        <v>58</v>
      </c>
      <c r="C187">
        <v>6</v>
      </c>
      <c r="D187">
        <v>2</v>
      </c>
      <c r="E187">
        <f t="shared" si="58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f t="shared" si="40"/>
        <v>5.1135606788957313</v>
      </c>
      <c r="P187">
        <f t="shared" si="41"/>
        <v>28.464587181152147</v>
      </c>
      <c r="Q187">
        <f t="shared" si="59"/>
        <v>72.300051440126452</v>
      </c>
      <c r="R187">
        <f t="shared" si="42"/>
        <v>2319.4748659159995</v>
      </c>
      <c r="S187">
        <f t="shared" si="43"/>
        <v>5574.320754424416</v>
      </c>
      <c r="T187">
        <f t="shared" si="44"/>
        <v>14771.949999224702</v>
      </c>
      <c r="U187">
        <v>72.900000000000006</v>
      </c>
      <c r="V187">
        <v>0.4</v>
      </c>
      <c r="W187">
        <v>0</v>
      </c>
    </row>
    <row r="188" spans="1:25" x14ac:dyDescent="0.25">
      <c r="A188" t="s">
        <v>57</v>
      </c>
      <c r="B188" t="s">
        <v>58</v>
      </c>
      <c r="C188">
        <v>7</v>
      </c>
      <c r="D188">
        <v>2</v>
      </c>
      <c r="E188">
        <f t="shared" si="58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f t="shared" si="40"/>
        <v>5.1863445200664673</v>
      </c>
      <c r="P188">
        <f t="shared" si="41"/>
        <v>28.594655801208031</v>
      </c>
      <c r="Q188">
        <f t="shared" si="59"/>
        <v>72.6304257350684</v>
      </c>
      <c r="R188">
        <f t="shared" si="42"/>
        <v>2352.4891001925353</v>
      </c>
      <c r="S188">
        <f t="shared" si="43"/>
        <v>5653.6628218998685</v>
      </c>
      <c r="T188">
        <f t="shared" si="44"/>
        <v>14982.206478034652</v>
      </c>
      <c r="U188">
        <v>72.900000000000006</v>
      </c>
      <c r="V188">
        <v>0.4</v>
      </c>
      <c r="W188">
        <v>0</v>
      </c>
    </row>
    <row r="189" spans="1:25" x14ac:dyDescent="0.25">
      <c r="A189" t="s">
        <v>57</v>
      </c>
      <c r="B189" t="s">
        <v>58</v>
      </c>
      <c r="C189">
        <v>8</v>
      </c>
      <c r="D189">
        <v>2</v>
      </c>
      <c r="E189">
        <f t="shared" si="58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f t="shared" si="40"/>
        <v>5.2192756664873734</v>
      </c>
      <c r="P189">
        <f t="shared" si="41"/>
        <v>28.653099399521899</v>
      </c>
      <c r="Q189">
        <f t="shared" si="59"/>
        <v>72.778872474785629</v>
      </c>
      <c r="R189">
        <f t="shared" si="42"/>
        <v>2367.426434708645</v>
      </c>
      <c r="S189">
        <f t="shared" si="43"/>
        <v>5689.5612465961185</v>
      </c>
      <c r="T189">
        <f t="shared" si="44"/>
        <v>15077.337303479713</v>
      </c>
      <c r="U189">
        <v>72.900000000000006</v>
      </c>
      <c r="V189">
        <v>0.4</v>
      </c>
      <c r="W189">
        <v>0</v>
      </c>
    </row>
    <row r="190" spans="1:25" x14ac:dyDescent="0.25">
      <c r="A190" t="s">
        <v>57</v>
      </c>
      <c r="B190" t="s">
        <v>58</v>
      </c>
      <c r="C190">
        <v>9</v>
      </c>
      <c r="D190">
        <v>2</v>
      </c>
      <c r="E190">
        <f t="shared" si="58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f t="shared" si="40"/>
        <v>5.2341185935672314</v>
      </c>
      <c r="P190">
        <f t="shared" si="41"/>
        <v>28.67935980101155</v>
      </c>
      <c r="Q190">
        <f t="shared" si="59"/>
        <v>72.845573894569341</v>
      </c>
      <c r="R190">
        <f t="shared" si="42"/>
        <v>2374.1590811873389</v>
      </c>
      <c r="S190">
        <f t="shared" si="43"/>
        <v>5705.7416034302787</v>
      </c>
      <c r="T190">
        <f t="shared" si="44"/>
        <v>15120.215249090237</v>
      </c>
      <c r="U190">
        <v>72.900000000000006</v>
      </c>
      <c r="V190">
        <v>0.4</v>
      </c>
      <c r="W190">
        <v>0</v>
      </c>
    </row>
    <row r="191" spans="1:25" x14ac:dyDescent="0.25">
      <c r="A191" t="s">
        <v>57</v>
      </c>
      <c r="B191" t="s">
        <v>58</v>
      </c>
      <c r="C191">
        <v>10</v>
      </c>
      <c r="D191">
        <v>2</v>
      </c>
      <c r="E191">
        <f t="shared" si="58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f t="shared" si="40"/>
        <v>5.2407972511841665</v>
      </c>
      <c r="P191">
        <f t="shared" si="41"/>
        <v>28.691159360010204</v>
      </c>
      <c r="Q191">
        <f t="shared" si="59"/>
        <v>72.875544774425919</v>
      </c>
      <c r="R191">
        <f t="shared" si="42"/>
        <v>2377.1884729269291</v>
      </c>
      <c r="S191">
        <f t="shared" si="43"/>
        <v>5713.0220450058378</v>
      </c>
      <c r="T191">
        <f t="shared" si="44"/>
        <v>15139.50841926547</v>
      </c>
      <c r="U191">
        <v>72.900000000000006</v>
      </c>
      <c r="V191">
        <v>0.4</v>
      </c>
      <c r="W191">
        <v>0</v>
      </c>
    </row>
    <row r="192" spans="1:25" x14ac:dyDescent="0.25">
      <c r="A192" t="s">
        <v>59</v>
      </c>
      <c r="B192" t="s">
        <v>60</v>
      </c>
      <c r="C192">
        <v>1</v>
      </c>
      <c r="D192">
        <v>2</v>
      </c>
      <c r="E192">
        <f t="shared" si="58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f t="shared" si="40"/>
        <v>1.4079247080738808</v>
      </c>
      <c r="P192">
        <f t="shared" si="41"/>
        <v>11.818575229523548</v>
      </c>
      <c r="Q192">
        <f t="shared" ref="Q192:Q201" si="60">263.2*(1-EXP(-0.07*(E192-0.27)))</f>
        <v>30.01918108298981</v>
      </c>
      <c r="R192">
        <f t="shared" si="42"/>
        <v>638.62466460155531</v>
      </c>
      <c r="S192">
        <f t="shared" si="43"/>
        <v>1534.7865046901115</v>
      </c>
      <c r="T192">
        <f t="shared" si="44"/>
        <v>4067.1842374287953</v>
      </c>
      <c r="U192">
        <v>263.2</v>
      </c>
      <c r="V192">
        <v>7.0000000000000007E-2</v>
      </c>
      <c r="W192">
        <v>0.27</v>
      </c>
      <c r="Y192" t="s">
        <v>609</v>
      </c>
    </row>
    <row r="193" spans="1:25" x14ac:dyDescent="0.25">
      <c r="A193" t="s">
        <v>59</v>
      </c>
      <c r="B193" t="s">
        <v>60</v>
      </c>
      <c r="C193">
        <v>2</v>
      </c>
      <c r="D193">
        <v>2</v>
      </c>
      <c r="E193">
        <f t="shared" si="58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f t="shared" si="40"/>
        <v>12.350698548657491</v>
      </c>
      <c r="P193">
        <f t="shared" si="41"/>
        <v>23.811942810023442</v>
      </c>
      <c r="Q193">
        <f t="shared" si="60"/>
        <v>60.482334737459546</v>
      </c>
      <c r="R193">
        <f t="shared" si="42"/>
        <v>5602.1892882480834</v>
      </c>
      <c r="S193">
        <f t="shared" si="43"/>
        <v>13463.564739841586</v>
      </c>
      <c r="T193">
        <f t="shared" si="44"/>
        <v>35678.446560580203</v>
      </c>
      <c r="U193">
        <v>263.2</v>
      </c>
      <c r="V193">
        <v>7.0000000000000007E-2</v>
      </c>
      <c r="W193">
        <v>0.27</v>
      </c>
    </row>
    <row r="194" spans="1:25" x14ac:dyDescent="0.25">
      <c r="A194" t="s">
        <v>59</v>
      </c>
      <c r="B194" t="s">
        <v>60</v>
      </c>
      <c r="C194">
        <v>3</v>
      </c>
      <c r="D194">
        <v>2</v>
      </c>
      <c r="E194">
        <f t="shared" si="58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f t="shared" ref="O194:O257" si="61">R194*0.00220462</f>
        <v>38.073451818461308</v>
      </c>
      <c r="P194">
        <f t="shared" ref="P194:P257" si="62">Q194/2.54</f>
        <v>34.238475686296084</v>
      </c>
      <c r="Q194">
        <f t="shared" si="60"/>
        <v>86.965728243192046</v>
      </c>
      <c r="R194">
        <f t="shared" ref="R194:R257" si="63">L194*(Q194^M194)</f>
        <v>17269.847782593512</v>
      </c>
      <c r="S194">
        <f t="shared" ref="S194:S257" si="64">R194/20/5.7/3.65*1000</f>
        <v>41504.080227333594</v>
      </c>
      <c r="T194">
        <f t="shared" ref="T194:T257" si="65">S194*2.65</f>
        <v>109985.81260243402</v>
      </c>
      <c r="U194">
        <v>263.2</v>
      </c>
      <c r="V194">
        <v>7.0000000000000007E-2</v>
      </c>
      <c r="W194">
        <v>0.27</v>
      </c>
    </row>
    <row r="195" spans="1:25" x14ac:dyDescent="0.25">
      <c r="A195" t="s">
        <v>59</v>
      </c>
      <c r="B195" t="s">
        <v>60</v>
      </c>
      <c r="C195">
        <v>4</v>
      </c>
      <c r="D195">
        <v>2</v>
      </c>
      <c r="E195">
        <f t="shared" si="58"/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f t="shared" si="61"/>
        <v>78.854992162426996</v>
      </c>
      <c r="P195">
        <f t="shared" si="62"/>
        <v>43.302867908940087</v>
      </c>
      <c r="Q195">
        <f t="shared" si="60"/>
        <v>109.98928448870782</v>
      </c>
      <c r="R195">
        <f t="shared" si="63"/>
        <v>35768.065318479828</v>
      </c>
      <c r="S195">
        <f t="shared" si="64"/>
        <v>85960.262721653038</v>
      </c>
      <c r="T195">
        <f t="shared" si="65"/>
        <v>227794.69621238054</v>
      </c>
      <c r="U195">
        <v>263.2</v>
      </c>
      <c r="V195">
        <v>7.0000000000000007E-2</v>
      </c>
      <c r="W195">
        <v>0.27</v>
      </c>
    </row>
    <row r="196" spans="1:25" x14ac:dyDescent="0.25">
      <c r="A196" t="s">
        <v>59</v>
      </c>
      <c r="B196" t="s">
        <v>60</v>
      </c>
      <c r="C196">
        <v>5</v>
      </c>
      <c r="D196">
        <v>2</v>
      </c>
      <c r="E196">
        <f t="shared" si="58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f t="shared" si="61"/>
        <v>132.40952428635586</v>
      </c>
      <c r="P196">
        <f t="shared" si="62"/>
        <v>51.183071936580546</v>
      </c>
      <c r="Q196">
        <f t="shared" si="60"/>
        <v>130.0050027189146</v>
      </c>
      <c r="R196">
        <f t="shared" si="63"/>
        <v>60060.021358037149</v>
      </c>
      <c r="S196">
        <f t="shared" si="64"/>
        <v>144340.3541409208</v>
      </c>
      <c r="T196">
        <f t="shared" si="65"/>
        <v>382501.93847344012</v>
      </c>
      <c r="U196">
        <v>263.2</v>
      </c>
      <c r="V196">
        <v>7.0000000000000007E-2</v>
      </c>
      <c r="W196">
        <v>0.27</v>
      </c>
    </row>
    <row r="197" spans="1:25" x14ac:dyDescent="0.25">
      <c r="A197" t="s">
        <v>59</v>
      </c>
      <c r="B197" t="s">
        <v>60</v>
      </c>
      <c r="C197">
        <v>6</v>
      </c>
      <c r="D197">
        <v>2</v>
      </c>
      <c r="E197">
        <f t="shared" si="58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f t="shared" si="61"/>
        <v>195.45126801943385</v>
      </c>
      <c r="P197">
        <f t="shared" si="62"/>
        <v>58.033792204632618</v>
      </c>
      <c r="Q197">
        <f t="shared" si="60"/>
        <v>147.40583219976685</v>
      </c>
      <c r="R197">
        <f t="shared" si="63"/>
        <v>88655.309313820006</v>
      </c>
      <c r="S197">
        <f t="shared" si="64"/>
        <v>213062.50736318194</v>
      </c>
      <c r="T197">
        <f t="shared" si="65"/>
        <v>564615.64451243216</v>
      </c>
      <c r="U197">
        <v>263.2</v>
      </c>
      <c r="V197">
        <v>7.0000000000000007E-2</v>
      </c>
      <c r="W197">
        <v>0.27</v>
      </c>
    </row>
    <row r="198" spans="1:25" x14ac:dyDescent="0.25">
      <c r="A198" t="s">
        <v>59</v>
      </c>
      <c r="B198" t="s">
        <v>60</v>
      </c>
      <c r="C198">
        <v>7</v>
      </c>
      <c r="D198">
        <v>2</v>
      </c>
      <c r="E198">
        <f t="shared" si="58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f t="shared" si="61"/>
        <v>264.58488888747956</v>
      </c>
      <c r="P198">
        <f t="shared" si="62"/>
        <v>63.989522288077197</v>
      </c>
      <c r="Q198">
        <f t="shared" si="60"/>
        <v>162.53338661171608</v>
      </c>
      <c r="R198">
        <f t="shared" si="63"/>
        <v>120013.82954317731</v>
      </c>
      <c r="S198">
        <f t="shared" si="64"/>
        <v>288425.44951496593</v>
      </c>
      <c r="T198">
        <f t="shared" si="65"/>
        <v>764327.44121465972</v>
      </c>
      <c r="U198">
        <v>263.2</v>
      </c>
      <c r="V198">
        <v>7.0000000000000007E-2</v>
      </c>
      <c r="W198">
        <v>0.27</v>
      </c>
    </row>
    <row r="199" spans="1:25" x14ac:dyDescent="0.25">
      <c r="A199" t="s">
        <v>59</v>
      </c>
      <c r="B199" t="s">
        <v>60</v>
      </c>
      <c r="C199">
        <v>8</v>
      </c>
      <c r="D199">
        <v>2</v>
      </c>
      <c r="E199">
        <f t="shared" si="58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f t="shared" si="61"/>
        <v>336.75795576802403</v>
      </c>
      <c r="P199">
        <f t="shared" si="62"/>
        <v>69.16718528393217</v>
      </c>
      <c r="Q199">
        <f t="shared" si="60"/>
        <v>175.6846506211877</v>
      </c>
      <c r="R199">
        <f t="shared" si="63"/>
        <v>152751.02093241649</v>
      </c>
      <c r="S199">
        <f t="shared" si="64"/>
        <v>367101.70856144308</v>
      </c>
      <c r="T199">
        <f t="shared" si="65"/>
        <v>972819.5276878241</v>
      </c>
      <c r="U199">
        <v>263.2</v>
      </c>
      <c r="V199">
        <v>7.0000000000000007E-2</v>
      </c>
      <c r="W199">
        <v>0.27</v>
      </c>
    </row>
    <row r="200" spans="1:25" x14ac:dyDescent="0.25">
      <c r="A200" t="s">
        <v>59</v>
      </c>
      <c r="B200" t="s">
        <v>60</v>
      </c>
      <c r="C200">
        <v>9</v>
      </c>
      <c r="D200">
        <v>2</v>
      </c>
      <c r="E200">
        <f t="shared" si="58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f t="shared" si="61"/>
        <v>409.44909648971856</v>
      </c>
      <c r="P200">
        <f t="shared" si="62"/>
        <v>73.668429249498331</v>
      </c>
      <c r="Q200">
        <f t="shared" si="60"/>
        <v>187.11781029372577</v>
      </c>
      <c r="R200">
        <f t="shared" si="63"/>
        <v>185723.20694256542</v>
      </c>
      <c r="S200">
        <f t="shared" si="64"/>
        <v>446342.72276511759</v>
      </c>
      <c r="T200">
        <f t="shared" si="65"/>
        <v>1182808.2153275616</v>
      </c>
      <c r="U200">
        <v>263.2</v>
      </c>
      <c r="V200">
        <v>7.0000000000000007E-2</v>
      </c>
      <c r="W200">
        <v>0.27</v>
      </c>
    </row>
    <row r="201" spans="1:25" x14ac:dyDescent="0.25">
      <c r="A201" t="s">
        <v>59</v>
      </c>
      <c r="B201" t="s">
        <v>60</v>
      </c>
      <c r="C201">
        <v>10</v>
      </c>
      <c r="D201">
        <v>2</v>
      </c>
      <c r="E201">
        <f t="shared" si="58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f t="shared" si="61"/>
        <v>480.70651748495408</v>
      </c>
      <c r="P201">
        <f t="shared" si="62"/>
        <v>77.581622760502455</v>
      </c>
      <c r="Q201">
        <f t="shared" si="60"/>
        <v>197.05732181167625</v>
      </c>
      <c r="R201">
        <f t="shared" si="63"/>
        <v>218045.06785067453</v>
      </c>
      <c r="S201">
        <f t="shared" si="64"/>
        <v>524020.83117201278</v>
      </c>
      <c r="T201">
        <f t="shared" si="65"/>
        <v>1388655.2026058338</v>
      </c>
      <c r="U201">
        <v>263.2</v>
      </c>
      <c r="V201">
        <v>7.0000000000000007E-2</v>
      </c>
      <c r="W201">
        <v>0.27</v>
      </c>
    </row>
    <row r="202" spans="1:25" x14ac:dyDescent="0.25">
      <c r="A202" t="s">
        <v>61</v>
      </c>
      <c r="B202" t="s">
        <v>62</v>
      </c>
      <c r="C202">
        <v>1</v>
      </c>
      <c r="D202">
        <v>1</v>
      </c>
      <c r="E202">
        <f t="shared" si="58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f t="shared" si="61"/>
        <v>2.5441272143766646E-3</v>
      </c>
      <c r="P202">
        <f t="shared" si="62"/>
        <v>1.7793633426790521</v>
      </c>
      <c r="Q202">
        <f t="shared" ref="Q202:Q211" si="66">33.7*(1-EXP(-0.32*(E202-0.55)))</f>
        <v>4.5195828904047923</v>
      </c>
      <c r="R202">
        <f t="shared" si="63"/>
        <v>1.1539980651435007</v>
      </c>
      <c r="S202">
        <f t="shared" si="64"/>
        <v>2.773367135648884</v>
      </c>
      <c r="T202">
        <f t="shared" si="65"/>
        <v>7.349422909469542</v>
      </c>
      <c r="U202">
        <v>33.700000000000003</v>
      </c>
      <c r="V202">
        <v>0.32</v>
      </c>
      <c r="W202">
        <v>0.55000000000000004</v>
      </c>
      <c r="Y202" t="s">
        <v>610</v>
      </c>
    </row>
    <row r="203" spans="1:25" x14ac:dyDescent="0.25">
      <c r="A203" t="s">
        <v>61</v>
      </c>
      <c r="B203" t="s">
        <v>62</v>
      </c>
      <c r="C203">
        <v>2</v>
      </c>
      <c r="D203">
        <v>1</v>
      </c>
      <c r="E203">
        <f t="shared" si="58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f t="shared" si="61"/>
        <v>5.3961656859975192E-2</v>
      </c>
      <c r="P203">
        <f t="shared" si="62"/>
        <v>4.9254599269522767</v>
      </c>
      <c r="Q203">
        <f t="shared" si="66"/>
        <v>12.510668214458784</v>
      </c>
      <c r="R203">
        <f t="shared" si="63"/>
        <v>24.476624933083794</v>
      </c>
      <c r="S203">
        <f t="shared" si="64"/>
        <v>58.823900343868765</v>
      </c>
      <c r="T203">
        <f t="shared" si="65"/>
        <v>155.88333591125223</v>
      </c>
      <c r="U203">
        <v>33.700000000000003</v>
      </c>
      <c r="V203">
        <v>0.32</v>
      </c>
      <c r="W203">
        <v>0.55000000000000004</v>
      </c>
    </row>
    <row r="204" spans="1:25" x14ac:dyDescent="0.25">
      <c r="A204" t="s">
        <v>61</v>
      </c>
      <c r="B204" t="s">
        <v>62</v>
      </c>
      <c r="C204">
        <v>3</v>
      </c>
      <c r="D204">
        <v>1</v>
      </c>
      <c r="E204">
        <f t="shared" si="58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f t="shared" si="61"/>
        <v>0.16925822579919275</v>
      </c>
      <c r="P204">
        <f t="shared" si="62"/>
        <v>7.2099949321631094</v>
      </c>
      <c r="Q204">
        <f t="shared" si="66"/>
        <v>18.313387127694298</v>
      </c>
      <c r="R204">
        <f t="shared" si="63"/>
        <v>76.774331086170292</v>
      </c>
      <c r="S204">
        <f t="shared" si="64"/>
        <v>184.5093272919257</v>
      </c>
      <c r="T204">
        <f t="shared" si="65"/>
        <v>488.94971732360307</v>
      </c>
      <c r="U204">
        <v>33.700000000000003</v>
      </c>
      <c r="V204">
        <v>0.32</v>
      </c>
      <c r="W204">
        <v>0.55000000000000004</v>
      </c>
    </row>
    <row r="205" spans="1:25" x14ac:dyDescent="0.25">
      <c r="A205" t="s">
        <v>61</v>
      </c>
      <c r="B205" t="s">
        <v>62</v>
      </c>
      <c r="C205">
        <v>4</v>
      </c>
      <c r="D205">
        <v>1</v>
      </c>
      <c r="E205">
        <f t="shared" si="58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f t="shared" si="61"/>
        <v>0.31503247839267406</v>
      </c>
      <c r="P205">
        <f t="shared" si="62"/>
        <v>8.8689078263580932</v>
      </c>
      <c r="Q205">
        <f t="shared" si="66"/>
        <v>22.527025878949555</v>
      </c>
      <c r="R205">
        <f t="shared" si="63"/>
        <v>142.89649844085332</v>
      </c>
      <c r="S205">
        <f t="shared" si="64"/>
        <v>343.41864561608588</v>
      </c>
      <c r="T205">
        <f t="shared" si="65"/>
        <v>910.0594108826275</v>
      </c>
      <c r="U205">
        <v>33.700000000000003</v>
      </c>
      <c r="V205">
        <v>0.32</v>
      </c>
      <c r="W205">
        <v>0.55000000000000004</v>
      </c>
    </row>
    <row r="206" spans="1:25" x14ac:dyDescent="0.25">
      <c r="A206" t="s">
        <v>61</v>
      </c>
      <c r="B206" t="s">
        <v>62</v>
      </c>
      <c r="C206">
        <v>5</v>
      </c>
      <c r="D206">
        <v>1</v>
      </c>
      <c r="E206">
        <f t="shared" si="58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f t="shared" si="61"/>
        <v>0.46162510404551982</v>
      </c>
      <c r="P206">
        <f t="shared" si="62"/>
        <v>10.073525827066911</v>
      </c>
      <c r="Q206">
        <f t="shared" si="66"/>
        <v>25.586755600749953</v>
      </c>
      <c r="R206">
        <f t="shared" si="63"/>
        <v>209.38987401253723</v>
      </c>
      <c r="S206">
        <f t="shared" si="64"/>
        <v>503.22007693472062</v>
      </c>
      <c r="T206">
        <f t="shared" si="65"/>
        <v>1333.5332038770096</v>
      </c>
      <c r="U206">
        <v>33.700000000000003</v>
      </c>
      <c r="V206">
        <v>0.32</v>
      </c>
      <c r="W206">
        <v>0.55000000000000004</v>
      </c>
    </row>
    <row r="207" spans="1:25" x14ac:dyDescent="0.25">
      <c r="A207" t="s">
        <v>61</v>
      </c>
      <c r="B207" t="s">
        <v>62</v>
      </c>
      <c r="C207">
        <v>6</v>
      </c>
      <c r="D207">
        <v>1</v>
      </c>
      <c r="E207">
        <f t="shared" si="58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f t="shared" si="61"/>
        <v>0.59262501419292635</v>
      </c>
      <c r="P207">
        <f t="shared" si="62"/>
        <v>10.948258028323252</v>
      </c>
      <c r="Q207">
        <f t="shared" si="66"/>
        <v>27.808575391941062</v>
      </c>
      <c r="R207">
        <f t="shared" si="63"/>
        <v>268.81050439210674</v>
      </c>
      <c r="S207">
        <f t="shared" si="64"/>
        <v>646.0238029130179</v>
      </c>
      <c r="T207">
        <f t="shared" si="65"/>
        <v>1711.9630777194973</v>
      </c>
      <c r="U207">
        <v>33.700000000000003</v>
      </c>
      <c r="V207">
        <v>0.32</v>
      </c>
      <c r="W207">
        <v>0.55000000000000004</v>
      </c>
    </row>
    <row r="208" spans="1:25" x14ac:dyDescent="0.25">
      <c r="A208" t="s">
        <v>61</v>
      </c>
      <c r="B208" t="s">
        <v>62</v>
      </c>
      <c r="C208">
        <v>7</v>
      </c>
      <c r="D208">
        <v>1</v>
      </c>
      <c r="E208">
        <f t="shared" si="58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f t="shared" si="61"/>
        <v>0.70187215487787324</v>
      </c>
      <c r="P208">
        <f t="shared" si="62"/>
        <v>11.583443973962897</v>
      </c>
      <c r="Q208">
        <f t="shared" si="66"/>
        <v>29.421947693865757</v>
      </c>
      <c r="R208">
        <f t="shared" si="63"/>
        <v>318.36423278291642</v>
      </c>
      <c r="S208">
        <f t="shared" si="64"/>
        <v>765.1147146909791</v>
      </c>
      <c r="T208">
        <f t="shared" si="65"/>
        <v>2027.5539939310945</v>
      </c>
      <c r="U208">
        <v>33.700000000000003</v>
      </c>
      <c r="V208">
        <v>0.32</v>
      </c>
      <c r="W208">
        <v>0.55000000000000004</v>
      </c>
    </row>
    <row r="209" spans="1:25" x14ac:dyDescent="0.25">
      <c r="A209" t="s">
        <v>61</v>
      </c>
      <c r="B209" t="s">
        <v>62</v>
      </c>
      <c r="C209">
        <v>8</v>
      </c>
      <c r="D209">
        <v>1</v>
      </c>
      <c r="E209">
        <f t="shared" si="58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f t="shared" si="61"/>
        <v>0.7890982822677115</v>
      </c>
      <c r="P209">
        <f t="shared" si="62"/>
        <v>12.044683636751865</v>
      </c>
      <c r="Q209">
        <f t="shared" si="66"/>
        <v>30.593496437349735</v>
      </c>
      <c r="R209">
        <f t="shared" si="63"/>
        <v>357.92938568447693</v>
      </c>
      <c r="S209">
        <f t="shared" si="64"/>
        <v>860.20039818427529</v>
      </c>
      <c r="T209">
        <f t="shared" si="65"/>
        <v>2279.5310551883294</v>
      </c>
      <c r="U209">
        <v>33.700000000000003</v>
      </c>
      <c r="V209">
        <v>0.32</v>
      </c>
      <c r="W209">
        <v>0.55000000000000004</v>
      </c>
    </row>
    <row r="210" spans="1:25" x14ac:dyDescent="0.25">
      <c r="A210" t="s">
        <v>61</v>
      </c>
      <c r="B210" t="s">
        <v>62</v>
      </c>
      <c r="C210">
        <v>9</v>
      </c>
      <c r="D210">
        <v>1</v>
      </c>
      <c r="E210">
        <f t="shared" si="58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f t="shared" si="61"/>
        <v>0.85677353898074948</v>
      </c>
      <c r="P210">
        <f t="shared" si="62"/>
        <v>12.379612373746269</v>
      </c>
      <c r="Q210">
        <f t="shared" si="66"/>
        <v>31.444215429315523</v>
      </c>
      <c r="R210">
        <f t="shared" si="63"/>
        <v>388.6264022737476</v>
      </c>
      <c r="S210">
        <f t="shared" si="64"/>
        <v>933.97356951152983</v>
      </c>
      <c r="T210">
        <f t="shared" si="65"/>
        <v>2475.029959205554</v>
      </c>
      <c r="U210">
        <v>33.700000000000003</v>
      </c>
      <c r="V210">
        <v>0.32</v>
      </c>
      <c r="W210">
        <v>0.55000000000000004</v>
      </c>
    </row>
    <row r="211" spans="1:25" x14ac:dyDescent="0.25">
      <c r="A211" t="s">
        <v>61</v>
      </c>
      <c r="B211" t="s">
        <v>62</v>
      </c>
      <c r="C211">
        <v>10</v>
      </c>
      <c r="D211">
        <v>1</v>
      </c>
      <c r="E211">
        <f t="shared" si="58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f t="shared" si="61"/>
        <v>0.9082682453704467</v>
      </c>
      <c r="P211">
        <f t="shared" si="62"/>
        <v>12.622820553603063</v>
      </c>
      <c r="Q211">
        <f t="shared" si="66"/>
        <v>32.061964206151778</v>
      </c>
      <c r="R211">
        <f t="shared" si="63"/>
        <v>411.98403596558438</v>
      </c>
      <c r="S211">
        <f t="shared" si="64"/>
        <v>990.10823351498277</v>
      </c>
      <c r="T211">
        <f t="shared" si="65"/>
        <v>2623.7868188147045</v>
      </c>
      <c r="U211">
        <v>33.700000000000003</v>
      </c>
      <c r="V211">
        <v>0.32</v>
      </c>
      <c r="W211">
        <v>0.55000000000000004</v>
      </c>
    </row>
    <row r="212" spans="1:25" x14ac:dyDescent="0.25">
      <c r="A212" t="s">
        <v>63</v>
      </c>
      <c r="B212" t="s">
        <v>64</v>
      </c>
      <c r="C212">
        <v>1</v>
      </c>
      <c r="D212">
        <v>2</v>
      </c>
      <c r="E212">
        <f t="shared" si="58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f t="shared" si="61"/>
        <v>0.66612204012373721</v>
      </c>
      <c r="P212">
        <f t="shared" si="62"/>
        <v>10.347995317804822</v>
      </c>
      <c r="Q212">
        <f t="shared" ref="Q212:Q221" si="67">42.5*(1-EXP(-0.47*(E212+0.05)))</f>
        <v>26.283908107224249</v>
      </c>
      <c r="R212">
        <f t="shared" si="63"/>
        <v>302.14823421892987</v>
      </c>
      <c r="S212">
        <f t="shared" si="64"/>
        <v>726.1433170366015</v>
      </c>
      <c r="T212">
        <f t="shared" si="65"/>
        <v>1924.2797901469939</v>
      </c>
      <c r="U212">
        <v>42.5</v>
      </c>
      <c r="V212">
        <v>0.47</v>
      </c>
      <c r="W212">
        <v>0.05</v>
      </c>
      <c r="Y212" t="s">
        <v>611</v>
      </c>
    </row>
    <row r="213" spans="1:25" x14ac:dyDescent="0.25">
      <c r="A213" t="s">
        <v>63</v>
      </c>
      <c r="B213" t="s">
        <v>64</v>
      </c>
      <c r="C213">
        <v>2</v>
      </c>
      <c r="D213">
        <v>2</v>
      </c>
      <c r="E213">
        <f t="shared" si="58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f t="shared" si="61"/>
        <v>1.7915521851661977</v>
      </c>
      <c r="P213">
        <f t="shared" si="62"/>
        <v>14.238402805492182</v>
      </c>
      <c r="Q213">
        <f t="shared" si="67"/>
        <v>36.165543125950144</v>
      </c>
      <c r="R213">
        <f t="shared" si="63"/>
        <v>812.63536807531352</v>
      </c>
      <c r="S213">
        <f t="shared" si="64"/>
        <v>1952.9809374556924</v>
      </c>
      <c r="T213">
        <f t="shared" si="65"/>
        <v>5175.3994842575848</v>
      </c>
      <c r="U213">
        <v>42.5</v>
      </c>
      <c r="V213">
        <v>0.47</v>
      </c>
      <c r="W213">
        <v>0.05</v>
      </c>
    </row>
    <row r="214" spans="1:25" x14ac:dyDescent="0.25">
      <c r="A214" t="s">
        <v>63</v>
      </c>
      <c r="B214" t="s">
        <v>64</v>
      </c>
      <c r="C214">
        <v>3</v>
      </c>
      <c r="D214">
        <v>2</v>
      </c>
      <c r="E214">
        <f t="shared" si="58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f t="shared" si="61"/>
        <v>2.453363028377916</v>
      </c>
      <c r="P214">
        <f t="shared" si="62"/>
        <v>15.758104261070079</v>
      </c>
      <c r="Q214">
        <f t="shared" si="67"/>
        <v>40.025584823118002</v>
      </c>
      <c r="R214">
        <f t="shared" si="63"/>
        <v>1112.8280739437707</v>
      </c>
      <c r="S214">
        <f t="shared" si="64"/>
        <v>2674.4245949141327</v>
      </c>
      <c r="T214">
        <f t="shared" si="65"/>
        <v>7087.2251765224519</v>
      </c>
      <c r="U214">
        <v>42.5</v>
      </c>
      <c r="V214">
        <v>0.47</v>
      </c>
      <c r="W214">
        <v>0.05</v>
      </c>
    </row>
    <row r="215" spans="1:25" x14ac:dyDescent="0.25">
      <c r="A215" t="s">
        <v>63</v>
      </c>
      <c r="B215" t="s">
        <v>64</v>
      </c>
      <c r="C215">
        <v>4</v>
      </c>
      <c r="D215">
        <v>2</v>
      </c>
      <c r="E215">
        <f t="shared" si="58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f t="shared" si="61"/>
        <v>2.7513636013439866</v>
      </c>
      <c r="P215">
        <f t="shared" si="62"/>
        <v>16.351741951053665</v>
      </c>
      <c r="Q215">
        <f t="shared" si="67"/>
        <v>41.533424555676312</v>
      </c>
      <c r="R215">
        <f t="shared" si="63"/>
        <v>1247.9990208489385</v>
      </c>
      <c r="S215">
        <f t="shared" si="64"/>
        <v>2999.276666303625</v>
      </c>
      <c r="T215">
        <f t="shared" si="65"/>
        <v>7948.0831657046056</v>
      </c>
      <c r="U215">
        <v>42.5</v>
      </c>
      <c r="V215">
        <v>0.47</v>
      </c>
      <c r="W215">
        <v>0.05</v>
      </c>
    </row>
    <row r="216" spans="1:25" x14ac:dyDescent="0.25">
      <c r="A216" t="s">
        <v>63</v>
      </c>
      <c r="B216" t="s">
        <v>64</v>
      </c>
      <c r="C216">
        <v>5</v>
      </c>
      <c r="D216">
        <v>2</v>
      </c>
      <c r="E216">
        <f t="shared" si="58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f t="shared" si="61"/>
        <v>2.8741308861100814</v>
      </c>
      <c r="P216">
        <f t="shared" si="62"/>
        <v>16.583633356879186</v>
      </c>
      <c r="Q216">
        <f t="shared" si="67"/>
        <v>42.122428726473139</v>
      </c>
      <c r="R216">
        <f t="shared" si="63"/>
        <v>1303.6853907295051</v>
      </c>
      <c r="S216">
        <f t="shared" si="64"/>
        <v>3133.1059618589406</v>
      </c>
      <c r="T216">
        <f t="shared" si="65"/>
        <v>8302.7307989261917</v>
      </c>
      <c r="U216">
        <v>42.5</v>
      </c>
      <c r="V216">
        <v>0.47</v>
      </c>
      <c r="W216">
        <v>0.05</v>
      </c>
    </row>
    <row r="217" spans="1:25" x14ac:dyDescent="0.25">
      <c r="A217" t="s">
        <v>63</v>
      </c>
      <c r="B217" t="s">
        <v>64</v>
      </c>
      <c r="C217">
        <v>6</v>
      </c>
      <c r="D217">
        <v>2</v>
      </c>
      <c r="E217">
        <f t="shared" si="58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f t="shared" si="61"/>
        <v>2.9230777702200399</v>
      </c>
      <c r="P217">
        <f t="shared" si="62"/>
        <v>16.674216594775054</v>
      </c>
      <c r="Q217">
        <f t="shared" si="67"/>
        <v>42.352510150728641</v>
      </c>
      <c r="R217">
        <f t="shared" si="63"/>
        <v>1325.8873503007501</v>
      </c>
      <c r="S217">
        <f t="shared" si="64"/>
        <v>3186.4632307155734</v>
      </c>
      <c r="T217">
        <f t="shared" si="65"/>
        <v>8444.1275613962698</v>
      </c>
      <c r="U217">
        <v>42.5</v>
      </c>
      <c r="V217">
        <v>0.47</v>
      </c>
      <c r="W217">
        <v>0.05</v>
      </c>
    </row>
    <row r="218" spans="1:25" x14ac:dyDescent="0.25">
      <c r="A218" t="s">
        <v>63</v>
      </c>
      <c r="B218" t="s">
        <v>64</v>
      </c>
      <c r="C218">
        <v>7</v>
      </c>
      <c r="D218">
        <v>2</v>
      </c>
      <c r="E218">
        <f t="shared" si="58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f t="shared" si="61"/>
        <v>2.9423501357565467</v>
      </c>
      <c r="P218">
        <f t="shared" si="62"/>
        <v>16.709600928914085</v>
      </c>
      <c r="Q218">
        <f t="shared" si="67"/>
        <v>42.442386359441777</v>
      </c>
      <c r="R218">
        <f t="shared" si="63"/>
        <v>1334.6291586561615</v>
      </c>
      <c r="S218">
        <f t="shared" si="64"/>
        <v>3207.4721428891166</v>
      </c>
      <c r="T218">
        <f t="shared" si="65"/>
        <v>8499.8011786561583</v>
      </c>
      <c r="U218">
        <v>42.5</v>
      </c>
      <c r="V218">
        <v>0.47</v>
      </c>
      <c r="W218">
        <v>0.05</v>
      </c>
    </row>
    <row r="219" spans="1:25" x14ac:dyDescent="0.25">
      <c r="A219" t="s">
        <v>63</v>
      </c>
      <c r="B219" t="s">
        <v>64</v>
      </c>
      <c r="C219">
        <v>8</v>
      </c>
      <c r="D219">
        <v>2</v>
      </c>
      <c r="E219">
        <f t="shared" si="58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f t="shared" si="61"/>
        <v>2.9499017768610618</v>
      </c>
      <c r="P219">
        <f t="shared" si="62"/>
        <v>16.723423034764416</v>
      </c>
      <c r="Q219">
        <f t="shared" si="67"/>
        <v>42.477494508301618</v>
      </c>
      <c r="R219">
        <f t="shared" si="63"/>
        <v>1338.0545295157722</v>
      </c>
      <c r="S219">
        <f t="shared" si="64"/>
        <v>3215.7042285887342</v>
      </c>
      <c r="T219">
        <f t="shared" si="65"/>
        <v>8521.616205760145</v>
      </c>
      <c r="U219">
        <v>42.5</v>
      </c>
      <c r="V219">
        <v>0.47</v>
      </c>
      <c r="W219">
        <v>0.05</v>
      </c>
    </row>
    <row r="220" spans="1:25" x14ac:dyDescent="0.25">
      <c r="A220" t="s">
        <v>63</v>
      </c>
      <c r="B220" t="s">
        <v>64</v>
      </c>
      <c r="C220">
        <v>9</v>
      </c>
      <c r="D220">
        <v>2</v>
      </c>
      <c r="E220">
        <f t="shared" si="58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f t="shared" si="61"/>
        <v>2.9528552205434417</v>
      </c>
      <c r="P220">
        <f t="shared" si="62"/>
        <v>16.728822334052825</v>
      </c>
      <c r="Q220">
        <f t="shared" si="67"/>
        <v>42.491208728494179</v>
      </c>
      <c r="R220">
        <f t="shared" si="63"/>
        <v>1339.3941906285172</v>
      </c>
      <c r="S220">
        <f t="shared" si="64"/>
        <v>3218.9237938681017</v>
      </c>
      <c r="T220">
        <f t="shared" si="65"/>
        <v>8530.1480537504685</v>
      </c>
      <c r="U220">
        <v>42.5</v>
      </c>
      <c r="V220">
        <v>0.47</v>
      </c>
      <c r="W220">
        <v>0.05</v>
      </c>
    </row>
    <row r="221" spans="1:25" x14ac:dyDescent="0.25">
      <c r="A221" t="s">
        <v>63</v>
      </c>
      <c r="B221" t="s">
        <v>64</v>
      </c>
      <c r="C221">
        <v>10</v>
      </c>
      <c r="D221">
        <v>2</v>
      </c>
      <c r="E221">
        <f t="shared" si="58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f t="shared" si="61"/>
        <v>2.9540094617070261</v>
      </c>
      <c r="P221">
        <f t="shared" si="62"/>
        <v>16.730931450646313</v>
      </c>
      <c r="Q221">
        <f t="shared" si="67"/>
        <v>42.496565884641633</v>
      </c>
      <c r="R221">
        <f t="shared" si="63"/>
        <v>1339.9177462360979</v>
      </c>
      <c r="S221">
        <f t="shared" si="64"/>
        <v>3220.1820385390479</v>
      </c>
      <c r="T221">
        <f t="shared" si="65"/>
        <v>8533.4824021284767</v>
      </c>
      <c r="U221">
        <v>42.5</v>
      </c>
      <c r="V221">
        <v>0.47</v>
      </c>
      <c r="W221">
        <v>0.05</v>
      </c>
    </row>
    <row r="222" spans="1:25" x14ac:dyDescent="0.25">
      <c r="A222" t="s">
        <v>65</v>
      </c>
      <c r="B222" t="s">
        <v>66</v>
      </c>
      <c r="C222">
        <v>1</v>
      </c>
      <c r="D222">
        <v>3</v>
      </c>
      <c r="E222">
        <f t="shared" si="58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f t="shared" si="61"/>
        <v>2.0725590858794272</v>
      </c>
      <c r="P222">
        <f t="shared" si="62"/>
        <v>14.6531374775393</v>
      </c>
      <c r="Q222">
        <f t="shared" ref="Q222:Q231" si="68">52.7*(1-EXP(-0.35*(E222+0.5)))</f>
        <v>37.218969192949821</v>
      </c>
      <c r="R222">
        <f t="shared" si="63"/>
        <v>940.09810574131916</v>
      </c>
      <c r="S222">
        <f t="shared" si="64"/>
        <v>2259.3081128125909</v>
      </c>
      <c r="T222">
        <f t="shared" si="65"/>
        <v>5987.1664989533656</v>
      </c>
      <c r="U222">
        <v>52.7</v>
      </c>
      <c r="V222">
        <v>0.35</v>
      </c>
      <c r="W222">
        <v>-0.5</v>
      </c>
      <c r="Y222" t="s">
        <v>612</v>
      </c>
    </row>
    <row r="223" spans="1:25" x14ac:dyDescent="0.25">
      <c r="A223" t="s">
        <v>65</v>
      </c>
      <c r="B223" t="s">
        <v>66</v>
      </c>
      <c r="C223">
        <v>2</v>
      </c>
      <c r="D223">
        <v>3</v>
      </c>
      <c r="E223">
        <f t="shared" si="58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f t="shared" si="61"/>
        <v>4.3522289294250358</v>
      </c>
      <c r="P223">
        <f t="shared" si="62"/>
        <v>18.615198002149768</v>
      </c>
      <c r="Q223">
        <f t="shared" si="68"/>
        <v>47.282602925460409</v>
      </c>
      <c r="R223">
        <f t="shared" si="63"/>
        <v>1974.1401826278613</v>
      </c>
      <c r="S223">
        <f t="shared" si="64"/>
        <v>4744.3888070845023</v>
      </c>
      <c r="T223">
        <f t="shared" si="65"/>
        <v>12572.63033877393</v>
      </c>
      <c r="U223">
        <v>52.7</v>
      </c>
      <c r="V223">
        <v>0.35</v>
      </c>
      <c r="W223">
        <v>-0.5</v>
      </c>
    </row>
    <row r="224" spans="1:25" x14ac:dyDescent="0.25">
      <c r="A224" t="s">
        <v>65</v>
      </c>
      <c r="B224" t="s">
        <v>66</v>
      </c>
      <c r="C224">
        <v>3</v>
      </c>
      <c r="D224">
        <v>3</v>
      </c>
      <c r="E224">
        <f t="shared" si="58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f t="shared" si="61"/>
        <v>5.4378541571058818</v>
      </c>
      <c r="P224">
        <f t="shared" si="62"/>
        <v>20.00167254397412</v>
      </c>
      <c r="Q224">
        <f t="shared" si="68"/>
        <v>50.804248261694262</v>
      </c>
      <c r="R224">
        <f t="shared" si="63"/>
        <v>2466.5720882083451</v>
      </c>
      <c r="S224">
        <f t="shared" si="64"/>
        <v>5927.8348671193107</v>
      </c>
      <c r="T224">
        <f t="shared" si="65"/>
        <v>15708.762397866172</v>
      </c>
      <c r="U224">
        <v>52.7</v>
      </c>
      <c r="V224">
        <v>0.35</v>
      </c>
      <c r="W224">
        <v>-0.5</v>
      </c>
    </row>
    <row r="225" spans="1:25" x14ac:dyDescent="0.25">
      <c r="A225" t="s">
        <v>65</v>
      </c>
      <c r="B225" t="s">
        <v>66</v>
      </c>
      <c r="C225">
        <v>4</v>
      </c>
      <c r="D225">
        <v>3</v>
      </c>
      <c r="E225">
        <f t="shared" si="58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f t="shared" si="61"/>
        <v>5.8572696750639031</v>
      </c>
      <c r="P225">
        <f t="shared" si="62"/>
        <v>20.486852324340049</v>
      </c>
      <c r="Q225">
        <f t="shared" si="68"/>
        <v>52.036604903823729</v>
      </c>
      <c r="R225">
        <f t="shared" si="63"/>
        <v>2656.8159932613798</v>
      </c>
      <c r="S225">
        <f t="shared" si="64"/>
        <v>6385.0420410030756</v>
      </c>
      <c r="T225">
        <f t="shared" si="65"/>
        <v>16920.361408658151</v>
      </c>
      <c r="U225">
        <v>52.7</v>
      </c>
      <c r="V225">
        <v>0.35</v>
      </c>
      <c r="W225">
        <v>-0.5</v>
      </c>
    </row>
    <row r="226" spans="1:25" x14ac:dyDescent="0.25">
      <c r="A226" t="s">
        <v>65</v>
      </c>
      <c r="B226" t="s">
        <v>66</v>
      </c>
      <c r="C226">
        <v>5</v>
      </c>
      <c r="D226">
        <v>3</v>
      </c>
      <c r="E226">
        <f t="shared" si="58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f t="shared" si="61"/>
        <v>6.0090618324896212</v>
      </c>
      <c r="P226">
        <f t="shared" si="62"/>
        <v>20.65663504459555</v>
      </c>
      <c r="Q226">
        <f t="shared" si="68"/>
        <v>52.467853013272702</v>
      </c>
      <c r="R226">
        <f t="shared" si="63"/>
        <v>2725.6678395776239</v>
      </c>
      <c r="S226">
        <f t="shared" si="64"/>
        <v>6550.5115106407684</v>
      </c>
      <c r="T226">
        <f t="shared" si="65"/>
        <v>17358.855503198036</v>
      </c>
      <c r="U226">
        <v>52.7</v>
      </c>
      <c r="V226">
        <v>0.35</v>
      </c>
      <c r="W226">
        <v>-0.5</v>
      </c>
    </row>
    <row r="227" spans="1:25" x14ac:dyDescent="0.25">
      <c r="A227" t="s">
        <v>65</v>
      </c>
      <c r="B227" t="s">
        <v>66</v>
      </c>
      <c r="C227">
        <v>6</v>
      </c>
      <c r="D227">
        <v>3</v>
      </c>
      <c r="E227">
        <f t="shared" si="58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f t="shared" si="61"/>
        <v>6.0628026247891587</v>
      </c>
      <c r="P227">
        <f t="shared" si="62"/>
        <v>20.716048427559731</v>
      </c>
      <c r="Q227">
        <f t="shared" si="68"/>
        <v>52.618763006001714</v>
      </c>
      <c r="R227">
        <f t="shared" si="63"/>
        <v>2750.0442819121477</v>
      </c>
      <c r="S227">
        <f t="shared" si="64"/>
        <v>6609.0946453067718</v>
      </c>
      <c r="T227">
        <f t="shared" si="65"/>
        <v>17514.100810062944</v>
      </c>
      <c r="U227">
        <v>52.7</v>
      </c>
      <c r="V227">
        <v>0.35</v>
      </c>
      <c r="W227">
        <v>-0.5</v>
      </c>
    </row>
    <row r="228" spans="1:25" x14ac:dyDescent="0.25">
      <c r="A228" t="s">
        <v>65</v>
      </c>
      <c r="B228" t="s">
        <v>66</v>
      </c>
      <c r="C228">
        <v>7</v>
      </c>
      <c r="D228">
        <v>3</v>
      </c>
      <c r="E228">
        <f t="shared" si="58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f t="shared" si="61"/>
        <v>6.0816851845469531</v>
      </c>
      <c r="P228">
        <f t="shared" si="62"/>
        <v>20.736839413061293</v>
      </c>
      <c r="Q228">
        <f t="shared" si="68"/>
        <v>52.671572109175685</v>
      </c>
      <c r="R228">
        <f t="shared" si="63"/>
        <v>2758.6092771302779</v>
      </c>
      <c r="S228">
        <f t="shared" si="64"/>
        <v>6629.6786280468104</v>
      </c>
      <c r="T228">
        <f t="shared" si="65"/>
        <v>17568.648364324046</v>
      </c>
      <c r="U228">
        <v>52.7</v>
      </c>
      <c r="V228">
        <v>0.35</v>
      </c>
      <c r="W228">
        <v>-0.5</v>
      </c>
    </row>
    <row r="229" spans="1:25" x14ac:dyDescent="0.25">
      <c r="A229" t="s">
        <v>65</v>
      </c>
      <c r="B229" t="s">
        <v>66</v>
      </c>
      <c r="C229">
        <v>8</v>
      </c>
      <c r="D229">
        <v>3</v>
      </c>
      <c r="E229">
        <f t="shared" si="58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f t="shared" si="61"/>
        <v>6.0883023031196473</v>
      </c>
      <c r="P229">
        <f t="shared" si="62"/>
        <v>20.744114963729512</v>
      </c>
      <c r="Q229">
        <f t="shared" si="68"/>
        <v>52.690052007872964</v>
      </c>
      <c r="R229">
        <f t="shared" si="63"/>
        <v>2761.6107551957466</v>
      </c>
      <c r="S229">
        <f t="shared" si="64"/>
        <v>6636.891985570167</v>
      </c>
      <c r="T229">
        <f t="shared" si="65"/>
        <v>17587.763761760943</v>
      </c>
      <c r="U229">
        <v>52.7</v>
      </c>
      <c r="V229">
        <v>0.35</v>
      </c>
      <c r="W229">
        <v>-0.5</v>
      </c>
    </row>
    <row r="230" spans="1:25" x14ac:dyDescent="0.25">
      <c r="A230" t="s">
        <v>65</v>
      </c>
      <c r="B230" t="s">
        <v>66</v>
      </c>
      <c r="C230">
        <v>9</v>
      </c>
      <c r="D230">
        <v>3</v>
      </c>
      <c r="E230">
        <f t="shared" si="58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f t="shared" si="61"/>
        <v>6.090619034181084</v>
      </c>
      <c r="P230">
        <f t="shared" si="62"/>
        <v>20.746660953553892</v>
      </c>
      <c r="Q230">
        <f t="shared" si="68"/>
        <v>52.696518822026889</v>
      </c>
      <c r="R230">
        <f t="shared" si="63"/>
        <v>2762.6616079782839</v>
      </c>
      <c r="S230">
        <f t="shared" si="64"/>
        <v>6639.4174669028689</v>
      </c>
      <c r="T230">
        <f t="shared" si="65"/>
        <v>17594.456287292604</v>
      </c>
      <c r="U230">
        <v>52.7</v>
      </c>
      <c r="V230">
        <v>0.35</v>
      </c>
      <c r="W230">
        <v>-0.5</v>
      </c>
    </row>
    <row r="231" spans="1:25" x14ac:dyDescent="0.25">
      <c r="A231" t="s">
        <v>65</v>
      </c>
      <c r="B231" t="s">
        <v>66</v>
      </c>
      <c r="C231">
        <v>10</v>
      </c>
      <c r="D231">
        <v>3</v>
      </c>
      <c r="E231">
        <f t="shared" si="58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f t="shared" si="61"/>
        <v>6.0914298868671635</v>
      </c>
      <c r="P231">
        <f t="shared" si="62"/>
        <v>20.747551891502297</v>
      </c>
      <c r="Q231">
        <f t="shared" si="68"/>
        <v>52.698781804415837</v>
      </c>
      <c r="R231">
        <f t="shared" si="63"/>
        <v>2763.0294050072862</v>
      </c>
      <c r="S231">
        <f t="shared" si="64"/>
        <v>6640.3013818968666</v>
      </c>
      <c r="T231">
        <f t="shared" si="65"/>
        <v>17596.798662026697</v>
      </c>
      <c r="U231">
        <v>52.7</v>
      </c>
      <c r="V231">
        <v>0.35</v>
      </c>
      <c r="W231">
        <v>-0.5</v>
      </c>
    </row>
    <row r="232" spans="1:25" x14ac:dyDescent="0.25">
      <c r="A232" t="s">
        <v>67</v>
      </c>
      <c r="B232" t="s">
        <v>68</v>
      </c>
      <c r="C232">
        <v>1</v>
      </c>
      <c r="D232">
        <v>1</v>
      </c>
      <c r="E232">
        <f t="shared" si="58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f t="shared" si="61"/>
        <v>0.29562930587218395</v>
      </c>
      <c r="P232">
        <f t="shared" si="62"/>
        <v>8.1687907002764426</v>
      </c>
      <c r="Q232">
        <f t="shared" ref="Q232:Q241" si="69">40.6*(1-EXP(-0.27*(E232+1.65)))</f>
        <v>20.748728378702165</v>
      </c>
      <c r="R232">
        <f t="shared" si="63"/>
        <v>134.09535696500257</v>
      </c>
      <c r="S232">
        <f t="shared" si="64"/>
        <v>322.26714002644212</v>
      </c>
      <c r="T232">
        <f t="shared" si="65"/>
        <v>854.00792107007157</v>
      </c>
      <c r="U232">
        <v>40.6</v>
      </c>
      <c r="V232">
        <v>0.27</v>
      </c>
      <c r="W232">
        <v>-1.65</v>
      </c>
      <c r="Y232" t="s">
        <v>613</v>
      </c>
    </row>
    <row r="233" spans="1:25" x14ac:dyDescent="0.25">
      <c r="A233" t="s">
        <v>67</v>
      </c>
      <c r="B233" t="s">
        <v>68</v>
      </c>
      <c r="C233">
        <v>2</v>
      </c>
      <c r="D233">
        <v>1</v>
      </c>
      <c r="E233">
        <f t="shared" si="58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f t="shared" si="61"/>
        <v>0.55088405600369239</v>
      </c>
      <c r="P233">
        <f t="shared" si="62"/>
        <v>10.018089097555173</v>
      </c>
      <c r="Q233">
        <f t="shared" si="69"/>
        <v>25.445946307790138</v>
      </c>
      <c r="R233">
        <f t="shared" si="63"/>
        <v>249.8771017244207</v>
      </c>
      <c r="S233">
        <f t="shared" si="64"/>
        <v>600.5217537236739</v>
      </c>
      <c r="T233">
        <f t="shared" si="65"/>
        <v>1591.3826473677357</v>
      </c>
      <c r="U233">
        <v>40.6</v>
      </c>
      <c r="V233">
        <v>0.27</v>
      </c>
      <c r="W233">
        <v>-1.65</v>
      </c>
    </row>
    <row r="234" spans="1:25" x14ac:dyDescent="0.25">
      <c r="A234" t="s">
        <v>67</v>
      </c>
      <c r="B234" t="s">
        <v>68</v>
      </c>
      <c r="C234">
        <v>3</v>
      </c>
      <c r="D234">
        <v>1</v>
      </c>
      <c r="E234">
        <f t="shared" si="58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f t="shared" si="61"/>
        <v>0.82354011694944063</v>
      </c>
      <c r="P234">
        <f t="shared" si="62"/>
        <v>11.42980557294776</v>
      </c>
      <c r="Q234">
        <f t="shared" si="69"/>
        <v>29.03170615528731</v>
      </c>
      <c r="R234">
        <f t="shared" si="63"/>
        <v>373.55195768406372</v>
      </c>
      <c r="S234">
        <f t="shared" si="64"/>
        <v>897.74563250195558</v>
      </c>
      <c r="T234">
        <f t="shared" si="65"/>
        <v>2379.0259261301821</v>
      </c>
      <c r="U234">
        <v>40.6</v>
      </c>
      <c r="V234">
        <v>0.27</v>
      </c>
      <c r="W234">
        <v>-1.65</v>
      </c>
    </row>
    <row r="235" spans="1:25" x14ac:dyDescent="0.25">
      <c r="A235" t="s">
        <v>67</v>
      </c>
      <c r="B235" t="s">
        <v>68</v>
      </c>
      <c r="C235">
        <v>4</v>
      </c>
      <c r="D235">
        <v>1</v>
      </c>
      <c r="E235">
        <f t="shared" si="58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f t="shared" si="61"/>
        <v>1.0840126121330353</v>
      </c>
      <c r="P235">
        <f t="shared" si="62"/>
        <v>12.50748098207996</v>
      </c>
      <c r="Q235">
        <f t="shared" si="69"/>
        <v>31.769001694483098</v>
      </c>
      <c r="R235">
        <f t="shared" si="63"/>
        <v>491.70043460235115</v>
      </c>
      <c r="S235">
        <f t="shared" si="64"/>
        <v>1181.6881389145665</v>
      </c>
      <c r="T235">
        <f t="shared" si="65"/>
        <v>3131.4735681236011</v>
      </c>
      <c r="U235">
        <v>40.6</v>
      </c>
      <c r="V235">
        <v>0.27</v>
      </c>
      <c r="W235">
        <v>-1.65</v>
      </c>
    </row>
    <row r="236" spans="1:25" x14ac:dyDescent="0.25">
      <c r="A236" t="s">
        <v>67</v>
      </c>
      <c r="B236" t="s">
        <v>68</v>
      </c>
      <c r="C236">
        <v>5</v>
      </c>
      <c r="D236">
        <v>1</v>
      </c>
      <c r="E236">
        <f t="shared" si="58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f t="shared" si="61"/>
        <v>1.3164785130627175</v>
      </c>
      <c r="P236">
        <f t="shared" si="62"/>
        <v>13.330156290962558</v>
      </c>
      <c r="Q236">
        <f t="shared" si="69"/>
        <v>33.858596979044897</v>
      </c>
      <c r="R236">
        <f t="shared" si="63"/>
        <v>597.14531894962283</v>
      </c>
      <c r="S236">
        <f t="shared" si="64"/>
        <v>1435.1005021620354</v>
      </c>
      <c r="T236">
        <f t="shared" si="65"/>
        <v>3803.0163307293938</v>
      </c>
      <c r="U236">
        <v>40.6</v>
      </c>
      <c r="V236">
        <v>0.27</v>
      </c>
      <c r="W236">
        <v>-1.65</v>
      </c>
    </row>
    <row r="237" spans="1:25" x14ac:dyDescent="0.25">
      <c r="A237" t="s">
        <v>67</v>
      </c>
      <c r="B237" t="s">
        <v>68</v>
      </c>
      <c r="C237">
        <v>6</v>
      </c>
      <c r="D237">
        <v>1</v>
      </c>
      <c r="E237">
        <f t="shared" si="58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f t="shared" si="61"/>
        <v>1.5149320017236048</v>
      </c>
      <c r="P237">
        <f t="shared" si="62"/>
        <v>13.958169752260771</v>
      </c>
      <c r="Q237">
        <f t="shared" si="69"/>
        <v>35.453751170742358</v>
      </c>
      <c r="R237">
        <f t="shared" si="63"/>
        <v>687.16241425896737</v>
      </c>
      <c r="S237">
        <f t="shared" si="64"/>
        <v>1651.4357468372202</v>
      </c>
      <c r="T237">
        <f t="shared" si="65"/>
        <v>4376.3047291186331</v>
      </c>
      <c r="U237">
        <v>40.6</v>
      </c>
      <c r="V237">
        <v>0.27</v>
      </c>
      <c r="W237">
        <v>-1.65</v>
      </c>
    </row>
    <row r="238" spans="1:25" x14ac:dyDescent="0.25">
      <c r="A238" t="s">
        <v>67</v>
      </c>
      <c r="B238" t="s">
        <v>68</v>
      </c>
      <c r="C238">
        <v>7</v>
      </c>
      <c r="D238">
        <v>1</v>
      </c>
      <c r="E238">
        <f t="shared" si="58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f t="shared" si="61"/>
        <v>1.6792851052341353</v>
      </c>
      <c r="P238">
        <f t="shared" si="62"/>
        <v>14.437582350783341</v>
      </c>
      <c r="Q238">
        <f t="shared" si="69"/>
        <v>36.671459170989685</v>
      </c>
      <c r="R238">
        <f t="shared" si="63"/>
        <v>761.71181665508584</v>
      </c>
      <c r="S238">
        <f t="shared" si="64"/>
        <v>1830.5979732157796</v>
      </c>
      <c r="T238">
        <f t="shared" si="65"/>
        <v>4851.084629021816</v>
      </c>
      <c r="U238">
        <v>40.6</v>
      </c>
      <c r="V238">
        <v>0.27</v>
      </c>
      <c r="W238">
        <v>-1.65</v>
      </c>
    </row>
    <row r="239" spans="1:25" x14ac:dyDescent="0.25">
      <c r="A239" t="s">
        <v>67</v>
      </c>
      <c r="B239" t="s">
        <v>68</v>
      </c>
      <c r="C239">
        <v>8</v>
      </c>
      <c r="D239">
        <v>1</v>
      </c>
      <c r="E239">
        <f t="shared" si="58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f t="shared" si="61"/>
        <v>1.8125197727602214</v>
      </c>
      <c r="P239">
        <f t="shared" si="62"/>
        <v>14.803556097822213</v>
      </c>
      <c r="Q239">
        <f t="shared" si="69"/>
        <v>37.60103248846842</v>
      </c>
      <c r="R239">
        <f t="shared" si="63"/>
        <v>822.14611713593331</v>
      </c>
      <c r="S239">
        <f t="shared" si="64"/>
        <v>1975.8378205622046</v>
      </c>
      <c r="T239">
        <f t="shared" si="65"/>
        <v>5235.9702244898417</v>
      </c>
      <c r="U239">
        <v>40.6</v>
      </c>
      <c r="V239">
        <v>0.27</v>
      </c>
      <c r="W239">
        <v>-1.65</v>
      </c>
    </row>
    <row r="240" spans="1:25" x14ac:dyDescent="0.25">
      <c r="A240" t="s">
        <v>67</v>
      </c>
      <c r="B240" t="s">
        <v>68</v>
      </c>
      <c r="C240">
        <v>9</v>
      </c>
      <c r="D240">
        <v>1</v>
      </c>
      <c r="E240">
        <f t="shared" si="58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f t="shared" si="61"/>
        <v>1.9188807249373345</v>
      </c>
      <c r="P240">
        <f t="shared" si="62"/>
        <v>15.082932951777311</v>
      </c>
      <c r="Q240">
        <f t="shared" si="69"/>
        <v>38.310649697514371</v>
      </c>
      <c r="R240">
        <f t="shared" si="63"/>
        <v>870.39069088429505</v>
      </c>
      <c r="S240">
        <f t="shared" si="64"/>
        <v>2091.7824822982334</v>
      </c>
      <c r="T240">
        <f t="shared" si="65"/>
        <v>5543.2235780903184</v>
      </c>
      <c r="U240">
        <v>40.6</v>
      </c>
      <c r="V240">
        <v>0.27</v>
      </c>
      <c r="W240">
        <v>-1.65</v>
      </c>
    </row>
    <row r="241" spans="1:28" x14ac:dyDescent="0.25">
      <c r="A241" t="s">
        <v>67</v>
      </c>
      <c r="B241" t="s">
        <v>68</v>
      </c>
      <c r="C241">
        <v>10</v>
      </c>
      <c r="D241">
        <v>1</v>
      </c>
      <c r="E241">
        <f t="shared" si="58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f t="shared" si="61"/>
        <v>2.0028408059463692</v>
      </c>
      <c r="P241">
        <f t="shared" si="62"/>
        <v>15.296203513278977</v>
      </c>
      <c r="Q241">
        <f t="shared" si="69"/>
        <v>38.8523569237286</v>
      </c>
      <c r="R241">
        <f t="shared" si="63"/>
        <v>908.47438830563499</v>
      </c>
      <c r="S241">
        <f t="shared" si="64"/>
        <v>2183.3078305831173</v>
      </c>
      <c r="T241">
        <f t="shared" si="65"/>
        <v>5785.7657510452609</v>
      </c>
      <c r="U241">
        <v>40.6</v>
      </c>
      <c r="V241">
        <v>0.27</v>
      </c>
      <c r="W241">
        <v>-1.65</v>
      </c>
    </row>
    <row r="242" spans="1:28" x14ac:dyDescent="0.25">
      <c r="A242" t="s">
        <v>69</v>
      </c>
      <c r="B242" t="s">
        <v>70</v>
      </c>
      <c r="C242">
        <v>1</v>
      </c>
      <c r="D242">
        <v>1</v>
      </c>
      <c r="E242">
        <f t="shared" si="58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f t="shared" si="61"/>
        <v>9.5162548772999445E-3</v>
      </c>
      <c r="P242">
        <f t="shared" si="62"/>
        <v>3.1903079158645773</v>
      </c>
      <c r="Q242">
        <f t="shared" ref="Q242:Q251" si="70">37.7*(1-EXP(-0.242*(E242)))</f>
        <v>8.1033821062960261</v>
      </c>
      <c r="R242">
        <f t="shared" si="63"/>
        <v>4.3165057367255786</v>
      </c>
      <c r="S242">
        <f t="shared" si="64"/>
        <v>10.373722030102327</v>
      </c>
      <c r="T242">
        <f t="shared" si="65"/>
        <v>27.490363379771164</v>
      </c>
      <c r="U242">
        <v>37.700000000000003</v>
      </c>
      <c r="V242">
        <v>0.24199999999999999</v>
      </c>
      <c r="W242">
        <v>0</v>
      </c>
    </row>
    <row r="243" spans="1:28" x14ac:dyDescent="0.25">
      <c r="A243" t="s">
        <v>69</v>
      </c>
      <c r="B243" t="s">
        <v>70</v>
      </c>
      <c r="C243">
        <v>2</v>
      </c>
      <c r="D243">
        <v>1</v>
      </c>
      <c r="E243">
        <f t="shared" si="58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f t="shared" si="61"/>
        <v>5.1080664891453721E-2</v>
      </c>
      <c r="P243">
        <f t="shared" si="62"/>
        <v>5.6948788535065669</v>
      </c>
      <c r="Q243">
        <f t="shared" si="70"/>
        <v>14.46499228790668</v>
      </c>
      <c r="R243">
        <f t="shared" si="63"/>
        <v>23.169827404021429</v>
      </c>
      <c r="S243">
        <f t="shared" si="64"/>
        <v>55.683315078157726</v>
      </c>
      <c r="T243">
        <f t="shared" si="65"/>
        <v>147.56078495711796</v>
      </c>
      <c r="U243">
        <v>37.700000000000003</v>
      </c>
      <c r="V243">
        <v>0.24199999999999999</v>
      </c>
      <c r="W243">
        <v>0</v>
      </c>
    </row>
    <row r="244" spans="1:28" x14ac:dyDescent="0.25">
      <c r="A244" t="s">
        <v>69</v>
      </c>
      <c r="B244" t="s">
        <v>70</v>
      </c>
      <c r="C244">
        <v>3</v>
      </c>
      <c r="D244">
        <v>1</v>
      </c>
      <c r="E244">
        <f t="shared" si="58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f t="shared" si="61"/>
        <v>0.12072496109088769</v>
      </c>
      <c r="P244">
        <f t="shared" si="62"/>
        <v>7.6611077402191885</v>
      </c>
      <c r="Q244">
        <f t="shared" si="70"/>
        <v>19.459213660156738</v>
      </c>
      <c r="R244">
        <f t="shared" si="63"/>
        <v>54.759986342720147</v>
      </c>
      <c r="S244">
        <f t="shared" si="64"/>
        <v>131.6029472307622</v>
      </c>
      <c r="T244">
        <f t="shared" si="65"/>
        <v>348.74781016151979</v>
      </c>
      <c r="U244">
        <v>37.700000000000003</v>
      </c>
      <c r="V244">
        <v>0.24199999999999999</v>
      </c>
      <c r="W244">
        <v>0</v>
      </c>
    </row>
    <row r="245" spans="1:28" x14ac:dyDescent="0.25">
      <c r="A245" t="s">
        <v>69</v>
      </c>
      <c r="B245" t="s">
        <v>70</v>
      </c>
      <c r="C245">
        <v>4</v>
      </c>
      <c r="D245">
        <v>1</v>
      </c>
      <c r="E245">
        <f t="shared" ref="E245:E308" si="71">C245*D245</f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f t="shared" si="61"/>
        <v>0.20557985257407074</v>
      </c>
      <c r="P245">
        <f t="shared" si="62"/>
        <v>9.2047078742137884</v>
      </c>
      <c r="Q245">
        <f t="shared" si="70"/>
        <v>23.379958000503024</v>
      </c>
      <c r="R245">
        <f t="shared" si="63"/>
        <v>93.249563450422627</v>
      </c>
      <c r="S245">
        <f t="shared" si="64"/>
        <v>224.10373335838173</v>
      </c>
      <c r="T245">
        <f t="shared" si="65"/>
        <v>593.8748933997116</v>
      </c>
      <c r="U245">
        <v>37.700000000000003</v>
      </c>
      <c r="V245">
        <v>0.24199999999999999</v>
      </c>
      <c r="W245">
        <v>0</v>
      </c>
    </row>
    <row r="246" spans="1:28" x14ac:dyDescent="0.25">
      <c r="A246" t="s">
        <v>69</v>
      </c>
      <c r="B246" t="s">
        <v>70</v>
      </c>
      <c r="C246">
        <v>5</v>
      </c>
      <c r="D246">
        <v>1</v>
      </c>
      <c r="E246">
        <f t="shared" si="71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f t="shared" si="61"/>
        <v>0.29427088552397013</v>
      </c>
      <c r="P246">
        <f t="shared" si="62"/>
        <v>10.416520695076082</v>
      </c>
      <c r="Q246">
        <f t="shared" si="70"/>
        <v>26.457962565493247</v>
      </c>
      <c r="R246">
        <f t="shared" si="63"/>
        <v>133.47918712701969</v>
      </c>
      <c r="S246">
        <f t="shared" si="64"/>
        <v>320.7863184980045</v>
      </c>
      <c r="T246">
        <f t="shared" si="65"/>
        <v>850.08374401971196</v>
      </c>
      <c r="U246">
        <v>37.700000000000003</v>
      </c>
      <c r="V246">
        <v>0.24199999999999999</v>
      </c>
      <c r="W246">
        <v>0</v>
      </c>
    </row>
    <row r="247" spans="1:28" x14ac:dyDescent="0.25">
      <c r="A247" t="s">
        <v>69</v>
      </c>
      <c r="B247" t="s">
        <v>70</v>
      </c>
      <c r="C247">
        <v>6</v>
      </c>
      <c r="D247">
        <v>1</v>
      </c>
      <c r="E247">
        <f t="shared" si="71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f t="shared" si="61"/>
        <v>0.37915780659131448</v>
      </c>
      <c r="P247">
        <f t="shared" si="62"/>
        <v>11.367861836130533</v>
      </c>
      <c r="Q247">
        <f t="shared" si="70"/>
        <v>28.874369063771553</v>
      </c>
      <c r="R247">
        <f t="shared" si="63"/>
        <v>171.98329262698991</v>
      </c>
      <c r="S247">
        <f t="shared" si="64"/>
        <v>413.32202025231896</v>
      </c>
      <c r="T247">
        <f t="shared" si="65"/>
        <v>1095.3033536686453</v>
      </c>
      <c r="U247">
        <v>37.700000000000003</v>
      </c>
      <c r="V247">
        <v>0.24199999999999999</v>
      </c>
      <c r="W247">
        <v>0</v>
      </c>
    </row>
    <row r="248" spans="1:28" x14ac:dyDescent="0.25">
      <c r="A248" t="s">
        <v>69</v>
      </c>
      <c r="B248" t="s">
        <v>70</v>
      </c>
      <c r="C248">
        <v>7</v>
      </c>
      <c r="D248">
        <v>1</v>
      </c>
      <c r="E248">
        <f t="shared" si="71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f t="shared" si="61"/>
        <v>0.45599504768110882</v>
      </c>
      <c r="P248">
        <f t="shared" si="62"/>
        <v>12.114718075874537</v>
      </c>
      <c r="Q248">
        <f t="shared" si="70"/>
        <v>30.771383912721323</v>
      </c>
      <c r="R248">
        <f t="shared" si="63"/>
        <v>206.8361203659174</v>
      </c>
      <c r="S248">
        <f t="shared" si="64"/>
        <v>497.08272137927759</v>
      </c>
      <c r="T248">
        <f t="shared" si="65"/>
        <v>1317.2692116550857</v>
      </c>
      <c r="U248">
        <v>37.700000000000003</v>
      </c>
      <c r="V248">
        <v>0.24199999999999999</v>
      </c>
      <c r="W248">
        <v>0</v>
      </c>
    </row>
    <row r="249" spans="1:28" x14ac:dyDescent="0.25">
      <c r="A249" t="s">
        <v>69</v>
      </c>
      <c r="B249" t="s">
        <v>70</v>
      </c>
      <c r="C249">
        <v>8</v>
      </c>
      <c r="D249">
        <v>1</v>
      </c>
      <c r="E249">
        <f t="shared" si="71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f t="shared" si="61"/>
        <v>0.52298069795271684</v>
      </c>
      <c r="P249">
        <f t="shared" si="62"/>
        <v>12.701042180628697</v>
      </c>
      <c r="Q249">
        <f t="shared" si="70"/>
        <v>32.260647138796891</v>
      </c>
      <c r="R249">
        <f t="shared" si="63"/>
        <v>237.22033636305432</v>
      </c>
      <c r="S249">
        <f t="shared" si="64"/>
        <v>570.10414891385335</v>
      </c>
      <c r="T249">
        <f t="shared" si="65"/>
        <v>1510.7759946217113</v>
      </c>
      <c r="U249">
        <v>37.700000000000003</v>
      </c>
      <c r="V249">
        <v>0.24199999999999999</v>
      </c>
      <c r="W249">
        <v>0</v>
      </c>
    </row>
    <row r="250" spans="1:28" x14ac:dyDescent="0.25">
      <c r="A250" t="s">
        <v>69</v>
      </c>
      <c r="B250" t="s">
        <v>70</v>
      </c>
      <c r="C250">
        <v>9</v>
      </c>
      <c r="D250">
        <v>1</v>
      </c>
      <c r="E250">
        <f t="shared" si="71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f t="shared" si="61"/>
        <v>0.57985818507813769</v>
      </c>
      <c r="P250">
        <f t="shared" si="62"/>
        <v>13.161339541113493</v>
      </c>
      <c r="Q250">
        <f t="shared" si="70"/>
        <v>33.429802434428275</v>
      </c>
      <c r="R250">
        <f t="shared" si="63"/>
        <v>263.01956122966209</v>
      </c>
      <c r="S250">
        <f t="shared" si="64"/>
        <v>632.10661194343209</v>
      </c>
      <c r="T250">
        <f t="shared" si="65"/>
        <v>1675.082521650095</v>
      </c>
      <c r="U250">
        <v>37.700000000000003</v>
      </c>
      <c r="V250">
        <v>0.24199999999999999</v>
      </c>
      <c r="W250">
        <v>0</v>
      </c>
    </row>
    <row r="251" spans="1:28" x14ac:dyDescent="0.25">
      <c r="A251" t="s">
        <v>69</v>
      </c>
      <c r="B251" t="s">
        <v>70</v>
      </c>
      <c r="C251">
        <v>10</v>
      </c>
      <c r="D251">
        <v>1</v>
      </c>
      <c r="E251">
        <f t="shared" si="71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f t="shared" si="61"/>
        <v>0.62724225960754854</v>
      </c>
      <c r="P251">
        <f t="shared" si="62"/>
        <v>13.522698827472889</v>
      </c>
      <c r="Q251">
        <f t="shared" si="70"/>
        <v>34.347655021781136</v>
      </c>
      <c r="R251">
        <f t="shared" si="63"/>
        <v>284.51264145637276</v>
      </c>
      <c r="S251">
        <f t="shared" si="64"/>
        <v>683.76025343997298</v>
      </c>
      <c r="T251">
        <f t="shared" si="65"/>
        <v>1811.9646716159284</v>
      </c>
      <c r="U251">
        <v>37.700000000000003</v>
      </c>
      <c r="V251">
        <v>0.24199999999999999</v>
      </c>
      <c r="W251">
        <v>0</v>
      </c>
    </row>
    <row r="252" spans="1:28" x14ac:dyDescent="0.25">
      <c r="A252" s="2" t="s">
        <v>71</v>
      </c>
      <c r="B252" t="s">
        <v>72</v>
      </c>
      <c r="C252">
        <v>1</v>
      </c>
      <c r="D252">
        <v>1</v>
      </c>
      <c r="E252">
        <f t="shared" si="71"/>
        <v>1</v>
      </c>
      <c r="F252">
        <v>2.6676279740000002</v>
      </c>
      <c r="G252">
        <v>7.0692141299999998</v>
      </c>
      <c r="H252">
        <f t="shared" ref="H252:H261" si="72">F252*3.65*5.7*20/1000</f>
        <v>1.1099999999814001</v>
      </c>
      <c r="I252">
        <f t="shared" ref="I252:J261" si="73">H252/1000</f>
        <v>1.1099999999814002E-3</v>
      </c>
      <c r="J252">
        <f t="shared" si="73"/>
        <v>1.1099999999814002E-6</v>
      </c>
      <c r="K252">
        <f t="shared" ref="K252:K261" si="74">I252*2.20462</f>
        <v>2.447128199958994E-3</v>
      </c>
      <c r="L252" s="3">
        <v>1.0999999999999999E-2</v>
      </c>
      <c r="M252" s="3">
        <v>3.01</v>
      </c>
      <c r="N252">
        <f t="shared" ref="N252:N261" si="75">(H252/L252)^(1/M252)</f>
        <v>4.6318829138707471</v>
      </c>
      <c r="O252">
        <f t="shared" si="61"/>
        <v>1.7147632715566676E-3</v>
      </c>
      <c r="P252">
        <f t="shared" si="62"/>
        <v>1.6203570268542591</v>
      </c>
      <c r="Q252" s="2">
        <f t="shared" ref="Q252:Q261" si="76">U252*(1-EXP(-V252*(E252-W252)))</f>
        <v>4.1157068482098182</v>
      </c>
      <c r="R252" s="2">
        <f t="shared" si="63"/>
        <v>0.7778044613387648</v>
      </c>
      <c r="S252" s="2">
        <f t="shared" si="64"/>
        <v>1.8692729183820351</v>
      </c>
      <c r="T252" s="2">
        <f t="shared" si="65"/>
        <v>4.953573233712393</v>
      </c>
      <c r="U252">
        <f t="shared" ref="U252:U261" si="77">$AA$254</f>
        <v>9</v>
      </c>
      <c r="V252">
        <f t="shared" ref="V252:V261" si="78">$AA$255</f>
        <v>0.32</v>
      </c>
      <c r="W252">
        <f t="shared" ref="W252:W261" si="79">$AA$256</f>
        <v>-0.91</v>
      </c>
      <c r="Y252" t="s">
        <v>614</v>
      </c>
      <c r="Z252" t="s">
        <v>615</v>
      </c>
      <c r="AA252" t="s">
        <v>616</v>
      </c>
      <c r="AB252" t="s">
        <v>617</v>
      </c>
    </row>
    <row r="253" spans="1:28" x14ac:dyDescent="0.25">
      <c r="A253" s="2" t="s">
        <v>71</v>
      </c>
      <c r="B253" t="s">
        <v>72</v>
      </c>
      <c r="C253">
        <v>2</v>
      </c>
      <c r="D253">
        <v>1</v>
      </c>
      <c r="E253">
        <f t="shared" si="71"/>
        <v>2</v>
      </c>
      <c r="F253">
        <v>3.8692621960000002</v>
      </c>
      <c r="G253">
        <v>10.25354482</v>
      </c>
      <c r="H253">
        <f t="shared" si="72"/>
        <v>1.6099999997556003</v>
      </c>
      <c r="I253">
        <f t="shared" si="73"/>
        <v>1.6099999997556003E-3</v>
      </c>
      <c r="J253">
        <f t="shared" si="73"/>
        <v>1.6099999997556003E-6</v>
      </c>
      <c r="K253">
        <f t="shared" si="74"/>
        <v>3.5494381994611913E-3</v>
      </c>
      <c r="L253" s="3">
        <v>1.0999999999999999E-2</v>
      </c>
      <c r="M253" s="3">
        <v>3.01</v>
      </c>
      <c r="N253">
        <f t="shared" si="75"/>
        <v>5.240986248696256</v>
      </c>
      <c r="O253">
        <f t="shared" si="61"/>
        <v>4.0000484763284263E-3</v>
      </c>
      <c r="P253">
        <f t="shared" si="62"/>
        <v>2.146958752378715</v>
      </c>
      <c r="Q253" s="2">
        <f t="shared" si="76"/>
        <v>5.4532752310419363</v>
      </c>
      <c r="R253" s="2">
        <f t="shared" si="63"/>
        <v>1.8143936262614084</v>
      </c>
      <c r="S253" s="2">
        <f t="shared" si="64"/>
        <v>4.3604749489579637</v>
      </c>
      <c r="T253" s="2">
        <f t="shared" si="65"/>
        <v>11.555258614738603</v>
      </c>
      <c r="U253">
        <f t="shared" si="77"/>
        <v>9</v>
      </c>
      <c r="V253">
        <f t="shared" si="78"/>
        <v>0.32</v>
      </c>
      <c r="W253">
        <f t="shared" si="79"/>
        <v>-0.91</v>
      </c>
      <c r="X253" t="s">
        <v>422</v>
      </c>
      <c r="Y253">
        <v>9</v>
      </c>
      <c r="Z253">
        <v>5.2</v>
      </c>
      <c r="AA253">
        <v>11</v>
      </c>
      <c r="AB253">
        <v>8</v>
      </c>
    </row>
    <row r="254" spans="1:28" x14ac:dyDescent="0.25">
      <c r="A254" s="2" t="s">
        <v>71</v>
      </c>
      <c r="B254" t="s">
        <v>72</v>
      </c>
      <c r="C254">
        <v>3</v>
      </c>
      <c r="D254">
        <v>1</v>
      </c>
      <c r="E254">
        <f t="shared" si="71"/>
        <v>3</v>
      </c>
      <c r="F254">
        <v>5.0708964190000003</v>
      </c>
      <c r="G254">
        <v>13.43787551</v>
      </c>
      <c r="H254">
        <f t="shared" si="72"/>
        <v>2.1099999999459</v>
      </c>
      <c r="I254">
        <f t="shared" si="73"/>
        <v>2.1099999999458999E-3</v>
      </c>
      <c r="J254">
        <f t="shared" si="73"/>
        <v>2.1099999999459001E-6</v>
      </c>
      <c r="K254">
        <f t="shared" si="74"/>
        <v>4.6517481998807298E-3</v>
      </c>
      <c r="L254" s="3">
        <v>1.0999999999999999E-2</v>
      </c>
      <c r="M254" s="3">
        <v>3.01</v>
      </c>
      <c r="N254">
        <f t="shared" si="75"/>
        <v>5.7337022923298262</v>
      </c>
      <c r="O254">
        <f t="shared" si="61"/>
        <v>6.5513807107191301E-3</v>
      </c>
      <c r="P254">
        <f t="shared" si="62"/>
        <v>2.5293500882896431</v>
      </c>
      <c r="Q254" s="2">
        <f t="shared" si="76"/>
        <v>6.4245492242556939</v>
      </c>
      <c r="R254" s="2">
        <f t="shared" si="63"/>
        <v>2.9716598373956193</v>
      </c>
      <c r="S254" s="2">
        <f t="shared" si="64"/>
        <v>7.1416963167402532</v>
      </c>
      <c r="T254" s="2">
        <f t="shared" si="65"/>
        <v>18.92549523936167</v>
      </c>
      <c r="U254">
        <f t="shared" si="77"/>
        <v>9</v>
      </c>
      <c r="V254">
        <f t="shared" si="78"/>
        <v>0.32</v>
      </c>
      <c r="W254">
        <f t="shared" si="79"/>
        <v>-0.91</v>
      </c>
      <c r="X254" t="s">
        <v>18</v>
      </c>
      <c r="AA254">
        <v>9</v>
      </c>
    </row>
    <row r="255" spans="1:28" x14ac:dyDescent="0.25">
      <c r="A255" s="2" t="s">
        <v>71</v>
      </c>
      <c r="B255" t="s">
        <v>72</v>
      </c>
      <c r="C255">
        <v>4</v>
      </c>
      <c r="D255">
        <v>1</v>
      </c>
      <c r="E255">
        <f t="shared" si="71"/>
        <v>4</v>
      </c>
      <c r="F255">
        <v>5.0829127610000002</v>
      </c>
      <c r="G255">
        <v>13.469718820000001</v>
      </c>
      <c r="H255">
        <f t="shared" si="72"/>
        <v>2.1149999998521003</v>
      </c>
      <c r="I255">
        <f t="shared" si="73"/>
        <v>2.1149999998521002E-3</v>
      </c>
      <c r="J255">
        <f t="shared" si="73"/>
        <v>2.1149999998521001E-6</v>
      </c>
      <c r="K255">
        <f t="shared" si="74"/>
        <v>4.6627712996739372E-3</v>
      </c>
      <c r="L255" s="3">
        <v>1.0999999999999999E-2</v>
      </c>
      <c r="M255" s="3">
        <v>3.01</v>
      </c>
      <c r="N255">
        <f t="shared" si="75"/>
        <v>5.738212669774577</v>
      </c>
      <c r="O255">
        <f t="shared" si="61"/>
        <v>8.963887062083651E-3</v>
      </c>
      <c r="P255">
        <f t="shared" si="62"/>
        <v>2.8070231886466854</v>
      </c>
      <c r="Q255" s="2">
        <f t="shared" si="76"/>
        <v>7.1298388991625812</v>
      </c>
      <c r="R255" s="2">
        <f t="shared" si="63"/>
        <v>4.0659556123430116</v>
      </c>
      <c r="S255" s="2">
        <f t="shared" si="64"/>
        <v>9.7715828222615038</v>
      </c>
      <c r="T255" s="2">
        <f t="shared" si="65"/>
        <v>25.894694478992985</v>
      </c>
      <c r="U255">
        <f t="shared" si="77"/>
        <v>9</v>
      </c>
      <c r="V255">
        <f t="shared" si="78"/>
        <v>0.32</v>
      </c>
      <c r="W255">
        <f t="shared" si="79"/>
        <v>-0.91</v>
      </c>
      <c r="X255" t="s">
        <v>19</v>
      </c>
      <c r="AA255">
        <v>0.32</v>
      </c>
    </row>
    <row r="256" spans="1:28" x14ac:dyDescent="0.25">
      <c r="A256" s="2" t="s">
        <v>71</v>
      </c>
      <c r="B256" t="s">
        <v>72</v>
      </c>
      <c r="C256">
        <v>5</v>
      </c>
      <c r="D256">
        <v>1</v>
      </c>
      <c r="E256">
        <f t="shared" si="71"/>
        <v>5</v>
      </c>
      <c r="F256">
        <v>5.0949291030000001</v>
      </c>
      <c r="G256">
        <v>13.501562119999999</v>
      </c>
      <c r="H256">
        <f t="shared" si="72"/>
        <v>2.1199999997583001</v>
      </c>
      <c r="I256">
        <f t="shared" si="73"/>
        <v>2.1199999997583E-3</v>
      </c>
      <c r="J256">
        <f t="shared" si="73"/>
        <v>2.1199999997583E-6</v>
      </c>
      <c r="K256">
        <f t="shared" si="74"/>
        <v>4.6737943994671427E-3</v>
      </c>
      <c r="L256" s="3">
        <v>1.0999999999999999E-2</v>
      </c>
      <c r="M256" s="3">
        <v>3.01</v>
      </c>
      <c r="N256">
        <f t="shared" si="75"/>
        <v>5.7427159324658712</v>
      </c>
      <c r="O256">
        <f t="shared" si="61"/>
        <v>1.1045284732404853E-2</v>
      </c>
      <c r="P256">
        <f t="shared" si="62"/>
        <v>3.008655243092218</v>
      </c>
      <c r="Q256" s="2">
        <f t="shared" si="76"/>
        <v>7.6419843174542343</v>
      </c>
      <c r="R256" s="2">
        <f t="shared" si="63"/>
        <v>5.0100628373165685</v>
      </c>
      <c r="S256" s="2">
        <f t="shared" si="64"/>
        <v>12.040525924817516</v>
      </c>
      <c r="T256" s="2">
        <f t="shared" si="65"/>
        <v>31.907393700766416</v>
      </c>
      <c r="U256">
        <f t="shared" si="77"/>
        <v>9</v>
      </c>
      <c r="V256">
        <f t="shared" si="78"/>
        <v>0.32</v>
      </c>
      <c r="W256">
        <f t="shared" si="79"/>
        <v>-0.91</v>
      </c>
      <c r="X256" t="s">
        <v>477</v>
      </c>
      <c r="AA256">
        <v>-0.91</v>
      </c>
    </row>
    <row r="257" spans="1:28" x14ac:dyDescent="0.25">
      <c r="A257" s="2" t="s">
        <v>71</v>
      </c>
      <c r="B257" t="s">
        <v>72</v>
      </c>
      <c r="C257">
        <v>6</v>
      </c>
      <c r="D257">
        <v>1</v>
      </c>
      <c r="E257">
        <f t="shared" si="71"/>
        <v>6</v>
      </c>
      <c r="F257">
        <v>5.1069454460000001</v>
      </c>
      <c r="G257">
        <v>13.53340543</v>
      </c>
      <c r="H257">
        <f t="shared" si="72"/>
        <v>2.1250000000806004</v>
      </c>
      <c r="I257">
        <f t="shared" si="73"/>
        <v>2.1250000000806006E-3</v>
      </c>
      <c r="J257">
        <f t="shared" si="73"/>
        <v>2.1250000000806007E-6</v>
      </c>
      <c r="K257">
        <f t="shared" si="74"/>
        <v>4.6848175001776935E-3</v>
      </c>
      <c r="L257" s="3">
        <v>1.0999999999999999E-2</v>
      </c>
      <c r="M257" s="3">
        <v>3.01</v>
      </c>
      <c r="N257">
        <f t="shared" si="75"/>
        <v>5.747212108740996</v>
      </c>
      <c r="O257">
        <f t="shared" si="61"/>
        <v>1.274362757875353E-2</v>
      </c>
      <c r="P257">
        <f t="shared" si="62"/>
        <v>3.1550701652710322</v>
      </c>
      <c r="Q257" s="2">
        <f t="shared" si="76"/>
        <v>8.0138782197884222</v>
      </c>
      <c r="R257" s="2">
        <f t="shared" si="63"/>
        <v>5.7804191102110707</v>
      </c>
      <c r="S257" s="2">
        <f t="shared" si="64"/>
        <v>13.891898846938405</v>
      </c>
      <c r="T257" s="2">
        <f t="shared" si="65"/>
        <v>36.813531944386774</v>
      </c>
      <c r="U257">
        <f t="shared" si="77"/>
        <v>9</v>
      </c>
      <c r="V257">
        <f t="shared" si="78"/>
        <v>0.32</v>
      </c>
      <c r="W257">
        <f t="shared" si="79"/>
        <v>-0.91</v>
      </c>
      <c r="X257" t="s">
        <v>423</v>
      </c>
      <c r="AA257" t="s">
        <v>618</v>
      </c>
    </row>
    <row r="258" spans="1:28" x14ac:dyDescent="0.25">
      <c r="A258" s="2" t="s">
        <v>71</v>
      </c>
      <c r="B258" t="s">
        <v>72</v>
      </c>
      <c r="C258">
        <v>7</v>
      </c>
      <c r="D258">
        <v>1</v>
      </c>
      <c r="E258">
        <f t="shared" si="71"/>
        <v>7</v>
      </c>
      <c r="F258">
        <v>5.118961788</v>
      </c>
      <c r="G258">
        <v>13.565248739999999</v>
      </c>
      <c r="H258">
        <f t="shared" si="72"/>
        <v>2.1299999999868002</v>
      </c>
      <c r="I258">
        <f t="shared" si="73"/>
        <v>2.1299999999868004E-3</v>
      </c>
      <c r="J258">
        <f t="shared" si="73"/>
        <v>2.1299999999868006E-6</v>
      </c>
      <c r="K258">
        <f t="shared" si="74"/>
        <v>4.6958405999709E-3</v>
      </c>
      <c r="L258" s="3">
        <v>1.0999999999999999E-2</v>
      </c>
      <c r="M258" s="3">
        <v>3.01</v>
      </c>
      <c r="N258">
        <f t="shared" si="75"/>
        <v>5.7517012256396187</v>
      </c>
      <c r="O258">
        <f t="shared" ref="O258:O321" si="80">R258*0.00220462</f>
        <v>1.4080492175646086E-2</v>
      </c>
      <c r="P258">
        <f t="shared" ref="P258:P321" si="81">Q258/2.54</f>
        <v>3.2613892200243964</v>
      </c>
      <c r="Q258" s="2">
        <f t="shared" si="76"/>
        <v>8.2839286188619674</v>
      </c>
      <c r="R258" s="2">
        <f t="shared" ref="R258:R321" si="82">L258*(Q258^M258)</f>
        <v>6.3868114122370683</v>
      </c>
      <c r="S258" s="2">
        <f t="shared" ref="S258:S321" si="83">R258/20/5.7/3.65*1000</f>
        <v>15.34922233174013</v>
      </c>
      <c r="T258" s="2">
        <f t="shared" ref="T258:T321" si="84">S258*2.65</f>
        <v>40.675439179111343</v>
      </c>
      <c r="U258">
        <f t="shared" si="77"/>
        <v>9</v>
      </c>
      <c r="V258">
        <f t="shared" si="78"/>
        <v>0.32</v>
      </c>
      <c r="W258">
        <f t="shared" si="79"/>
        <v>-0.91</v>
      </c>
      <c r="X258" t="s">
        <v>434</v>
      </c>
      <c r="Z258" s="7" t="s">
        <v>619</v>
      </c>
      <c r="AA258" s="7" t="s">
        <v>620</v>
      </c>
      <c r="AB258" s="7" t="s">
        <v>621</v>
      </c>
    </row>
    <row r="259" spans="1:28" x14ac:dyDescent="0.25">
      <c r="A259" s="2" t="s">
        <v>71</v>
      </c>
      <c r="B259" t="s">
        <v>72</v>
      </c>
      <c r="C259">
        <v>8</v>
      </c>
      <c r="D259">
        <v>1</v>
      </c>
      <c r="E259">
        <f t="shared" si="71"/>
        <v>8</v>
      </c>
      <c r="F259">
        <v>5.1309781299999999</v>
      </c>
      <c r="G259">
        <v>13.597092050000001</v>
      </c>
      <c r="H259">
        <f t="shared" si="72"/>
        <v>2.134999999893</v>
      </c>
      <c r="I259">
        <f t="shared" si="73"/>
        <v>2.1349999998929998E-3</v>
      </c>
      <c r="J259">
        <f t="shared" si="73"/>
        <v>2.1349999998929997E-6</v>
      </c>
      <c r="K259">
        <f t="shared" si="74"/>
        <v>4.7068636997641047E-3</v>
      </c>
      <c r="L259" s="3">
        <v>1.0999999999999999E-2</v>
      </c>
      <c r="M259" s="3">
        <v>3.01</v>
      </c>
      <c r="N259">
        <f t="shared" si="75"/>
        <v>5.7561833111503411</v>
      </c>
      <c r="O259">
        <f t="shared" si="80"/>
        <v>1.5107822286046861E-2</v>
      </c>
      <c r="P259">
        <f t="shared" si="81"/>
        <v>3.3385926992561381</v>
      </c>
      <c r="Q259" s="2">
        <f t="shared" si="76"/>
        <v>8.4800254561105906</v>
      </c>
      <c r="R259" s="2">
        <f t="shared" si="82"/>
        <v>6.8528010659645933</v>
      </c>
      <c r="S259" s="2">
        <f t="shared" si="83"/>
        <v>16.469120562279723</v>
      </c>
      <c r="T259" s="2">
        <f t="shared" si="84"/>
        <v>43.643169490041267</v>
      </c>
      <c r="U259">
        <f t="shared" si="77"/>
        <v>9</v>
      </c>
      <c r="V259">
        <f t="shared" si="78"/>
        <v>0.32</v>
      </c>
      <c r="W259">
        <f t="shared" si="79"/>
        <v>-0.91</v>
      </c>
    </row>
    <row r="260" spans="1:28" x14ac:dyDescent="0.25">
      <c r="A260" s="2" t="s">
        <v>71</v>
      </c>
      <c r="B260" t="s">
        <v>72</v>
      </c>
      <c r="C260">
        <v>9</v>
      </c>
      <c r="D260">
        <v>1</v>
      </c>
      <c r="E260">
        <f t="shared" si="71"/>
        <v>9</v>
      </c>
      <c r="F260">
        <v>5.1429944729999999</v>
      </c>
      <c r="G260">
        <v>13.628935350000001</v>
      </c>
      <c r="H260">
        <f t="shared" si="72"/>
        <v>2.1400000002152995</v>
      </c>
      <c r="I260">
        <f t="shared" si="73"/>
        <v>2.1400000002152995E-3</v>
      </c>
      <c r="J260">
        <f t="shared" si="73"/>
        <v>2.1400000002152995E-6</v>
      </c>
      <c r="K260">
        <f t="shared" si="74"/>
        <v>4.7178868004746528E-3</v>
      </c>
      <c r="L260" s="3">
        <v>1.0999999999999999E-2</v>
      </c>
      <c r="M260" s="3">
        <v>3.01</v>
      </c>
      <c r="N260">
        <f t="shared" si="75"/>
        <v>5.7606583930870281</v>
      </c>
      <c r="O260">
        <f t="shared" si="80"/>
        <v>1.5884384463446619E-2</v>
      </c>
      <c r="P260">
        <f t="shared" si="81"/>
        <v>3.394653931359005</v>
      </c>
      <c r="Q260" s="2">
        <f t="shared" si="76"/>
        <v>8.622420985651873</v>
      </c>
      <c r="R260" s="2">
        <f t="shared" si="82"/>
        <v>7.2050441633690241</v>
      </c>
      <c r="S260" s="2">
        <f t="shared" si="83"/>
        <v>17.315655283270907</v>
      </c>
      <c r="T260" s="2">
        <f t="shared" si="84"/>
        <v>45.8864865006679</v>
      </c>
      <c r="U260">
        <f t="shared" si="77"/>
        <v>9</v>
      </c>
      <c r="V260">
        <f t="shared" si="78"/>
        <v>0.32</v>
      </c>
      <c r="W260">
        <f t="shared" si="79"/>
        <v>-0.91</v>
      </c>
    </row>
    <row r="261" spans="1:28" x14ac:dyDescent="0.25">
      <c r="A261" s="2" t="s">
        <v>71</v>
      </c>
      <c r="B261" t="s">
        <v>72</v>
      </c>
      <c r="C261">
        <v>10</v>
      </c>
      <c r="D261">
        <v>1</v>
      </c>
      <c r="E261">
        <f t="shared" si="71"/>
        <v>10</v>
      </c>
      <c r="F261">
        <v>5.1550108149999998</v>
      </c>
      <c r="G261">
        <v>13.66077866</v>
      </c>
      <c r="H261">
        <f t="shared" si="72"/>
        <v>2.1450000001214997</v>
      </c>
      <c r="I261">
        <f t="shared" si="73"/>
        <v>2.1450000001214998E-3</v>
      </c>
      <c r="J261">
        <f t="shared" si="73"/>
        <v>2.1450000001214999E-6</v>
      </c>
      <c r="K261">
        <f t="shared" si="74"/>
        <v>4.7289099002678602E-3</v>
      </c>
      <c r="L261" s="3">
        <v>1.0999999999999999E-2</v>
      </c>
      <c r="M261" s="3">
        <v>3.01</v>
      </c>
      <c r="N261">
        <f t="shared" si="75"/>
        <v>5.7651264979756727</v>
      </c>
      <c r="O261">
        <f t="shared" si="80"/>
        <v>1.6464685690665115E-2</v>
      </c>
      <c r="P261">
        <f t="shared" si="81"/>
        <v>3.4353627410676673</v>
      </c>
      <c r="Q261" s="2">
        <f t="shared" si="76"/>
        <v>8.7258213623118746</v>
      </c>
      <c r="R261" s="2">
        <f t="shared" si="82"/>
        <v>7.4682646853721346</v>
      </c>
      <c r="S261" s="2">
        <f t="shared" si="83"/>
        <v>17.948244857899869</v>
      </c>
      <c r="T261" s="2">
        <f t="shared" si="84"/>
        <v>47.562848873434653</v>
      </c>
      <c r="U261">
        <f t="shared" si="77"/>
        <v>9</v>
      </c>
      <c r="V261">
        <f t="shared" si="78"/>
        <v>0.32</v>
      </c>
      <c r="W261">
        <f t="shared" si="79"/>
        <v>-0.91</v>
      </c>
    </row>
    <row r="262" spans="1:28" x14ac:dyDescent="0.25">
      <c r="A262" t="s">
        <v>73</v>
      </c>
      <c r="B262" t="s">
        <v>74</v>
      </c>
      <c r="C262">
        <v>1</v>
      </c>
      <c r="D262">
        <v>2</v>
      </c>
      <c r="E262">
        <f t="shared" si="71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f t="shared" si="80"/>
        <v>0.29935257803298476</v>
      </c>
      <c r="P262">
        <f t="shared" si="81"/>
        <v>10.447088938216606</v>
      </c>
      <c r="Q262">
        <f t="shared" ref="Q262:Q271" si="85">43*(1-EXP(-0.48*(E262)))</f>
        <v>26.535605903070181</v>
      </c>
      <c r="R262">
        <f t="shared" si="82"/>
        <v>135.78420681704091</v>
      </c>
      <c r="S262">
        <f t="shared" si="83"/>
        <v>326.32589958433289</v>
      </c>
      <c r="T262">
        <f t="shared" si="84"/>
        <v>864.76363389848211</v>
      </c>
      <c r="U262">
        <v>43</v>
      </c>
      <c r="V262">
        <v>0.48</v>
      </c>
      <c r="W262">
        <v>0</v>
      </c>
      <c r="Y262" t="s">
        <v>622</v>
      </c>
    </row>
    <row r="263" spans="1:28" x14ac:dyDescent="0.25">
      <c r="A263" t="s">
        <v>73</v>
      </c>
      <c r="B263" t="s">
        <v>74</v>
      </c>
      <c r="C263">
        <v>2</v>
      </c>
      <c r="D263">
        <v>2</v>
      </c>
      <c r="E263">
        <f t="shared" si="71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f t="shared" si="80"/>
        <v>0.74197781751165304</v>
      </c>
      <c r="P263">
        <f t="shared" si="81"/>
        <v>14.447204971809033</v>
      </c>
      <c r="Q263">
        <f t="shared" si="85"/>
        <v>36.695900628394945</v>
      </c>
      <c r="R263">
        <f t="shared" si="82"/>
        <v>336.55587698181682</v>
      </c>
      <c r="S263">
        <f t="shared" si="83"/>
        <v>808.83411915841577</v>
      </c>
      <c r="T263">
        <f t="shared" si="84"/>
        <v>2143.4104157698016</v>
      </c>
      <c r="U263">
        <v>43</v>
      </c>
      <c r="V263">
        <v>0.48</v>
      </c>
      <c r="W263">
        <v>0</v>
      </c>
    </row>
    <row r="264" spans="1:28" x14ac:dyDescent="0.25">
      <c r="A264" t="s">
        <v>73</v>
      </c>
      <c r="B264" t="s">
        <v>74</v>
      </c>
      <c r="C264">
        <v>3</v>
      </c>
      <c r="D264">
        <v>2</v>
      </c>
      <c r="E264">
        <f t="shared" si="71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f t="shared" si="80"/>
        <v>0.98383309943816588</v>
      </c>
      <c r="P264">
        <f t="shared" si="81"/>
        <v>15.978820944146554</v>
      </c>
      <c r="Q264">
        <f t="shared" si="85"/>
        <v>40.586205198132248</v>
      </c>
      <c r="R264">
        <f t="shared" si="82"/>
        <v>446.2597179732407</v>
      </c>
      <c r="S264">
        <f t="shared" si="83"/>
        <v>1072.4818985177617</v>
      </c>
      <c r="T264">
        <f t="shared" si="84"/>
        <v>2842.0770310720682</v>
      </c>
      <c r="U264">
        <v>43</v>
      </c>
      <c r="V264">
        <v>0.48</v>
      </c>
      <c r="W264">
        <v>0</v>
      </c>
    </row>
    <row r="265" spans="1:28" x14ac:dyDescent="0.25">
      <c r="A265" t="s">
        <v>73</v>
      </c>
      <c r="B265" t="s">
        <v>74</v>
      </c>
      <c r="C265">
        <v>4</v>
      </c>
      <c r="D265">
        <v>2</v>
      </c>
      <c r="E265">
        <f t="shared" si="71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f t="shared" si="80"/>
        <v>1.0883077706500881</v>
      </c>
      <c r="P265">
        <f t="shared" si="81"/>
        <v>16.565265804000447</v>
      </c>
      <c r="Q265">
        <f t="shared" si="85"/>
        <v>42.075775142161135</v>
      </c>
      <c r="R265">
        <f t="shared" si="82"/>
        <v>493.64868805058831</v>
      </c>
      <c r="S265">
        <f t="shared" si="83"/>
        <v>1186.3703149497437</v>
      </c>
      <c r="T265">
        <f t="shared" si="84"/>
        <v>3143.8813346168208</v>
      </c>
      <c r="U265">
        <v>43</v>
      </c>
      <c r="V265">
        <v>0.48</v>
      </c>
      <c r="W265">
        <v>0</v>
      </c>
    </row>
    <row r="266" spans="1:28" x14ac:dyDescent="0.25">
      <c r="A266" t="s">
        <v>73</v>
      </c>
      <c r="B266" t="s">
        <v>74</v>
      </c>
      <c r="C266">
        <v>5</v>
      </c>
      <c r="D266">
        <v>2</v>
      </c>
      <c r="E266">
        <f t="shared" si="71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f t="shared" si="80"/>
        <v>1.13011977039518</v>
      </c>
      <c r="P266">
        <f t="shared" si="81"/>
        <v>16.789811368855172</v>
      </c>
      <c r="Q266">
        <f t="shared" si="85"/>
        <v>42.646120876892141</v>
      </c>
      <c r="R266">
        <f t="shared" si="82"/>
        <v>512.61431466428678</v>
      </c>
      <c r="S266">
        <f t="shared" si="83"/>
        <v>1231.9498069317153</v>
      </c>
      <c r="T266">
        <f t="shared" si="84"/>
        <v>3264.6669883690456</v>
      </c>
      <c r="U266">
        <v>43</v>
      </c>
      <c r="V266">
        <v>0.48</v>
      </c>
      <c r="W266">
        <v>0</v>
      </c>
    </row>
    <row r="267" spans="1:28" x14ac:dyDescent="0.25">
      <c r="A267" t="s">
        <v>73</v>
      </c>
      <c r="B267" t="s">
        <v>74</v>
      </c>
      <c r="C267">
        <v>6</v>
      </c>
      <c r="D267">
        <v>2</v>
      </c>
      <c r="E267">
        <f t="shared" si="71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f t="shared" si="80"/>
        <v>1.1463984104643572</v>
      </c>
      <c r="P267">
        <f t="shared" si="81"/>
        <v>16.875788268215313</v>
      </c>
      <c r="Q267">
        <f t="shared" si="85"/>
        <v>42.864502201266895</v>
      </c>
      <c r="R267">
        <f t="shared" si="82"/>
        <v>519.99819037492045</v>
      </c>
      <c r="S267">
        <f t="shared" si="83"/>
        <v>1249.6952424295134</v>
      </c>
      <c r="T267">
        <f t="shared" si="84"/>
        <v>3311.6923924382104</v>
      </c>
      <c r="U267">
        <v>43</v>
      </c>
      <c r="V267">
        <v>0.48</v>
      </c>
      <c r="W267">
        <v>0</v>
      </c>
    </row>
    <row r="268" spans="1:28" x14ac:dyDescent="0.25">
      <c r="A268" t="s">
        <v>73</v>
      </c>
      <c r="B268" t="s">
        <v>74</v>
      </c>
      <c r="C268">
        <v>7</v>
      </c>
      <c r="D268">
        <v>2</v>
      </c>
      <c r="E268">
        <f t="shared" si="71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f t="shared" si="80"/>
        <v>1.1526710569267764</v>
      </c>
      <c r="P268">
        <f t="shared" si="81"/>
        <v>16.908708211338507</v>
      </c>
      <c r="Q268">
        <f t="shared" si="85"/>
        <v>42.948118856799809</v>
      </c>
      <c r="R268">
        <f t="shared" si="82"/>
        <v>522.84341833367034</v>
      </c>
      <c r="S268">
        <f t="shared" si="83"/>
        <v>1256.5330890018513</v>
      </c>
      <c r="T268">
        <f t="shared" si="84"/>
        <v>3329.8126858549058</v>
      </c>
      <c r="U268">
        <v>43</v>
      </c>
      <c r="V268">
        <v>0.48</v>
      </c>
      <c r="W268">
        <v>0</v>
      </c>
    </row>
    <row r="269" spans="1:28" x14ac:dyDescent="0.25">
      <c r="A269" t="s">
        <v>73</v>
      </c>
      <c r="B269" t="s">
        <v>74</v>
      </c>
      <c r="C269">
        <v>8</v>
      </c>
      <c r="D269">
        <v>2</v>
      </c>
      <c r="E269">
        <f t="shared" si="71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f t="shared" si="80"/>
        <v>1.1550786367721839</v>
      </c>
      <c r="P269">
        <f t="shared" si="81"/>
        <v>16.92131302336708</v>
      </c>
      <c r="Q269">
        <f t="shared" si="85"/>
        <v>42.980135079352387</v>
      </c>
      <c r="R269">
        <f t="shared" si="82"/>
        <v>523.93547948044738</v>
      </c>
      <c r="S269">
        <f t="shared" si="83"/>
        <v>1259.1576050960045</v>
      </c>
      <c r="T269">
        <f t="shared" si="84"/>
        <v>3336.767653504412</v>
      </c>
      <c r="U269">
        <v>43</v>
      </c>
      <c r="V269">
        <v>0.48</v>
      </c>
      <c r="W269">
        <v>0</v>
      </c>
    </row>
    <row r="270" spans="1:28" x14ac:dyDescent="0.25">
      <c r="A270" t="s">
        <v>73</v>
      </c>
      <c r="B270" t="s">
        <v>74</v>
      </c>
      <c r="C270">
        <v>9</v>
      </c>
      <c r="D270">
        <v>2</v>
      </c>
      <c r="E270">
        <f t="shared" si="71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f t="shared" si="80"/>
        <v>1.1560013370918456</v>
      </c>
      <c r="P270">
        <f t="shared" si="81"/>
        <v>16.926139316221878</v>
      </c>
      <c r="Q270">
        <f t="shared" si="85"/>
        <v>42.992393863203567</v>
      </c>
      <c r="R270">
        <f t="shared" si="82"/>
        <v>524.35400980297993</v>
      </c>
      <c r="S270">
        <f t="shared" si="83"/>
        <v>1260.1634458134583</v>
      </c>
      <c r="T270">
        <f t="shared" si="84"/>
        <v>3339.4331314056644</v>
      </c>
      <c r="U270">
        <v>43</v>
      </c>
      <c r="V270">
        <v>0.48</v>
      </c>
      <c r="W270">
        <v>0</v>
      </c>
    </row>
    <row r="271" spans="1:28" x14ac:dyDescent="0.25">
      <c r="A271" t="s">
        <v>73</v>
      </c>
      <c r="B271" t="s">
        <v>74</v>
      </c>
      <c r="C271">
        <v>10</v>
      </c>
      <c r="D271">
        <v>2</v>
      </c>
      <c r="E271">
        <f t="shared" si="71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f t="shared" si="80"/>
        <v>1.156354757885421</v>
      </c>
      <c r="P271">
        <f t="shared" si="81"/>
        <v>16.92798726942161</v>
      </c>
      <c r="Q271">
        <f t="shared" si="85"/>
        <v>42.997087664330891</v>
      </c>
      <c r="R271">
        <f t="shared" si="82"/>
        <v>524.51431896899282</v>
      </c>
      <c r="S271">
        <f t="shared" si="83"/>
        <v>1260.5487117735947</v>
      </c>
      <c r="T271">
        <f t="shared" si="84"/>
        <v>3340.4540862000258</v>
      </c>
      <c r="U271">
        <v>43</v>
      </c>
      <c r="V271">
        <v>0.48</v>
      </c>
      <c r="W271">
        <v>0</v>
      </c>
    </row>
    <row r="272" spans="1:28" x14ac:dyDescent="0.25">
      <c r="A272" t="s">
        <v>75</v>
      </c>
      <c r="B272" t="s">
        <v>76</v>
      </c>
      <c r="C272">
        <v>1</v>
      </c>
      <c r="D272">
        <v>2</v>
      </c>
      <c r="E272">
        <f t="shared" si="71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f t="shared" si="80"/>
        <v>9.8126080995731169E-2</v>
      </c>
      <c r="P272">
        <f t="shared" si="81"/>
        <v>9.2533452863121504</v>
      </c>
      <c r="Q272">
        <f t="shared" ref="Q272:Q281" si="86">122*(1-EXP(-0.107*(E272)))</f>
        <v>23.503497027232861</v>
      </c>
      <c r="R272">
        <f t="shared" si="82"/>
        <v>44.509294570370933</v>
      </c>
      <c r="S272">
        <f t="shared" si="83"/>
        <v>106.96778315397964</v>
      </c>
      <c r="T272">
        <f t="shared" si="84"/>
        <v>283.46462535804602</v>
      </c>
      <c r="U272">
        <v>122</v>
      </c>
      <c r="V272">
        <v>0.107</v>
      </c>
      <c r="W272">
        <v>0</v>
      </c>
      <c r="Y272" t="s">
        <v>623</v>
      </c>
    </row>
    <row r="273" spans="1:29" x14ac:dyDescent="0.25">
      <c r="A273" t="s">
        <v>75</v>
      </c>
      <c r="B273" t="s">
        <v>76</v>
      </c>
      <c r="C273">
        <v>2</v>
      </c>
      <c r="D273">
        <v>2</v>
      </c>
      <c r="E273">
        <f t="shared" si="71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f t="shared" si="80"/>
        <v>0.61463072670785202</v>
      </c>
      <c r="P273">
        <f t="shared" si="81"/>
        <v>16.724018659273504</v>
      </c>
      <c r="Q273">
        <f t="shared" si="86"/>
        <v>42.479007394554699</v>
      </c>
      <c r="R273">
        <f t="shared" si="82"/>
        <v>278.79213955595611</v>
      </c>
      <c r="S273">
        <f t="shared" si="83"/>
        <v>670.01235173265104</v>
      </c>
      <c r="T273">
        <f t="shared" si="84"/>
        <v>1775.5327320915253</v>
      </c>
      <c r="U273">
        <v>122</v>
      </c>
      <c r="V273">
        <v>0.107</v>
      </c>
      <c r="W273">
        <v>0</v>
      </c>
    </row>
    <row r="274" spans="1:29" x14ac:dyDescent="0.25">
      <c r="A274" t="s">
        <v>75</v>
      </c>
      <c r="B274" t="s">
        <v>76</v>
      </c>
      <c r="C274">
        <v>3</v>
      </c>
      <c r="D274">
        <v>2</v>
      </c>
      <c r="E274">
        <f t="shared" si="71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f t="shared" si="80"/>
        <v>1.5967002065243137</v>
      </c>
      <c r="P274">
        <f t="shared" si="81"/>
        <v>22.755454741965806</v>
      </c>
      <c r="Q274">
        <f t="shared" si="86"/>
        <v>57.798855044593147</v>
      </c>
      <c r="R274">
        <f t="shared" si="82"/>
        <v>724.25189217385025</v>
      </c>
      <c r="S274">
        <f t="shared" si="83"/>
        <v>1740.5717187547471</v>
      </c>
      <c r="T274">
        <f t="shared" si="84"/>
        <v>4612.5150547000794</v>
      </c>
      <c r="U274">
        <v>122</v>
      </c>
      <c r="V274">
        <v>0.107</v>
      </c>
      <c r="W274">
        <v>0</v>
      </c>
    </row>
    <row r="275" spans="1:29" x14ac:dyDescent="0.25">
      <c r="A275" t="s">
        <v>75</v>
      </c>
      <c r="B275" t="s">
        <v>76</v>
      </c>
      <c r="C275">
        <v>4</v>
      </c>
      <c r="D275">
        <v>2</v>
      </c>
      <c r="E275">
        <f t="shared" si="71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f t="shared" si="80"/>
        <v>2.9126728188399946</v>
      </c>
      <c r="P275">
        <f t="shared" si="81"/>
        <v>27.624924922694959</v>
      </c>
      <c r="Q275">
        <f t="shared" si="86"/>
        <v>70.167309303645197</v>
      </c>
      <c r="R275">
        <f t="shared" si="82"/>
        <v>1321.167738131739</v>
      </c>
      <c r="S275">
        <f t="shared" si="83"/>
        <v>3175.1207357167482</v>
      </c>
      <c r="T275">
        <f t="shared" si="84"/>
        <v>8414.0699496493817</v>
      </c>
      <c r="U275">
        <v>122</v>
      </c>
      <c r="V275">
        <v>0.107</v>
      </c>
      <c r="W275">
        <v>0</v>
      </c>
    </row>
    <row r="276" spans="1:29" x14ac:dyDescent="0.25">
      <c r="A276" t="s">
        <v>75</v>
      </c>
      <c r="B276" t="s">
        <v>76</v>
      </c>
      <c r="C276">
        <v>5</v>
      </c>
      <c r="D276">
        <v>2</v>
      </c>
      <c r="E276">
        <f t="shared" si="71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f t="shared" si="80"/>
        <v>4.3997137170161444</v>
      </c>
      <c r="P276">
        <f t="shared" si="81"/>
        <v>31.556283809022755</v>
      </c>
      <c r="Q276">
        <f t="shared" si="86"/>
        <v>80.152960874917795</v>
      </c>
      <c r="R276">
        <f t="shared" si="82"/>
        <v>1995.6789455852456</v>
      </c>
      <c r="S276">
        <f t="shared" si="83"/>
        <v>4796.1522364461562</v>
      </c>
      <c r="T276">
        <f t="shared" si="84"/>
        <v>12709.803426582313</v>
      </c>
      <c r="U276">
        <v>122</v>
      </c>
      <c r="V276">
        <v>0.107</v>
      </c>
      <c r="W276">
        <v>0</v>
      </c>
    </row>
    <row r="277" spans="1:29" x14ac:dyDescent="0.25">
      <c r="A277" t="s">
        <v>75</v>
      </c>
      <c r="B277" t="s">
        <v>76</v>
      </c>
      <c r="C277">
        <v>6</v>
      </c>
      <c r="D277">
        <v>2</v>
      </c>
      <c r="E277">
        <f t="shared" si="71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f t="shared" si="80"/>
        <v>5.9217924576912848</v>
      </c>
      <c r="P277">
        <f t="shared" si="81"/>
        <v>34.73026005684406</v>
      </c>
      <c r="Q277">
        <f t="shared" si="86"/>
        <v>88.21486054438391</v>
      </c>
      <c r="R277">
        <f t="shared" si="82"/>
        <v>2686.083069958217</v>
      </c>
      <c r="S277">
        <f t="shared" si="83"/>
        <v>6455.3786829084756</v>
      </c>
      <c r="T277">
        <f t="shared" si="84"/>
        <v>17106.753509707461</v>
      </c>
      <c r="U277">
        <v>122</v>
      </c>
      <c r="V277">
        <v>0.107</v>
      </c>
      <c r="W277">
        <v>0</v>
      </c>
    </row>
    <row r="278" spans="1:29" x14ac:dyDescent="0.25">
      <c r="A278" t="s">
        <v>75</v>
      </c>
      <c r="B278" t="s">
        <v>76</v>
      </c>
      <c r="C278">
        <v>7</v>
      </c>
      <c r="D278">
        <v>2</v>
      </c>
      <c r="E278">
        <f t="shared" si="71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f t="shared" si="80"/>
        <v>7.384047343867624</v>
      </c>
      <c r="P278">
        <f t="shared" si="81"/>
        <v>37.292764654622943</v>
      </c>
      <c r="Q278">
        <f t="shared" si="86"/>
        <v>94.723622222742279</v>
      </c>
      <c r="R278">
        <f t="shared" si="82"/>
        <v>3349.351518115423</v>
      </c>
      <c r="S278">
        <f t="shared" si="83"/>
        <v>8049.3908149853951</v>
      </c>
      <c r="T278">
        <f t="shared" si="84"/>
        <v>21330.885659711297</v>
      </c>
      <c r="U278">
        <v>122</v>
      </c>
      <c r="V278">
        <v>0.107</v>
      </c>
      <c r="W278">
        <v>0</v>
      </c>
    </row>
    <row r="279" spans="1:29" x14ac:dyDescent="0.25">
      <c r="A279" t="s">
        <v>75</v>
      </c>
      <c r="B279" t="s">
        <v>76</v>
      </c>
      <c r="C279">
        <v>8</v>
      </c>
      <c r="D279">
        <v>2</v>
      </c>
      <c r="E279">
        <f t="shared" si="71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f t="shared" si="80"/>
        <v>8.7293866619177649</v>
      </c>
      <c r="P279">
        <f t="shared" si="81"/>
        <v>39.361598603252915</v>
      </c>
      <c r="Q279">
        <f t="shared" si="86"/>
        <v>99.978460452262411</v>
      </c>
      <c r="R279">
        <f t="shared" si="82"/>
        <v>3959.5878935679457</v>
      </c>
      <c r="S279">
        <f t="shared" si="83"/>
        <v>9515.9526401536805</v>
      </c>
      <c r="T279">
        <f t="shared" si="84"/>
        <v>25217.274496407252</v>
      </c>
      <c r="U279">
        <v>122</v>
      </c>
      <c r="V279">
        <v>0.107</v>
      </c>
      <c r="W279">
        <v>0</v>
      </c>
    </row>
    <row r="280" spans="1:29" x14ac:dyDescent="0.25">
      <c r="A280" t="s">
        <v>75</v>
      </c>
      <c r="B280" t="s">
        <v>76</v>
      </c>
      <c r="C280">
        <v>9</v>
      </c>
      <c r="D280">
        <v>2</v>
      </c>
      <c r="E280">
        <f t="shared" si="71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f t="shared" si="80"/>
        <v>9.9296577637612291</v>
      </c>
      <c r="P280">
        <f t="shared" si="81"/>
        <v>41.031868350559428</v>
      </c>
      <c r="Q280">
        <f t="shared" si="86"/>
        <v>104.22094561042094</v>
      </c>
      <c r="R280">
        <f t="shared" si="82"/>
        <v>4504.0223547646438</v>
      </c>
      <c r="S280">
        <f t="shared" si="83"/>
        <v>10824.374801164729</v>
      </c>
      <c r="T280">
        <f t="shared" si="84"/>
        <v>28684.593223086533</v>
      </c>
      <c r="U280">
        <v>122</v>
      </c>
      <c r="V280">
        <v>0.107</v>
      </c>
      <c r="W280">
        <v>0</v>
      </c>
      <c r="AA280" s="2" t="s">
        <v>624</v>
      </c>
      <c r="AB280" s="2" t="s">
        <v>624</v>
      </c>
    </row>
    <row r="281" spans="1:29" x14ac:dyDescent="0.25">
      <c r="A281" t="s">
        <v>75</v>
      </c>
      <c r="B281" t="s">
        <v>76</v>
      </c>
      <c r="C281">
        <v>10</v>
      </c>
      <c r="D281">
        <v>2</v>
      </c>
      <c r="E281">
        <f t="shared" si="71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f t="shared" si="80"/>
        <v>10.976619154794601</v>
      </c>
      <c r="P281">
        <f t="shared" si="81"/>
        <v>42.380357933599583</v>
      </c>
      <c r="Q281">
        <f t="shared" si="86"/>
        <v>107.64610915134294</v>
      </c>
      <c r="R281">
        <f t="shared" si="82"/>
        <v>4978.9166181902556</v>
      </c>
      <c r="S281">
        <f t="shared" si="83"/>
        <v>11965.673199207537</v>
      </c>
      <c r="T281">
        <f t="shared" si="84"/>
        <v>31709.03397789997</v>
      </c>
      <c r="U281">
        <v>122</v>
      </c>
      <c r="V281">
        <v>0.107</v>
      </c>
      <c r="W281">
        <v>0</v>
      </c>
      <c r="Y281" t="s">
        <v>625</v>
      </c>
      <c r="Z281" t="s">
        <v>626</v>
      </c>
      <c r="AA281" t="s">
        <v>627</v>
      </c>
      <c r="AB281" t="s">
        <v>628</v>
      </c>
    </row>
    <row r="282" spans="1:29" x14ac:dyDescent="0.25">
      <c r="A282" t="s">
        <v>77</v>
      </c>
      <c r="B282" t="s">
        <v>78</v>
      </c>
      <c r="C282">
        <v>1</v>
      </c>
      <c r="D282">
        <v>3</v>
      </c>
      <c r="E282">
        <f t="shared" si="71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f t="shared" si="80"/>
        <v>196.90530677965444</v>
      </c>
      <c r="P282">
        <f t="shared" si="81"/>
        <v>63.742170359821344</v>
      </c>
      <c r="Q282" s="2">
        <f t="shared" ref="Q282:Q291" si="87">U282*(1-EXP(-V282*(E282)))</f>
        <v>161.90511271394621</v>
      </c>
      <c r="R282" s="2">
        <f t="shared" si="82"/>
        <v>89314.850985500641</v>
      </c>
      <c r="S282" s="2">
        <f t="shared" si="83"/>
        <v>214647.56305095079</v>
      </c>
      <c r="T282" s="2">
        <f t="shared" si="84"/>
        <v>568816.04208501952</v>
      </c>
      <c r="U282">
        <f t="shared" ref="U282:U291" si="88">$AC$283*100</f>
        <v>208.40700000000004</v>
      </c>
      <c r="V282">
        <v>0.5</v>
      </c>
      <c r="W282">
        <v>0</v>
      </c>
      <c r="X282" t="s">
        <v>459</v>
      </c>
      <c r="Y282">
        <f>AVERAGE(550,88)*0.453592</f>
        <v>144.69584800000001</v>
      </c>
      <c r="Z282">
        <f>AVERAGE(180,285)*0.45392</f>
        <v>105.5364</v>
      </c>
      <c r="AA282">
        <f>610*0.453592</f>
        <v>276.69112000000001</v>
      </c>
      <c r="AB282">
        <f>300*0.453592</f>
        <v>136.07759999999999</v>
      </c>
      <c r="AC282">
        <f>AVERAGE(Y282:AB282)</f>
        <v>165.75024199999999</v>
      </c>
    </row>
    <row r="283" spans="1:29" x14ac:dyDescent="0.25">
      <c r="A283" t="s">
        <v>77</v>
      </c>
      <c r="B283" t="s">
        <v>78</v>
      </c>
      <c r="C283">
        <v>2</v>
      </c>
      <c r="D283">
        <v>3</v>
      </c>
      <c r="E283">
        <f t="shared" si="71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f t="shared" si="80"/>
        <v>353.12476735426327</v>
      </c>
      <c r="P283">
        <f t="shared" si="81"/>
        <v>77.964971040416785</v>
      </c>
      <c r="Q283" s="2">
        <f t="shared" si="87"/>
        <v>198.03102644265863</v>
      </c>
      <c r="R283" s="2">
        <f t="shared" si="82"/>
        <v>160174.89061800367</v>
      </c>
      <c r="S283" s="2">
        <f t="shared" si="83"/>
        <v>384943.26031724026</v>
      </c>
      <c r="T283" s="2">
        <f t="shared" si="84"/>
        <v>1020099.6398406867</v>
      </c>
      <c r="U283">
        <f t="shared" si="88"/>
        <v>208.40700000000004</v>
      </c>
      <c r="V283">
        <v>0.5</v>
      </c>
      <c r="W283">
        <v>0</v>
      </c>
      <c r="X283" t="s">
        <v>460</v>
      </c>
      <c r="Y283">
        <f>AVERAGE(7.5, 10)*0.3048</f>
        <v>2.6670000000000003</v>
      </c>
      <c r="Z283">
        <f>5.5*0.3048</f>
        <v>1.6764000000000001</v>
      </c>
      <c r="AA283">
        <f>7.6*0.3048</f>
        <v>2.3164799999999999</v>
      </c>
      <c r="AB283">
        <f>5.5*0.3048</f>
        <v>1.6764000000000001</v>
      </c>
      <c r="AC283">
        <f>AVERAGE(Y283:AB283)</f>
        <v>2.0840700000000005</v>
      </c>
    </row>
    <row r="284" spans="1:29" x14ac:dyDescent="0.25">
      <c r="A284" t="s">
        <v>77</v>
      </c>
      <c r="B284" t="s">
        <v>78</v>
      </c>
      <c r="C284">
        <v>3</v>
      </c>
      <c r="D284">
        <v>3</v>
      </c>
      <c r="E284">
        <f t="shared" si="71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f t="shared" si="80"/>
        <v>396.44039314893666</v>
      </c>
      <c r="P284">
        <f t="shared" si="81"/>
        <v>81.138506834037244</v>
      </c>
      <c r="Q284" s="2">
        <f t="shared" si="87"/>
        <v>206.09180735845459</v>
      </c>
      <c r="R284" s="2">
        <f t="shared" si="82"/>
        <v>179822.55134623504</v>
      </c>
      <c r="S284" s="2">
        <f t="shared" si="83"/>
        <v>432161.86336514069</v>
      </c>
      <c r="T284" s="2">
        <f t="shared" si="84"/>
        <v>1145228.9379176227</v>
      </c>
      <c r="U284">
        <f t="shared" si="88"/>
        <v>208.40700000000004</v>
      </c>
      <c r="V284">
        <v>0.5</v>
      </c>
      <c r="W284">
        <v>0</v>
      </c>
      <c r="X284" t="s">
        <v>461</v>
      </c>
      <c r="Y284">
        <v>30</v>
      </c>
      <c r="Z284">
        <v>30</v>
      </c>
    </row>
    <row r="285" spans="1:29" x14ac:dyDescent="0.25">
      <c r="A285" t="s">
        <v>77</v>
      </c>
      <c r="B285" t="s">
        <v>78</v>
      </c>
      <c r="C285">
        <v>4</v>
      </c>
      <c r="D285">
        <v>3</v>
      </c>
      <c r="E285">
        <f t="shared" si="71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>
        <f t="shared" si="80"/>
        <v>406.55725291291765</v>
      </c>
      <c r="P285">
        <f t="shared" si="81"/>
        <v>81.846618383904541</v>
      </c>
      <c r="Q285" s="2">
        <f t="shared" si="87"/>
        <v>207.89041069511754</v>
      </c>
      <c r="R285" s="2">
        <f t="shared" si="82"/>
        <v>184411.48720093153</v>
      </c>
      <c r="S285" s="2">
        <f t="shared" si="83"/>
        <v>443190.30810125335</v>
      </c>
      <c r="T285" s="2">
        <f t="shared" si="84"/>
        <v>1174454.3164683213</v>
      </c>
      <c r="U285">
        <f t="shared" si="88"/>
        <v>208.40700000000004</v>
      </c>
      <c r="V285">
        <v>0.5</v>
      </c>
      <c r="W285">
        <v>0</v>
      </c>
      <c r="X285" t="s">
        <v>462</v>
      </c>
      <c r="Y285">
        <f>35*0.453592</f>
        <v>15.875719999999999</v>
      </c>
      <c r="Z285">
        <f>24*0.453592</f>
        <v>10.886208</v>
      </c>
    </row>
    <row r="286" spans="1:29" x14ac:dyDescent="0.25">
      <c r="A286" t="s">
        <v>77</v>
      </c>
      <c r="B286" t="s">
        <v>78</v>
      </c>
      <c r="C286">
        <v>5</v>
      </c>
      <c r="D286">
        <v>3</v>
      </c>
      <c r="E286">
        <f t="shared" si="71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f t="shared" si="80"/>
        <v>408.83746436511427</v>
      </c>
      <c r="P286">
        <f t="shared" si="81"/>
        <v>82.00461942742939</v>
      </c>
      <c r="Q286" s="2">
        <f t="shared" si="87"/>
        <v>208.29173334567065</v>
      </c>
      <c r="R286" s="2">
        <f t="shared" si="82"/>
        <v>185445.77494766185</v>
      </c>
      <c r="S286" s="2">
        <f t="shared" si="83"/>
        <v>445675.97920610878</v>
      </c>
      <c r="T286" s="2">
        <f t="shared" si="84"/>
        <v>1181041.3448961882</v>
      </c>
      <c r="U286">
        <f t="shared" si="88"/>
        <v>208.40700000000004</v>
      </c>
      <c r="V286">
        <v>0.5</v>
      </c>
      <c r="W286">
        <v>0</v>
      </c>
      <c r="X286" t="s">
        <v>463</v>
      </c>
    </row>
    <row r="287" spans="1:29" x14ac:dyDescent="0.25">
      <c r="A287" t="s">
        <v>77</v>
      </c>
      <c r="B287" t="s">
        <v>78</v>
      </c>
      <c r="C287">
        <v>6</v>
      </c>
      <c r="D287">
        <v>3</v>
      </c>
      <c r="E287">
        <f t="shared" si="71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f t="shared" si="80"/>
        <v>409.34738895909385</v>
      </c>
      <c r="P287">
        <f t="shared" si="81"/>
        <v>82.039874225574707</v>
      </c>
      <c r="Q287" s="2">
        <f t="shared" si="87"/>
        <v>208.38128053295975</v>
      </c>
      <c r="R287" s="2">
        <f t="shared" si="82"/>
        <v>185677.07312783782</v>
      </c>
      <c r="S287" s="2">
        <f t="shared" si="83"/>
        <v>446231.85082393134</v>
      </c>
      <c r="T287" s="2">
        <f t="shared" si="84"/>
        <v>1182514.4046834181</v>
      </c>
      <c r="U287">
        <f t="shared" si="88"/>
        <v>208.40700000000004</v>
      </c>
      <c r="V287">
        <v>0.5</v>
      </c>
      <c r="W287">
        <v>0</v>
      </c>
      <c r="X287" t="s">
        <v>464</v>
      </c>
    </row>
    <row r="288" spans="1:29" x14ac:dyDescent="0.25">
      <c r="A288" t="s">
        <v>77</v>
      </c>
      <c r="B288" t="s">
        <v>78</v>
      </c>
      <c r="C288">
        <v>7</v>
      </c>
      <c r="D288">
        <v>3</v>
      </c>
      <c r="E288">
        <f t="shared" si="71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>
        <f t="shared" si="80"/>
        <v>409.46122534671082</v>
      </c>
      <c r="P288">
        <f t="shared" si="81"/>
        <v>82.047740634330879</v>
      </c>
      <c r="Q288" s="2">
        <f t="shared" si="87"/>
        <v>208.40126121120042</v>
      </c>
      <c r="R288" s="2">
        <f t="shared" si="82"/>
        <v>185728.70850609665</v>
      </c>
      <c r="S288" s="2">
        <f t="shared" si="83"/>
        <v>446355.94449915079</v>
      </c>
      <c r="T288" s="2">
        <f t="shared" si="84"/>
        <v>1182843.2529227496</v>
      </c>
      <c r="U288">
        <f t="shared" si="88"/>
        <v>208.40700000000004</v>
      </c>
      <c r="V288">
        <v>0.5</v>
      </c>
      <c r="W288">
        <v>0</v>
      </c>
      <c r="X288" t="s">
        <v>434</v>
      </c>
      <c r="Y288" s="7" t="s">
        <v>629</v>
      </c>
      <c r="Z288" s="7" t="s">
        <v>630</v>
      </c>
      <c r="AA288" s="7" t="s">
        <v>631</v>
      </c>
    </row>
    <row r="289" spans="1:26" x14ac:dyDescent="0.25">
      <c r="A289" t="s">
        <v>77</v>
      </c>
      <c r="B289" t="s">
        <v>78</v>
      </c>
      <c r="C289">
        <v>8</v>
      </c>
      <c r="D289">
        <v>3</v>
      </c>
      <c r="E289">
        <f t="shared" si="71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f t="shared" si="80"/>
        <v>409.48662850803771</v>
      </c>
      <c r="P289">
        <f t="shared" si="81"/>
        <v>82.049495867376422</v>
      </c>
      <c r="Q289" s="2">
        <f t="shared" si="87"/>
        <v>208.40571950313611</v>
      </c>
      <c r="R289" s="2">
        <f t="shared" si="82"/>
        <v>185740.23119995178</v>
      </c>
      <c r="S289" s="2">
        <f t="shared" si="83"/>
        <v>446383.63662569522</v>
      </c>
      <c r="T289" s="2">
        <f t="shared" si="84"/>
        <v>1182916.6370580923</v>
      </c>
      <c r="U289">
        <f t="shared" si="88"/>
        <v>208.40700000000004</v>
      </c>
      <c r="V289">
        <v>0.5</v>
      </c>
      <c r="W289">
        <v>0</v>
      </c>
      <c r="X289" t="s">
        <v>469</v>
      </c>
      <c r="Y289">
        <v>11</v>
      </c>
      <c r="Z289">
        <v>10</v>
      </c>
    </row>
    <row r="290" spans="1:26" x14ac:dyDescent="0.25">
      <c r="A290" t="s">
        <v>77</v>
      </c>
      <c r="B290" t="s">
        <v>78</v>
      </c>
      <c r="C290">
        <v>9</v>
      </c>
      <c r="D290">
        <v>3</v>
      </c>
      <c r="E290">
        <f t="shared" si="71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f t="shared" si="80"/>
        <v>409.4922968603928</v>
      </c>
      <c r="P290">
        <f t="shared" si="81"/>
        <v>82.049887512806976</v>
      </c>
      <c r="Q290" s="2">
        <f t="shared" si="87"/>
        <v>208.40671428252972</v>
      </c>
      <c r="R290" s="2">
        <f t="shared" si="82"/>
        <v>185742.80232438823</v>
      </c>
      <c r="S290" s="2">
        <f t="shared" si="83"/>
        <v>446389.81572792178</v>
      </c>
      <c r="T290" s="2">
        <f t="shared" si="84"/>
        <v>1182933.0116789928</v>
      </c>
      <c r="U290">
        <f t="shared" si="88"/>
        <v>208.40700000000004</v>
      </c>
      <c r="V290">
        <v>0.5</v>
      </c>
      <c r="W290">
        <v>0</v>
      </c>
      <c r="X290" t="s">
        <v>470</v>
      </c>
      <c r="Z290">
        <v>5</v>
      </c>
    </row>
    <row r="291" spans="1:26" x14ac:dyDescent="0.25">
      <c r="A291" t="s">
        <v>77</v>
      </c>
      <c r="B291" t="s">
        <v>78</v>
      </c>
      <c r="C291">
        <v>10</v>
      </c>
      <c r="D291">
        <v>3</v>
      </c>
      <c r="E291">
        <f t="shared" si="71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f t="shared" si="80"/>
        <v>409.49356164777606</v>
      </c>
      <c r="P291">
        <f t="shared" si="81"/>
        <v>82.049974900714616</v>
      </c>
      <c r="Q291" s="2">
        <f t="shared" si="87"/>
        <v>208.40693624781514</v>
      </c>
      <c r="R291" s="2">
        <f t="shared" si="82"/>
        <v>185743.37602297723</v>
      </c>
      <c r="S291" s="2">
        <f t="shared" si="83"/>
        <v>446391.19447963766</v>
      </c>
      <c r="T291" s="2">
        <f t="shared" si="84"/>
        <v>1182936.6653710399</v>
      </c>
      <c r="U291">
        <f t="shared" si="88"/>
        <v>208.40700000000004</v>
      </c>
      <c r="V291">
        <v>0.5</v>
      </c>
      <c r="W291">
        <v>0</v>
      </c>
      <c r="X291" t="s">
        <v>471</v>
      </c>
      <c r="Y291">
        <f>3/52</f>
        <v>5.7692307692307696E-2</v>
      </c>
      <c r="Z291">
        <f>6/52</f>
        <v>0.11538461538461539</v>
      </c>
    </row>
    <row r="292" spans="1:26" x14ac:dyDescent="0.25">
      <c r="A292" t="s">
        <v>79</v>
      </c>
      <c r="B292" t="s">
        <v>80</v>
      </c>
      <c r="C292">
        <v>1</v>
      </c>
      <c r="D292">
        <v>2</v>
      </c>
      <c r="E292">
        <f t="shared" si="71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f t="shared" si="80"/>
        <v>8.6876313928669013E-2</v>
      </c>
      <c r="P292">
        <f t="shared" si="81"/>
        <v>6.7972274277636542</v>
      </c>
      <c r="Q292">
        <f t="shared" ref="Q292:Q301" si="89">59.9*(1-EXP(-0.17*(E292)))</f>
        <v>17.264957666519681</v>
      </c>
      <c r="R292">
        <f t="shared" si="82"/>
        <v>39.40647999594897</v>
      </c>
      <c r="S292">
        <f t="shared" si="83"/>
        <v>94.704349906149901</v>
      </c>
      <c r="T292">
        <f t="shared" si="84"/>
        <v>250.96652725129724</v>
      </c>
      <c r="U292">
        <v>59.9</v>
      </c>
      <c r="V292">
        <v>0.17</v>
      </c>
      <c r="W292">
        <v>0</v>
      </c>
      <c r="Y292" t="s">
        <v>632</v>
      </c>
    </row>
    <row r="293" spans="1:26" x14ac:dyDescent="0.25">
      <c r="A293" t="s">
        <v>79</v>
      </c>
      <c r="B293" t="s">
        <v>80</v>
      </c>
      <c r="C293">
        <v>2</v>
      </c>
      <c r="D293">
        <v>2</v>
      </c>
      <c r="E293">
        <f t="shared" si="71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f t="shared" si="80"/>
        <v>0.50789019582223249</v>
      </c>
      <c r="P293">
        <f t="shared" si="81"/>
        <v>11.635292187913853</v>
      </c>
      <c r="Q293">
        <f t="shared" si="89"/>
        <v>29.553642157301187</v>
      </c>
      <c r="R293">
        <f t="shared" si="82"/>
        <v>230.3753915968432</v>
      </c>
      <c r="S293">
        <f t="shared" si="83"/>
        <v>553.65390914886609</v>
      </c>
      <c r="T293">
        <f t="shared" si="84"/>
        <v>1467.1828592444951</v>
      </c>
      <c r="U293">
        <v>59.9</v>
      </c>
      <c r="V293">
        <v>0.17</v>
      </c>
      <c r="W293">
        <v>0</v>
      </c>
    </row>
    <row r="294" spans="1:26" x14ac:dyDescent="0.25">
      <c r="A294" t="s">
        <v>79</v>
      </c>
      <c r="B294" t="s">
        <v>80</v>
      </c>
      <c r="C294">
        <v>3</v>
      </c>
      <c r="D294">
        <v>2</v>
      </c>
      <c r="E294">
        <f t="shared" si="71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f t="shared" si="80"/>
        <v>1.1902389469204189</v>
      </c>
      <c r="P294">
        <f t="shared" si="81"/>
        <v>15.078883103792364</v>
      </c>
      <c r="Q294">
        <f t="shared" si="89"/>
        <v>38.300363083632604</v>
      </c>
      <c r="R294">
        <f t="shared" si="82"/>
        <v>539.88394685724472</v>
      </c>
      <c r="S294">
        <f t="shared" si="83"/>
        <v>1297.4860534901338</v>
      </c>
      <c r="T294">
        <f t="shared" si="84"/>
        <v>3438.3380417488547</v>
      </c>
      <c r="U294">
        <v>59.9</v>
      </c>
      <c r="V294">
        <v>0.17</v>
      </c>
      <c r="W294">
        <v>0</v>
      </c>
    </row>
    <row r="295" spans="1:26" x14ac:dyDescent="0.25">
      <c r="A295" t="s">
        <v>79</v>
      </c>
      <c r="B295" t="s">
        <v>80</v>
      </c>
      <c r="C295">
        <v>4</v>
      </c>
      <c r="D295">
        <v>2</v>
      </c>
      <c r="E295">
        <f t="shared" si="71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f t="shared" si="80"/>
        <v>1.9521322166409434</v>
      </c>
      <c r="P295">
        <f t="shared" si="81"/>
        <v>17.529928921449606</v>
      </c>
      <c r="Q295">
        <f t="shared" si="89"/>
        <v>44.526019460482004</v>
      </c>
      <c r="R295">
        <f t="shared" si="82"/>
        <v>885.47333174921005</v>
      </c>
      <c r="S295">
        <f t="shared" si="83"/>
        <v>2128.0301171574383</v>
      </c>
      <c r="T295">
        <f t="shared" si="84"/>
        <v>5639.2798104672111</v>
      </c>
      <c r="U295">
        <v>59.9</v>
      </c>
      <c r="V295">
        <v>0.17</v>
      </c>
      <c r="W295">
        <v>0</v>
      </c>
    </row>
    <row r="296" spans="1:26" x14ac:dyDescent="0.25">
      <c r="A296" t="s">
        <v>79</v>
      </c>
      <c r="B296" t="s">
        <v>80</v>
      </c>
      <c r="C296">
        <v>5</v>
      </c>
      <c r="D296">
        <v>2</v>
      </c>
      <c r="E296">
        <f t="shared" si="71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f t="shared" si="80"/>
        <v>2.666009883957372</v>
      </c>
      <c r="P296">
        <f t="shared" si="81"/>
        <v>19.274510594189447</v>
      </c>
      <c r="Q296">
        <f t="shared" si="89"/>
        <v>48.957256909241195</v>
      </c>
      <c r="R296">
        <f t="shared" si="82"/>
        <v>1209.2831798483965</v>
      </c>
      <c r="S296">
        <f t="shared" si="83"/>
        <v>2906.2321073020826</v>
      </c>
      <c r="T296">
        <f t="shared" si="84"/>
        <v>7701.5150843505189</v>
      </c>
      <c r="U296">
        <v>59.9</v>
      </c>
      <c r="V296">
        <v>0.17</v>
      </c>
      <c r="W296">
        <v>0</v>
      </c>
    </row>
    <row r="297" spans="1:26" x14ac:dyDescent="0.25">
      <c r="A297" t="s">
        <v>79</v>
      </c>
      <c r="B297" t="s">
        <v>80</v>
      </c>
      <c r="C297">
        <v>6</v>
      </c>
      <c r="D297">
        <v>2</v>
      </c>
      <c r="E297">
        <f t="shared" si="71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f t="shared" si="80"/>
        <v>3.2729052631188242</v>
      </c>
      <c r="P297">
        <f t="shared" si="81"/>
        <v>20.516252054481214</v>
      </c>
      <c r="Q297">
        <f t="shared" si="89"/>
        <v>52.111280218382284</v>
      </c>
      <c r="R297">
        <f t="shared" si="82"/>
        <v>1484.5666206052854</v>
      </c>
      <c r="S297">
        <f t="shared" si="83"/>
        <v>3567.8121139276268</v>
      </c>
      <c r="T297">
        <f t="shared" si="84"/>
        <v>9454.7021019082113</v>
      </c>
      <c r="U297">
        <v>59.9</v>
      </c>
      <c r="V297">
        <v>0.17</v>
      </c>
      <c r="W297">
        <v>0</v>
      </c>
    </row>
    <row r="298" spans="1:26" x14ac:dyDescent="0.25">
      <c r="A298" t="s">
        <v>79</v>
      </c>
      <c r="B298" t="s">
        <v>80</v>
      </c>
      <c r="C298">
        <v>7</v>
      </c>
      <c r="D298">
        <v>2</v>
      </c>
      <c r="E298">
        <f t="shared" si="71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f t="shared" si="80"/>
        <v>3.7592953668596425</v>
      </c>
      <c r="P298">
        <f t="shared" si="81"/>
        <v>21.400086774460803</v>
      </c>
      <c r="Q298">
        <f t="shared" si="89"/>
        <v>54.356220407130436</v>
      </c>
      <c r="R298">
        <f t="shared" si="82"/>
        <v>1705.1897228817857</v>
      </c>
      <c r="S298">
        <f t="shared" si="83"/>
        <v>4098.0286538855698</v>
      </c>
      <c r="T298">
        <f t="shared" si="84"/>
        <v>10859.77593279676</v>
      </c>
      <c r="U298">
        <v>59.9</v>
      </c>
      <c r="V298">
        <v>0.17</v>
      </c>
      <c r="W298">
        <v>0</v>
      </c>
    </row>
    <row r="299" spans="1:26" x14ac:dyDescent="0.25">
      <c r="A299" t="s">
        <v>79</v>
      </c>
      <c r="B299" t="s">
        <v>80</v>
      </c>
      <c r="C299">
        <v>8</v>
      </c>
      <c r="D299">
        <v>2</v>
      </c>
      <c r="E299">
        <f t="shared" si="71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f t="shared" si="80"/>
        <v>4.1346671731349414</v>
      </c>
      <c r="P299">
        <f t="shared" si="81"/>
        <v>22.029174098369474</v>
      </c>
      <c r="Q299">
        <f t="shared" si="89"/>
        <v>55.954102209858462</v>
      </c>
      <c r="R299">
        <f t="shared" si="82"/>
        <v>1875.45571261031</v>
      </c>
      <c r="S299">
        <f t="shared" si="83"/>
        <v>4507.223534271352</v>
      </c>
      <c r="T299">
        <f t="shared" si="84"/>
        <v>11944.142365819083</v>
      </c>
      <c r="U299">
        <v>59.9</v>
      </c>
      <c r="V299">
        <v>0.17</v>
      </c>
      <c r="W299">
        <v>0</v>
      </c>
    </row>
    <row r="300" spans="1:26" x14ac:dyDescent="0.25">
      <c r="A300" t="s">
        <v>79</v>
      </c>
      <c r="B300" t="s">
        <v>80</v>
      </c>
      <c r="C300">
        <v>9</v>
      </c>
      <c r="D300">
        <v>2</v>
      </c>
      <c r="E300">
        <f t="shared" si="71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f t="shared" si="80"/>
        <v>4.417210160077591</v>
      </c>
      <c r="P300">
        <f t="shared" si="81"/>
        <v>22.476939785953814</v>
      </c>
      <c r="Q300">
        <f t="shared" si="89"/>
        <v>57.091427056322686</v>
      </c>
      <c r="R300">
        <f t="shared" si="82"/>
        <v>2003.6152080982622</v>
      </c>
      <c r="S300">
        <f t="shared" si="83"/>
        <v>4815.2252057156029</v>
      </c>
      <c r="T300">
        <f t="shared" si="84"/>
        <v>12760.346795146348</v>
      </c>
      <c r="U300">
        <v>59.9</v>
      </c>
      <c r="V300">
        <v>0.17</v>
      </c>
      <c r="W300">
        <v>0</v>
      </c>
    </row>
    <row r="301" spans="1:26" x14ac:dyDescent="0.25">
      <c r="A301" t="s">
        <v>79</v>
      </c>
      <c r="B301" t="s">
        <v>80</v>
      </c>
      <c r="C301">
        <v>10</v>
      </c>
      <c r="D301">
        <v>2</v>
      </c>
      <c r="E301">
        <f t="shared" si="71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f t="shared" si="80"/>
        <v>4.6263121354707657</v>
      </c>
      <c r="P301">
        <f t="shared" si="81"/>
        <v>22.795646113927745</v>
      </c>
      <c r="Q301">
        <f t="shared" si="89"/>
        <v>57.90094112937647</v>
      </c>
      <c r="R301">
        <f t="shared" si="82"/>
        <v>2098.4623814855918</v>
      </c>
      <c r="S301">
        <f t="shared" si="83"/>
        <v>5043.168424622907</v>
      </c>
      <c r="T301">
        <f t="shared" si="84"/>
        <v>13364.396325250704</v>
      </c>
      <c r="U301">
        <v>59.9</v>
      </c>
      <c r="V301">
        <v>0.17</v>
      </c>
      <c r="W301">
        <v>0</v>
      </c>
    </row>
    <row r="302" spans="1:26" x14ac:dyDescent="0.25">
      <c r="A302" t="s">
        <v>81</v>
      </c>
      <c r="B302" t="s">
        <v>82</v>
      </c>
      <c r="C302">
        <v>1</v>
      </c>
      <c r="D302">
        <v>2</v>
      </c>
      <c r="E302">
        <f t="shared" si="71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f t="shared" si="80"/>
        <v>0.9431020395102423</v>
      </c>
      <c r="P302">
        <f t="shared" si="81"/>
        <v>12.028482593371407</v>
      </c>
      <c r="Q302">
        <f t="shared" ref="Q302:Q311" si="90">106*(1-EXP(-0.17*(E302)))</f>
        <v>30.552345787163375</v>
      </c>
      <c r="R302">
        <f t="shared" si="82"/>
        <v>427.78439799613642</v>
      </c>
      <c r="S302">
        <f t="shared" si="83"/>
        <v>1028.0807450039329</v>
      </c>
      <c r="T302">
        <f t="shared" si="84"/>
        <v>2724.413974260422</v>
      </c>
      <c r="U302">
        <v>106</v>
      </c>
      <c r="V302">
        <v>0.17</v>
      </c>
      <c r="W302">
        <v>0</v>
      </c>
      <c r="Y302" t="s">
        <v>633</v>
      </c>
    </row>
    <row r="303" spans="1:26" x14ac:dyDescent="0.25">
      <c r="A303" t="s">
        <v>81</v>
      </c>
      <c r="B303" t="s">
        <v>82</v>
      </c>
      <c r="C303">
        <v>2</v>
      </c>
      <c r="D303">
        <v>2</v>
      </c>
      <c r="E303">
        <f t="shared" si="71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f t="shared" si="80"/>
        <v>4.7303705484569845</v>
      </c>
      <c r="P303">
        <f t="shared" si="81"/>
        <v>20.589999531199805</v>
      </c>
      <c r="Q303">
        <f t="shared" si="90"/>
        <v>52.298598809247508</v>
      </c>
      <c r="R303">
        <f t="shared" si="82"/>
        <v>2145.6625397832663</v>
      </c>
      <c r="S303">
        <f t="shared" si="83"/>
        <v>5156.6030756627415</v>
      </c>
      <c r="T303">
        <f t="shared" si="84"/>
        <v>13664.998150506264</v>
      </c>
      <c r="U303">
        <v>106</v>
      </c>
      <c r="V303">
        <v>0.17</v>
      </c>
      <c r="W303">
        <v>0</v>
      </c>
    </row>
    <row r="304" spans="1:26" x14ac:dyDescent="0.25">
      <c r="A304" t="s">
        <v>81</v>
      </c>
      <c r="B304" t="s">
        <v>82</v>
      </c>
      <c r="C304">
        <v>3</v>
      </c>
      <c r="D304">
        <v>2</v>
      </c>
      <c r="E304">
        <f t="shared" si="71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f t="shared" si="80"/>
        <v>10.296053813818979</v>
      </c>
      <c r="P304">
        <f t="shared" si="81"/>
        <v>26.683833205375471</v>
      </c>
      <c r="Q304">
        <f t="shared" si="90"/>
        <v>67.776936341653695</v>
      </c>
      <c r="R304">
        <f t="shared" si="82"/>
        <v>4670.2170051160647</v>
      </c>
      <c r="S304">
        <f t="shared" si="83"/>
        <v>11223.785160096286</v>
      </c>
      <c r="T304">
        <f t="shared" si="84"/>
        <v>29743.030674255155</v>
      </c>
      <c r="U304">
        <v>106</v>
      </c>
      <c r="V304">
        <v>0.17</v>
      </c>
      <c r="W304">
        <v>0</v>
      </c>
    </row>
    <row r="305" spans="1:25" x14ac:dyDescent="0.25">
      <c r="A305" t="s">
        <v>81</v>
      </c>
      <c r="B305" t="s">
        <v>82</v>
      </c>
      <c r="C305">
        <v>4</v>
      </c>
      <c r="D305">
        <v>2</v>
      </c>
      <c r="E305">
        <f t="shared" si="71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f t="shared" si="80"/>
        <v>16.177214573687809</v>
      </c>
      <c r="P305">
        <f t="shared" si="81"/>
        <v>31.021243166505155</v>
      </c>
      <c r="Q305">
        <f t="shared" si="90"/>
        <v>78.79395764292309</v>
      </c>
      <c r="R305">
        <f t="shared" si="82"/>
        <v>7337.8698250436855</v>
      </c>
      <c r="S305">
        <f t="shared" si="83"/>
        <v>17634.871004671197</v>
      </c>
      <c r="T305">
        <f t="shared" si="84"/>
        <v>46732.40816237867</v>
      </c>
      <c r="U305">
        <v>106</v>
      </c>
      <c r="V305">
        <v>0.17</v>
      </c>
      <c r="W305">
        <v>0</v>
      </c>
    </row>
    <row r="306" spans="1:25" x14ac:dyDescent="0.25">
      <c r="A306" t="s">
        <v>81</v>
      </c>
      <c r="B306" t="s">
        <v>82</v>
      </c>
      <c r="C306">
        <v>5</v>
      </c>
      <c r="D306">
        <v>2</v>
      </c>
      <c r="E306">
        <f t="shared" si="71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f t="shared" si="80"/>
        <v>21.503708248125271</v>
      </c>
      <c r="P306">
        <f t="shared" si="81"/>
        <v>34.108482854492181</v>
      </c>
      <c r="Q306">
        <f t="shared" si="90"/>
        <v>86.635546450410132</v>
      </c>
      <c r="R306">
        <f t="shared" si="82"/>
        <v>9753.9295879223046</v>
      </c>
      <c r="S306">
        <f t="shared" si="83"/>
        <v>23441.3111942377</v>
      </c>
      <c r="T306">
        <f t="shared" si="84"/>
        <v>62119.474664729903</v>
      </c>
      <c r="U306">
        <v>106</v>
      </c>
      <c r="V306">
        <v>0.17</v>
      </c>
      <c r="W306">
        <v>0</v>
      </c>
    </row>
    <row r="307" spans="1:25" x14ac:dyDescent="0.25">
      <c r="A307" t="s">
        <v>81</v>
      </c>
      <c r="B307" t="s">
        <v>82</v>
      </c>
      <c r="C307">
        <v>6</v>
      </c>
      <c r="D307">
        <v>2</v>
      </c>
      <c r="E307">
        <f t="shared" si="71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f t="shared" si="80"/>
        <v>25.93327458768583</v>
      </c>
      <c r="P307">
        <f t="shared" si="81"/>
        <v>36.305888443656244</v>
      </c>
      <c r="Q307">
        <f t="shared" si="90"/>
        <v>92.216956646886857</v>
      </c>
      <c r="R307">
        <f t="shared" si="82"/>
        <v>11763.149471421755</v>
      </c>
      <c r="S307">
        <f t="shared" si="83"/>
        <v>28270.005939489918</v>
      </c>
      <c r="T307">
        <f t="shared" si="84"/>
        <v>74915.515739648283</v>
      </c>
      <c r="U307">
        <v>106</v>
      </c>
      <c r="V307">
        <v>0.17</v>
      </c>
      <c r="W307">
        <v>0</v>
      </c>
    </row>
    <row r="308" spans="1:25" x14ac:dyDescent="0.25">
      <c r="A308" t="s">
        <v>81</v>
      </c>
      <c r="B308" t="s">
        <v>82</v>
      </c>
      <c r="C308">
        <v>7</v>
      </c>
      <c r="D308">
        <v>2</v>
      </c>
      <c r="E308">
        <f t="shared" si="71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f t="shared" si="80"/>
        <v>29.431329680530105</v>
      </c>
      <c r="P308">
        <f t="shared" si="81"/>
        <v>37.869936529095909</v>
      </c>
      <c r="Q308">
        <f t="shared" si="90"/>
        <v>96.189638783903618</v>
      </c>
      <c r="R308">
        <f t="shared" si="82"/>
        <v>13349.842458351146</v>
      </c>
      <c r="S308">
        <f t="shared" si="83"/>
        <v>32083.255127015491</v>
      </c>
      <c r="T308">
        <f t="shared" si="84"/>
        <v>85020.626086591044</v>
      </c>
      <c r="U308">
        <v>106</v>
      </c>
      <c r="V308">
        <v>0.17</v>
      </c>
      <c r="W308">
        <v>0</v>
      </c>
    </row>
    <row r="309" spans="1:25" x14ac:dyDescent="0.25">
      <c r="A309" t="s">
        <v>81</v>
      </c>
      <c r="B309" t="s">
        <v>82</v>
      </c>
      <c r="C309">
        <v>8</v>
      </c>
      <c r="D309">
        <v>2</v>
      </c>
      <c r="E309">
        <f t="shared" ref="E309:E372" si="91">C309*D309</f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f t="shared" si="80"/>
        <v>32.103909769764918</v>
      </c>
      <c r="P309">
        <f t="shared" si="81"/>
        <v>38.983179539685551</v>
      </c>
      <c r="Q309">
        <f t="shared" si="90"/>
        <v>99.017276030801298</v>
      </c>
      <c r="R309">
        <f t="shared" si="82"/>
        <v>14562.105836726927</v>
      </c>
      <c r="S309">
        <f t="shared" si="83"/>
        <v>34996.649451398531</v>
      </c>
      <c r="T309">
        <f t="shared" si="84"/>
        <v>92741.121046206099</v>
      </c>
      <c r="U309">
        <v>106</v>
      </c>
      <c r="V309">
        <v>0.17</v>
      </c>
      <c r="W309">
        <v>0</v>
      </c>
    </row>
    <row r="310" spans="1:25" x14ac:dyDescent="0.25">
      <c r="A310" t="s">
        <v>81</v>
      </c>
      <c r="B310" t="s">
        <v>82</v>
      </c>
      <c r="C310">
        <v>9</v>
      </c>
      <c r="D310">
        <v>2</v>
      </c>
      <c r="E310">
        <f t="shared" si="91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f t="shared" si="80"/>
        <v>34.101605570848228</v>
      </c>
      <c r="P310">
        <f t="shared" si="81"/>
        <v>39.775552876646145</v>
      </c>
      <c r="Q310">
        <f t="shared" si="90"/>
        <v>101.02990430668122</v>
      </c>
      <c r="R310">
        <f t="shared" si="82"/>
        <v>15468.246487307668</v>
      </c>
      <c r="S310">
        <f t="shared" si="83"/>
        <v>37174.3486837483</v>
      </c>
      <c r="T310">
        <f t="shared" si="84"/>
        <v>98512.024011932997</v>
      </c>
      <c r="U310">
        <v>106</v>
      </c>
      <c r="V310">
        <v>0.17</v>
      </c>
      <c r="W310">
        <v>0</v>
      </c>
    </row>
    <row r="311" spans="1:25" x14ac:dyDescent="0.25">
      <c r="A311" t="s">
        <v>81</v>
      </c>
      <c r="B311" t="s">
        <v>82</v>
      </c>
      <c r="C311">
        <v>10</v>
      </c>
      <c r="D311">
        <v>2</v>
      </c>
      <c r="E311">
        <f t="shared" si="91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f t="shared" si="80"/>
        <v>35.572877697979344</v>
      </c>
      <c r="P311">
        <f t="shared" si="81"/>
        <v>40.339540702443088</v>
      </c>
      <c r="Q311">
        <f t="shared" si="90"/>
        <v>102.46243338420544</v>
      </c>
      <c r="R311">
        <f t="shared" si="82"/>
        <v>16135.605092024631</v>
      </c>
      <c r="S311">
        <f t="shared" si="83"/>
        <v>38778.190560020739</v>
      </c>
      <c r="T311">
        <f t="shared" si="84"/>
        <v>102762.20498405496</v>
      </c>
      <c r="U311">
        <v>106</v>
      </c>
      <c r="V311">
        <v>0.17</v>
      </c>
      <c r="W311">
        <v>0</v>
      </c>
    </row>
    <row r="312" spans="1:25" x14ac:dyDescent="0.25">
      <c r="A312" t="s">
        <v>83</v>
      </c>
      <c r="B312" t="s">
        <v>84</v>
      </c>
      <c r="C312">
        <v>1</v>
      </c>
      <c r="D312">
        <v>7</v>
      </c>
      <c r="E312">
        <f t="shared" si="91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f t="shared" si="80"/>
        <v>44.926030931406785</v>
      </c>
      <c r="P312">
        <f t="shared" si="81"/>
        <v>61.294729535488813</v>
      </c>
      <c r="Q312">
        <f t="shared" ref="Q312:Q321" si="92">280*(1-EXP(-0.116*(E312)))</f>
        <v>155.68861302014159</v>
      </c>
      <c r="R312">
        <f t="shared" si="82"/>
        <v>20378.129079572347</v>
      </c>
      <c r="S312">
        <f t="shared" si="83"/>
        <v>48974.114586811695</v>
      </c>
      <c r="T312">
        <f t="shared" si="84"/>
        <v>129781.40365505099</v>
      </c>
      <c r="U312">
        <v>280</v>
      </c>
      <c r="V312">
        <v>0.11600000000000001</v>
      </c>
      <c r="W312">
        <v>0</v>
      </c>
      <c r="Y312" t="s">
        <v>634</v>
      </c>
    </row>
    <row r="313" spans="1:25" x14ac:dyDescent="0.25">
      <c r="A313" t="s">
        <v>83</v>
      </c>
      <c r="B313" t="s">
        <v>84</v>
      </c>
      <c r="C313">
        <v>2</v>
      </c>
      <c r="D313">
        <v>7</v>
      </c>
      <c r="E313">
        <f t="shared" si="91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f t="shared" si="80"/>
        <v>135.26077658038764</v>
      </c>
      <c r="P313">
        <f t="shared" si="81"/>
        <v>88.507703975174209</v>
      </c>
      <c r="Q313">
        <f t="shared" si="92"/>
        <v>224.80956809694248</v>
      </c>
      <c r="R313">
        <f t="shared" si="82"/>
        <v>61353.329181622066</v>
      </c>
      <c r="S313">
        <f t="shared" si="83"/>
        <v>147448.52002312441</v>
      </c>
      <c r="T313">
        <f t="shared" si="84"/>
        <v>390738.57806127967</v>
      </c>
      <c r="U313">
        <v>280</v>
      </c>
      <c r="V313">
        <v>0.11600000000000001</v>
      </c>
      <c r="W313">
        <v>0</v>
      </c>
    </row>
    <row r="314" spans="1:25" x14ac:dyDescent="0.25">
      <c r="A314" t="s">
        <v>83</v>
      </c>
      <c r="B314" t="s">
        <v>84</v>
      </c>
      <c r="C314">
        <v>3</v>
      </c>
      <c r="D314">
        <v>7</v>
      </c>
      <c r="E314">
        <f t="shared" si="91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f t="shared" si="80"/>
        <v>198.55721021722917</v>
      </c>
      <c r="P314">
        <f t="shared" si="81"/>
        <v>100.58942753390535</v>
      </c>
      <c r="Q314">
        <f t="shared" si="92"/>
        <v>255.49714593611961</v>
      </c>
      <c r="R314">
        <f t="shared" si="82"/>
        <v>90064.142671856898</v>
      </c>
      <c r="S314">
        <f t="shared" si="83"/>
        <v>216448.31211693559</v>
      </c>
      <c r="T314">
        <f t="shared" si="84"/>
        <v>573588.0271098793</v>
      </c>
      <c r="U314">
        <v>280</v>
      </c>
      <c r="V314">
        <v>0.11600000000000001</v>
      </c>
      <c r="W314">
        <v>0</v>
      </c>
    </row>
    <row r="315" spans="1:25" x14ac:dyDescent="0.25">
      <c r="A315" t="s">
        <v>83</v>
      </c>
      <c r="B315" t="s">
        <v>84</v>
      </c>
      <c r="C315">
        <v>4</v>
      </c>
      <c r="D315">
        <v>7</v>
      </c>
      <c r="E315">
        <f t="shared" si="91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f t="shared" si="80"/>
        <v>232.04521740618117</v>
      </c>
      <c r="P315">
        <f t="shared" si="81"/>
        <v>105.95334115066643</v>
      </c>
      <c r="Q315">
        <f t="shared" si="92"/>
        <v>269.12148652269275</v>
      </c>
      <c r="R315">
        <f t="shared" si="82"/>
        <v>105254.06528389525</v>
      </c>
      <c r="S315">
        <f t="shared" si="83"/>
        <v>252953.77381373526</v>
      </c>
      <c r="T315">
        <f t="shared" si="84"/>
        <v>670327.50060639845</v>
      </c>
      <c r="U315">
        <v>280</v>
      </c>
      <c r="V315">
        <v>0.11600000000000001</v>
      </c>
      <c r="W315">
        <v>0</v>
      </c>
    </row>
    <row r="316" spans="1:25" x14ac:dyDescent="0.25">
      <c r="A316" t="s">
        <v>83</v>
      </c>
      <c r="B316" t="s">
        <v>84</v>
      </c>
      <c r="C316">
        <v>5</v>
      </c>
      <c r="D316">
        <v>7</v>
      </c>
      <c r="E316">
        <f t="shared" si="91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f t="shared" si="80"/>
        <v>248.04590102666805</v>
      </c>
      <c r="P316">
        <f t="shared" si="81"/>
        <v>108.33475379830827</v>
      </c>
      <c r="Q316">
        <f t="shared" si="92"/>
        <v>275.17027464770302</v>
      </c>
      <c r="R316">
        <f t="shared" si="82"/>
        <v>112511.86192027108</v>
      </c>
      <c r="S316">
        <f t="shared" si="83"/>
        <v>270396.20745078364</v>
      </c>
      <c r="T316">
        <f t="shared" si="84"/>
        <v>716549.94974457659</v>
      </c>
      <c r="U316">
        <v>280</v>
      </c>
      <c r="V316">
        <v>0.11600000000000001</v>
      </c>
      <c r="W316">
        <v>0</v>
      </c>
    </row>
    <row r="317" spans="1:25" x14ac:dyDescent="0.25">
      <c r="A317" t="s">
        <v>83</v>
      </c>
      <c r="B317" t="s">
        <v>84</v>
      </c>
      <c r="C317">
        <v>6</v>
      </c>
      <c r="D317">
        <v>7</v>
      </c>
      <c r="E317">
        <f t="shared" si="91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f t="shared" si="80"/>
        <v>255.37928747878141</v>
      </c>
      <c r="P317">
        <f t="shared" si="81"/>
        <v>109.39202775973591</v>
      </c>
      <c r="Q317">
        <f t="shared" si="92"/>
        <v>277.85575050972921</v>
      </c>
      <c r="R317">
        <f t="shared" si="82"/>
        <v>115838.23401710109</v>
      </c>
      <c r="S317">
        <f t="shared" si="83"/>
        <v>278390.37254770752</v>
      </c>
      <c r="T317">
        <f t="shared" si="84"/>
        <v>737734.48725142493</v>
      </c>
      <c r="U317">
        <v>280</v>
      </c>
      <c r="V317">
        <v>0.11600000000000001</v>
      </c>
      <c r="W317">
        <v>0</v>
      </c>
    </row>
    <row r="318" spans="1:25" x14ac:dyDescent="0.25">
      <c r="A318" t="s">
        <v>83</v>
      </c>
      <c r="B318" t="s">
        <v>84</v>
      </c>
      <c r="C318">
        <v>7</v>
      </c>
      <c r="D318">
        <v>7</v>
      </c>
      <c r="E318">
        <f t="shared" si="91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f t="shared" si="80"/>
        <v>258.68088309191813</v>
      </c>
      <c r="P318">
        <f t="shared" si="81"/>
        <v>109.86142487603146</v>
      </c>
      <c r="Q318">
        <f t="shared" si="92"/>
        <v>279.04801918511993</v>
      </c>
      <c r="R318">
        <f t="shared" si="82"/>
        <v>117335.81437704373</v>
      </c>
      <c r="S318">
        <f t="shared" si="83"/>
        <v>281989.46017073718</v>
      </c>
      <c r="T318">
        <f t="shared" si="84"/>
        <v>747272.06945245352</v>
      </c>
      <c r="U318">
        <v>280</v>
      </c>
      <c r="V318">
        <v>0.11600000000000001</v>
      </c>
      <c r="W318">
        <v>0</v>
      </c>
    </row>
    <row r="319" spans="1:25" x14ac:dyDescent="0.25">
      <c r="A319" t="s">
        <v>83</v>
      </c>
      <c r="B319" t="s">
        <v>84</v>
      </c>
      <c r="C319">
        <v>8</v>
      </c>
      <c r="D319">
        <v>7</v>
      </c>
      <c r="E319">
        <f t="shared" si="91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f t="shared" si="80"/>
        <v>260.15576490301822</v>
      </c>
      <c r="P319">
        <f t="shared" si="81"/>
        <v>110.06982275664237</v>
      </c>
      <c r="Q319">
        <f t="shared" si="92"/>
        <v>279.57734980187161</v>
      </c>
      <c r="R319">
        <f t="shared" si="82"/>
        <v>118004.81030881433</v>
      </c>
      <c r="S319">
        <f t="shared" si="83"/>
        <v>283597.23698345188</v>
      </c>
      <c r="T319">
        <f t="shared" si="84"/>
        <v>751532.6780061475</v>
      </c>
      <c r="U319">
        <v>280</v>
      </c>
      <c r="V319">
        <v>0.11600000000000001</v>
      </c>
      <c r="W319">
        <v>0</v>
      </c>
    </row>
    <row r="320" spans="1:25" x14ac:dyDescent="0.25">
      <c r="A320" t="s">
        <v>83</v>
      </c>
      <c r="B320" t="s">
        <v>84</v>
      </c>
      <c r="C320">
        <v>9</v>
      </c>
      <c r="D320">
        <v>7</v>
      </c>
      <c r="E320">
        <f t="shared" si="91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f t="shared" si="80"/>
        <v>260.81235998792533</v>
      </c>
      <c r="P320">
        <f t="shared" si="81"/>
        <v>110.16234500515094</v>
      </c>
      <c r="Q320">
        <f t="shared" si="92"/>
        <v>279.8123563130834</v>
      </c>
      <c r="R320">
        <f t="shared" si="82"/>
        <v>118302.63718369848</v>
      </c>
      <c r="S320">
        <f t="shared" si="83"/>
        <v>284312.99491395935</v>
      </c>
      <c r="T320">
        <f t="shared" si="84"/>
        <v>753429.4365219922</v>
      </c>
      <c r="U320">
        <v>280</v>
      </c>
      <c r="V320">
        <v>0.11600000000000001</v>
      </c>
      <c r="W320">
        <v>0</v>
      </c>
    </row>
    <row r="321" spans="1:37" x14ac:dyDescent="0.25">
      <c r="A321" t="s">
        <v>83</v>
      </c>
      <c r="B321" t="s">
        <v>84</v>
      </c>
      <c r="C321">
        <v>10</v>
      </c>
      <c r="D321">
        <v>7</v>
      </c>
      <c r="E321">
        <f t="shared" si="91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f t="shared" si="80"/>
        <v>261.10422177632682</v>
      </c>
      <c r="P321">
        <f t="shared" si="81"/>
        <v>110.20342203743165</v>
      </c>
      <c r="Q321">
        <f t="shared" si="92"/>
        <v>279.91669197507639</v>
      </c>
      <c r="R321">
        <f t="shared" si="82"/>
        <v>118435.02362145261</v>
      </c>
      <c r="S321">
        <f t="shared" si="83"/>
        <v>284631.15506237105</v>
      </c>
      <c r="T321">
        <f t="shared" si="84"/>
        <v>754272.56091528328</v>
      </c>
      <c r="U321">
        <v>280</v>
      </c>
      <c r="V321">
        <v>0.11600000000000001</v>
      </c>
      <c r="W321">
        <v>0</v>
      </c>
      <c r="AK321" t="s">
        <v>453</v>
      </c>
    </row>
    <row r="322" spans="1:37" x14ac:dyDescent="0.25">
      <c r="A322" t="s">
        <v>85</v>
      </c>
      <c r="B322" t="s">
        <v>86</v>
      </c>
      <c r="C322">
        <v>1</v>
      </c>
      <c r="D322">
        <v>7</v>
      </c>
      <c r="E322">
        <f t="shared" si="91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>
        <f t="shared" ref="O322:O385" si="93">R322*0.00220462</f>
        <v>167.00697029103529</v>
      </c>
      <c r="P322">
        <f t="shared" ref="P322:P385" si="94">Q322/2.54</f>
        <v>74.940613492284385</v>
      </c>
      <c r="Q322" s="2">
        <f t="shared" ref="Q322:Q331" si="95">U322*(1-EXP(-V322*(E322-W322)))</f>
        <v>190.34915827040234</v>
      </c>
      <c r="R322" s="2">
        <f t="shared" ref="R322:R385" si="96">L322*(Q322^M322)</f>
        <v>75753.177550342138</v>
      </c>
      <c r="S322" s="2">
        <f t="shared" ref="S322:S385" si="97">R322/20/5.7/3.65*1000</f>
        <v>182055.22122168262</v>
      </c>
      <c r="T322" s="2">
        <f t="shared" ref="T322:T385" si="98">S322*2.65</f>
        <v>482446.33623745892</v>
      </c>
      <c r="U322">
        <f t="shared" ref="U322:U331" si="99">$AK$324</f>
        <v>309.24444444444441</v>
      </c>
      <c r="V322">
        <f t="shared" ref="V322:V331" si="100">$AK$325</f>
        <v>0.13655555555555554</v>
      </c>
      <c r="W322">
        <v>0</v>
      </c>
      <c r="Y322" t="s">
        <v>635</v>
      </c>
      <c r="Z322" t="s">
        <v>636</v>
      </c>
      <c r="AA322" t="s">
        <v>637</v>
      </c>
      <c r="AB322" t="s">
        <v>638</v>
      </c>
      <c r="AC322" t="s">
        <v>639</v>
      </c>
      <c r="AD322" t="s">
        <v>640</v>
      </c>
      <c r="AE322" t="s">
        <v>641</v>
      </c>
      <c r="AF322" t="s">
        <v>642</v>
      </c>
      <c r="AG322" t="s">
        <v>643</v>
      </c>
      <c r="AH322" t="s">
        <v>644</v>
      </c>
    </row>
    <row r="323" spans="1:37" x14ac:dyDescent="0.25">
      <c r="A323" t="s">
        <v>85</v>
      </c>
      <c r="B323" t="s">
        <v>86</v>
      </c>
      <c r="C323">
        <v>2</v>
      </c>
      <c r="D323">
        <v>7</v>
      </c>
      <c r="E323">
        <f t="shared" si="91"/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f t="shared" si="93"/>
        <v>427.99446653786288</v>
      </c>
      <c r="P323">
        <f t="shared" si="94"/>
        <v>101.11979332183873</v>
      </c>
      <c r="Q323" s="2">
        <f t="shared" si="95"/>
        <v>256.84427503747037</v>
      </c>
      <c r="R323" s="2">
        <f t="shared" si="96"/>
        <v>194135.25529926375</v>
      </c>
      <c r="S323" s="2">
        <f t="shared" si="97"/>
        <v>466559.13313930243</v>
      </c>
      <c r="T323" s="2">
        <f t="shared" si="98"/>
        <v>1236381.7028191513</v>
      </c>
      <c r="U323">
        <f t="shared" si="99"/>
        <v>309.24444444444441</v>
      </c>
      <c r="V323">
        <f t="shared" si="100"/>
        <v>0.13655555555555554</v>
      </c>
      <c r="W323">
        <v>1</v>
      </c>
      <c r="X323" t="s">
        <v>422</v>
      </c>
      <c r="Y323">
        <v>420</v>
      </c>
      <c r="Z323">
        <v>430</v>
      </c>
      <c r="AA323">
        <v>445</v>
      </c>
      <c r="AB323">
        <v>653</v>
      </c>
      <c r="AC323">
        <v>200</v>
      </c>
      <c r="AD323">
        <v>350</v>
      </c>
      <c r="AE323">
        <v>275</v>
      </c>
      <c r="AG323">
        <v>190</v>
      </c>
      <c r="AH323">
        <v>300</v>
      </c>
      <c r="AK323">
        <f>AVERAGE(Y323:AH323)</f>
        <v>362.55555555555554</v>
      </c>
    </row>
    <row r="324" spans="1:37" x14ac:dyDescent="0.25">
      <c r="A324" t="s">
        <v>85</v>
      </c>
      <c r="B324" t="s">
        <v>86</v>
      </c>
      <c r="C324">
        <v>3</v>
      </c>
      <c r="D324">
        <v>7</v>
      </c>
      <c r="E324">
        <f t="shared" si="91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f t="shared" si="93"/>
        <v>600.93530089230137</v>
      </c>
      <c r="P324">
        <f t="shared" si="94"/>
        <v>112.65762213025943</v>
      </c>
      <c r="Q324" s="2">
        <f t="shared" si="95"/>
        <v>286.15036021085893</v>
      </c>
      <c r="R324" s="2">
        <f t="shared" si="96"/>
        <v>272579.99151432054</v>
      </c>
      <c r="S324" s="2">
        <f t="shared" si="97"/>
        <v>655082.89236798976</v>
      </c>
      <c r="T324" s="2">
        <f t="shared" si="98"/>
        <v>1735969.6647751727</v>
      </c>
      <c r="U324">
        <f t="shared" si="99"/>
        <v>309.24444444444441</v>
      </c>
      <c r="V324">
        <f t="shared" si="100"/>
        <v>0.13655555555555554</v>
      </c>
      <c r="W324">
        <v>2</v>
      </c>
      <c r="X324" t="s">
        <v>18</v>
      </c>
      <c r="Y324">
        <v>373</v>
      </c>
      <c r="Z324">
        <v>329</v>
      </c>
      <c r="AA324">
        <v>321</v>
      </c>
      <c r="AB324">
        <v>660</v>
      </c>
      <c r="AC324">
        <v>124</v>
      </c>
      <c r="AD324">
        <v>304</v>
      </c>
      <c r="AE324">
        <v>179.2</v>
      </c>
      <c r="AF324">
        <v>337</v>
      </c>
      <c r="AG324">
        <v>156</v>
      </c>
      <c r="AK324">
        <f>AVERAGE(Y324:AH324)</f>
        <v>309.24444444444441</v>
      </c>
    </row>
    <row r="325" spans="1:37" x14ac:dyDescent="0.25">
      <c r="A325" t="s">
        <v>85</v>
      </c>
      <c r="B325" t="s">
        <v>86</v>
      </c>
      <c r="C325">
        <v>4</v>
      </c>
      <c r="D325">
        <v>7</v>
      </c>
      <c r="E325">
        <f t="shared" si="91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f t="shared" si="93"/>
        <v>690.32031978775092</v>
      </c>
      <c r="P325">
        <f t="shared" si="94"/>
        <v>117.74263604128112</v>
      </c>
      <c r="Q325" s="2">
        <f t="shared" si="95"/>
        <v>299.06629554485403</v>
      </c>
      <c r="R325" s="2">
        <f t="shared" si="96"/>
        <v>313124.40229506715</v>
      </c>
      <c r="S325" s="2">
        <f t="shared" si="97"/>
        <v>752521.99542193499</v>
      </c>
      <c r="T325" s="2">
        <f t="shared" si="98"/>
        <v>1994183.2878681277</v>
      </c>
      <c r="U325">
        <f t="shared" si="99"/>
        <v>309.24444444444441</v>
      </c>
      <c r="V325">
        <f t="shared" si="100"/>
        <v>0.13655555555555554</v>
      </c>
      <c r="W325">
        <v>3</v>
      </c>
      <c r="X325" t="s">
        <v>19</v>
      </c>
      <c r="Y325">
        <v>0.04</v>
      </c>
      <c r="Z325">
        <v>0.1</v>
      </c>
      <c r="AA325">
        <v>0.1</v>
      </c>
      <c r="AB325">
        <v>7.0999999999999994E-2</v>
      </c>
      <c r="AC325">
        <v>0.2</v>
      </c>
      <c r="AD325">
        <v>0.1</v>
      </c>
      <c r="AE325">
        <v>0.2</v>
      </c>
      <c r="AF325">
        <v>0.17799999999999999</v>
      </c>
      <c r="AG325">
        <v>0.24</v>
      </c>
      <c r="AK325">
        <f>AVERAGE(Y325:AH325)</f>
        <v>0.13655555555555554</v>
      </c>
    </row>
    <row r="326" spans="1:37" x14ac:dyDescent="0.25">
      <c r="A326" t="s">
        <v>85</v>
      </c>
      <c r="B326" t="s">
        <v>86</v>
      </c>
      <c r="C326">
        <v>5</v>
      </c>
      <c r="D326">
        <v>7</v>
      </c>
      <c r="E326">
        <f t="shared" si="91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f t="shared" si="93"/>
        <v>732.43834267098998</v>
      </c>
      <c r="P326">
        <f t="shared" si="94"/>
        <v>119.98373069649152</v>
      </c>
      <c r="Q326" s="2">
        <f t="shared" si="95"/>
        <v>304.75867596908847</v>
      </c>
      <c r="R326" s="2">
        <f t="shared" si="96"/>
        <v>332228.83883435238</v>
      </c>
      <c r="S326" s="2">
        <f t="shared" si="97"/>
        <v>798435.08491793415</v>
      </c>
      <c r="T326" s="2">
        <f t="shared" si="98"/>
        <v>2115852.9750325256</v>
      </c>
      <c r="U326">
        <f t="shared" si="99"/>
        <v>309.24444444444441</v>
      </c>
      <c r="V326">
        <f t="shared" si="100"/>
        <v>0.13655555555555554</v>
      </c>
      <c r="W326">
        <v>4</v>
      </c>
      <c r="X326" t="s">
        <v>477</v>
      </c>
    </row>
    <row r="327" spans="1:37" x14ac:dyDescent="0.25">
      <c r="A327" t="s">
        <v>85</v>
      </c>
      <c r="B327" t="s">
        <v>86</v>
      </c>
      <c r="C327">
        <v>6</v>
      </c>
      <c r="D327">
        <v>7</v>
      </c>
      <c r="E327">
        <f t="shared" si="91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f t="shared" si="93"/>
        <v>751.54422854031532</v>
      </c>
      <c r="P327">
        <f t="shared" si="94"/>
        <v>120.97143797546796</v>
      </c>
      <c r="Q327" s="2">
        <f t="shared" si="95"/>
        <v>307.26745245768865</v>
      </c>
      <c r="R327" s="2">
        <f t="shared" si="96"/>
        <v>340895.13319316495</v>
      </c>
      <c r="S327" s="2">
        <f t="shared" si="97"/>
        <v>819262.51668628922</v>
      </c>
      <c r="T327" s="2">
        <f t="shared" si="98"/>
        <v>2171045.6692186664</v>
      </c>
      <c r="U327">
        <f t="shared" si="99"/>
        <v>309.24444444444441</v>
      </c>
      <c r="V327">
        <f t="shared" si="100"/>
        <v>0.13655555555555554</v>
      </c>
      <c r="W327">
        <v>5</v>
      </c>
      <c r="X327" t="s">
        <v>423</v>
      </c>
      <c r="Y327" t="s">
        <v>428</v>
      </c>
      <c r="Z327" t="s">
        <v>428</v>
      </c>
      <c r="AA327" t="s">
        <v>428</v>
      </c>
      <c r="AB327" t="s">
        <v>428</v>
      </c>
      <c r="AC327" t="s">
        <v>428</v>
      </c>
      <c r="AD327" t="s">
        <v>428</v>
      </c>
      <c r="AE327" t="s">
        <v>428</v>
      </c>
      <c r="AF327" t="s">
        <v>645</v>
      </c>
      <c r="AG327" t="s">
        <v>646</v>
      </c>
    </row>
    <row r="328" spans="1:37" x14ac:dyDescent="0.25">
      <c r="A328" t="s">
        <v>85</v>
      </c>
      <c r="B328" t="s">
        <v>86</v>
      </c>
      <c r="C328">
        <v>7</v>
      </c>
      <c r="D328">
        <v>7</v>
      </c>
      <c r="E328">
        <f t="shared" si="91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f t="shared" si="93"/>
        <v>760.07145838135921</v>
      </c>
      <c r="P328">
        <f t="shared" si="94"/>
        <v>121.40674563490794</v>
      </c>
      <c r="Q328" s="2">
        <f t="shared" si="95"/>
        <v>308.37313391266616</v>
      </c>
      <c r="R328" s="2">
        <f t="shared" si="96"/>
        <v>344763.02418619045</v>
      </c>
      <c r="S328" s="2">
        <f t="shared" si="97"/>
        <v>828558.09705885698</v>
      </c>
      <c r="T328" s="2">
        <f t="shared" si="98"/>
        <v>2195678.9572059708</v>
      </c>
      <c r="U328">
        <f t="shared" si="99"/>
        <v>309.24444444444441</v>
      </c>
      <c r="V328">
        <f t="shared" si="100"/>
        <v>0.13655555555555554</v>
      </c>
      <c r="W328">
        <v>6</v>
      </c>
      <c r="X328" t="s">
        <v>434</v>
      </c>
      <c r="Y328" s="7" t="s">
        <v>647</v>
      </c>
      <c r="Z328" s="7" t="s">
        <v>648</v>
      </c>
      <c r="AA328" s="7" t="s">
        <v>649</v>
      </c>
      <c r="AB328" s="7" t="s">
        <v>650</v>
      </c>
      <c r="AC328" s="7" t="s">
        <v>651</v>
      </c>
      <c r="AD328" s="7" t="s">
        <v>652</v>
      </c>
      <c r="AE328" s="7" t="s">
        <v>653</v>
      </c>
      <c r="AF328" s="7" t="s">
        <v>654</v>
      </c>
      <c r="AG328" s="7" t="s">
        <v>655</v>
      </c>
      <c r="AH328" s="7" t="s">
        <v>656</v>
      </c>
    </row>
    <row r="329" spans="1:37" x14ac:dyDescent="0.25">
      <c r="A329" t="s">
        <v>85</v>
      </c>
      <c r="B329" t="s">
        <v>86</v>
      </c>
      <c r="C329">
        <v>8</v>
      </c>
      <c r="D329">
        <v>7</v>
      </c>
      <c r="E329">
        <f t="shared" si="91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f t="shared" si="93"/>
        <v>763.8504714776526</v>
      </c>
      <c r="P329">
        <f t="shared" si="94"/>
        <v>121.59859676570396</v>
      </c>
      <c r="Q329" s="2">
        <f t="shared" si="95"/>
        <v>308.86043578488807</v>
      </c>
      <c r="R329" s="2">
        <f t="shared" si="96"/>
        <v>346477.15773133357</v>
      </c>
      <c r="S329" s="2">
        <f t="shared" si="97"/>
        <v>832677.62011856178</v>
      </c>
      <c r="T329" s="2">
        <f t="shared" si="98"/>
        <v>2206595.6933141886</v>
      </c>
      <c r="U329">
        <f t="shared" si="99"/>
        <v>309.24444444444441</v>
      </c>
      <c r="V329">
        <f t="shared" si="100"/>
        <v>0.13655555555555554</v>
      </c>
      <c r="W329">
        <v>7</v>
      </c>
    </row>
    <row r="330" spans="1:37" x14ac:dyDescent="0.25">
      <c r="A330" t="s">
        <v>85</v>
      </c>
      <c r="B330" t="s">
        <v>86</v>
      </c>
      <c r="C330">
        <v>9</v>
      </c>
      <c r="D330">
        <v>7</v>
      </c>
      <c r="E330">
        <f t="shared" si="91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f t="shared" si="93"/>
        <v>765.52003667905785</v>
      </c>
      <c r="P330">
        <f t="shared" si="94"/>
        <v>121.68315042698129</v>
      </c>
      <c r="Q330" s="2">
        <f t="shared" si="95"/>
        <v>309.07520208453246</v>
      </c>
      <c r="R330" s="2">
        <f t="shared" si="96"/>
        <v>347234.46066853148</v>
      </c>
      <c r="S330" s="2">
        <f t="shared" si="97"/>
        <v>834497.62237089989</v>
      </c>
      <c r="T330" s="2">
        <f t="shared" si="98"/>
        <v>2211418.6992828846</v>
      </c>
      <c r="U330">
        <f t="shared" si="99"/>
        <v>309.24444444444441</v>
      </c>
      <c r="V330">
        <f t="shared" si="100"/>
        <v>0.13655555555555554</v>
      </c>
      <c r="W330">
        <v>8</v>
      </c>
    </row>
    <row r="331" spans="1:37" x14ac:dyDescent="0.25">
      <c r="A331" t="s">
        <v>85</v>
      </c>
      <c r="B331" t="s">
        <v>86</v>
      </c>
      <c r="C331">
        <v>10</v>
      </c>
      <c r="D331">
        <v>7</v>
      </c>
      <c r="E331">
        <f t="shared" si="91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>
        <f t="shared" si="93"/>
        <v>766.25664546814528</v>
      </c>
      <c r="P331">
        <f t="shared" si="94"/>
        <v>121.72041537092892</v>
      </c>
      <c r="Q331" s="2">
        <f t="shared" si="95"/>
        <v>309.16985504215944</v>
      </c>
      <c r="R331" s="2">
        <f t="shared" si="96"/>
        <v>347568.58119228948</v>
      </c>
      <c r="S331" s="2">
        <f t="shared" si="97"/>
        <v>835300.60368250287</v>
      </c>
      <c r="T331" s="2">
        <f t="shared" si="98"/>
        <v>2213546.5997586325</v>
      </c>
      <c r="U331">
        <f t="shared" si="99"/>
        <v>309.24444444444441</v>
      </c>
      <c r="V331">
        <f t="shared" si="100"/>
        <v>0.13655555555555554</v>
      </c>
      <c r="W331">
        <v>9</v>
      </c>
    </row>
    <row r="332" spans="1:37" x14ac:dyDescent="0.25">
      <c r="A332" t="s">
        <v>87</v>
      </c>
      <c r="B332" t="s">
        <v>88</v>
      </c>
      <c r="C332">
        <v>1</v>
      </c>
      <c r="D332">
        <v>2</v>
      </c>
      <c r="E332">
        <f t="shared" si="91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f t="shared" si="93"/>
        <v>3.7154641369323282E-2</v>
      </c>
      <c r="P332">
        <f t="shared" si="94"/>
        <v>5.1002879545015594</v>
      </c>
      <c r="Q332">
        <f t="shared" ref="Q332:Q341" si="101">31.4*(1-EXP(-0.19*(E332+0.8)))</f>
        <v>12.954731404433961</v>
      </c>
      <c r="R332">
        <f t="shared" si="96"/>
        <v>16.853081877749126</v>
      </c>
      <c r="S332">
        <f t="shared" si="97"/>
        <v>40.502479879233661</v>
      </c>
      <c r="T332">
        <f t="shared" si="98"/>
        <v>107.3315716799692</v>
      </c>
      <c r="U332">
        <v>31.4</v>
      </c>
      <c r="V332">
        <v>0.19</v>
      </c>
      <c r="W332">
        <v>-0.8</v>
      </c>
      <c r="Y332" t="s">
        <v>657</v>
      </c>
    </row>
    <row r="333" spans="1:37" x14ac:dyDescent="0.25">
      <c r="A333" t="s">
        <v>87</v>
      </c>
      <c r="B333" t="s">
        <v>88</v>
      </c>
      <c r="C333">
        <v>2</v>
      </c>
      <c r="D333">
        <v>2</v>
      </c>
      <c r="E333">
        <f t="shared" si="91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f t="shared" si="93"/>
        <v>0.1175901246129735</v>
      </c>
      <c r="P333">
        <f t="shared" si="94"/>
        <v>7.396060088557399</v>
      </c>
      <c r="Q333">
        <f t="shared" si="101"/>
        <v>18.785992624935794</v>
      </c>
      <c r="R333">
        <f t="shared" si="96"/>
        <v>53.338046744098072</v>
      </c>
      <c r="S333">
        <f t="shared" si="97"/>
        <v>128.18564466257646</v>
      </c>
      <c r="T333">
        <f t="shared" si="98"/>
        <v>339.69195835582764</v>
      </c>
      <c r="U333">
        <v>31.4</v>
      </c>
      <c r="V333">
        <v>0.19</v>
      </c>
      <c r="W333">
        <v>-0.8</v>
      </c>
    </row>
    <row r="334" spans="1:37" x14ac:dyDescent="0.25">
      <c r="A334" t="s">
        <v>87</v>
      </c>
      <c r="B334" t="s">
        <v>88</v>
      </c>
      <c r="C334">
        <v>3</v>
      </c>
      <c r="D334">
        <v>2</v>
      </c>
      <c r="E334">
        <f t="shared" si="91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f t="shared" si="93"/>
        <v>0.21356648904635128</v>
      </c>
      <c r="P334">
        <f t="shared" si="94"/>
        <v>8.9660500553832847</v>
      </c>
      <c r="Q334">
        <f t="shared" si="101"/>
        <v>22.773767140673542</v>
      </c>
      <c r="R334">
        <f t="shared" si="96"/>
        <v>96.872245124489154</v>
      </c>
      <c r="S334">
        <f t="shared" si="97"/>
        <v>232.81000991225466</v>
      </c>
      <c r="T334">
        <f t="shared" si="98"/>
        <v>616.94652626747484</v>
      </c>
      <c r="U334">
        <v>31.4</v>
      </c>
      <c r="V334">
        <v>0.19</v>
      </c>
      <c r="W334">
        <v>-0.8</v>
      </c>
    </row>
    <row r="335" spans="1:37" x14ac:dyDescent="0.25">
      <c r="A335" t="s">
        <v>87</v>
      </c>
      <c r="B335" t="s">
        <v>88</v>
      </c>
      <c r="C335">
        <v>4</v>
      </c>
      <c r="D335">
        <v>2</v>
      </c>
      <c r="E335">
        <f t="shared" si="91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f t="shared" si="93"/>
        <v>0.30325260995351433</v>
      </c>
      <c r="P335">
        <f t="shared" si="94"/>
        <v>10.039705606546095</v>
      </c>
      <c r="Q335">
        <f t="shared" si="101"/>
        <v>25.500852240627079</v>
      </c>
      <c r="R335">
        <f t="shared" si="96"/>
        <v>137.5532336427658</v>
      </c>
      <c r="S335">
        <f t="shared" si="97"/>
        <v>330.57734593310693</v>
      </c>
      <c r="T335">
        <f t="shared" si="98"/>
        <v>876.02996672273332</v>
      </c>
      <c r="U335">
        <v>31.4</v>
      </c>
      <c r="V335">
        <v>0.19</v>
      </c>
      <c r="W335">
        <v>-0.8</v>
      </c>
    </row>
    <row r="336" spans="1:37" x14ac:dyDescent="0.25">
      <c r="A336" t="s">
        <v>87</v>
      </c>
      <c r="B336" t="s">
        <v>88</v>
      </c>
      <c r="C336">
        <v>5</v>
      </c>
      <c r="D336">
        <v>2</v>
      </c>
      <c r="E336">
        <f t="shared" si="91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f t="shared" si="93"/>
        <v>0.37742466542347181</v>
      </c>
      <c r="P336">
        <f t="shared" si="94"/>
        <v>10.773937204772961</v>
      </c>
      <c r="Q336">
        <f t="shared" si="101"/>
        <v>27.365800500123324</v>
      </c>
      <c r="R336">
        <f t="shared" si="96"/>
        <v>171.19715208220546</v>
      </c>
      <c r="S336">
        <f t="shared" si="97"/>
        <v>411.43271348763631</v>
      </c>
      <c r="T336">
        <f t="shared" si="98"/>
        <v>1090.2966907422363</v>
      </c>
      <c r="U336">
        <v>31.4</v>
      </c>
      <c r="V336">
        <v>0.19</v>
      </c>
      <c r="W336">
        <v>-0.8</v>
      </c>
    </row>
    <row r="337" spans="1:31" x14ac:dyDescent="0.25">
      <c r="A337" t="s">
        <v>87</v>
      </c>
      <c r="B337" t="s">
        <v>88</v>
      </c>
      <c r="C337">
        <v>6</v>
      </c>
      <c r="D337">
        <v>2</v>
      </c>
      <c r="E337">
        <f t="shared" si="91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f t="shared" si="93"/>
        <v>0.43466650614466917</v>
      </c>
      <c r="P337">
        <f t="shared" si="94"/>
        <v>11.276049860224628</v>
      </c>
      <c r="Q337">
        <f t="shared" si="101"/>
        <v>28.641166644970554</v>
      </c>
      <c r="R337">
        <f t="shared" si="96"/>
        <v>197.16164515638485</v>
      </c>
      <c r="S337">
        <f t="shared" si="97"/>
        <v>473.83236038544783</v>
      </c>
      <c r="T337">
        <f t="shared" si="98"/>
        <v>1255.6557550214368</v>
      </c>
      <c r="U337">
        <v>31.4</v>
      </c>
      <c r="V337">
        <v>0.19</v>
      </c>
      <c r="W337">
        <v>-0.8</v>
      </c>
    </row>
    <row r="338" spans="1:31" x14ac:dyDescent="0.25">
      <c r="A338" t="s">
        <v>87</v>
      </c>
      <c r="B338" t="s">
        <v>88</v>
      </c>
      <c r="C338">
        <v>7</v>
      </c>
      <c r="D338">
        <v>2</v>
      </c>
      <c r="E338">
        <f t="shared" si="91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f t="shared" si="93"/>
        <v>0.47702586502980981</v>
      </c>
      <c r="P338">
        <f t="shared" si="94"/>
        <v>11.619425328365162</v>
      </c>
      <c r="Q338">
        <f t="shared" si="101"/>
        <v>29.513340334047513</v>
      </c>
      <c r="R338">
        <f t="shared" si="96"/>
        <v>216.3755499949242</v>
      </c>
      <c r="S338">
        <f t="shared" si="97"/>
        <v>520.00853159078156</v>
      </c>
      <c r="T338">
        <f t="shared" si="98"/>
        <v>1378.0226087155711</v>
      </c>
      <c r="U338">
        <v>31.4</v>
      </c>
      <c r="V338">
        <v>0.19</v>
      </c>
      <c r="W338">
        <v>-0.8</v>
      </c>
    </row>
    <row r="339" spans="1:31" x14ac:dyDescent="0.25">
      <c r="A339" t="s">
        <v>87</v>
      </c>
      <c r="B339" t="s">
        <v>88</v>
      </c>
      <c r="C339">
        <v>8</v>
      </c>
      <c r="D339">
        <v>2</v>
      </c>
      <c r="E339">
        <f t="shared" si="91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f t="shared" si="93"/>
        <v>0.50754993734567211</v>
      </c>
      <c r="P339">
        <f t="shared" si="94"/>
        <v>11.8542465598967</v>
      </c>
      <c r="Q339">
        <f t="shared" si="101"/>
        <v>30.109786262137618</v>
      </c>
      <c r="R339">
        <f t="shared" si="96"/>
        <v>230.22105276450003</v>
      </c>
      <c r="S339">
        <f t="shared" si="97"/>
        <v>553.28299150324449</v>
      </c>
      <c r="T339">
        <f t="shared" si="98"/>
        <v>1466.1999274835978</v>
      </c>
      <c r="U339">
        <v>31.4</v>
      </c>
      <c r="V339">
        <v>0.19</v>
      </c>
      <c r="W339">
        <v>-0.8</v>
      </c>
    </row>
    <row r="340" spans="1:31" x14ac:dyDescent="0.25">
      <c r="A340" t="s">
        <v>87</v>
      </c>
      <c r="B340" t="s">
        <v>88</v>
      </c>
      <c r="C340">
        <v>9</v>
      </c>
      <c r="D340">
        <v>2</v>
      </c>
      <c r="E340">
        <f t="shared" si="91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f t="shared" si="93"/>
        <v>0.52916896251648349</v>
      </c>
      <c r="P340">
        <f t="shared" si="94"/>
        <v>12.014831738204839</v>
      </c>
      <c r="Q340">
        <f t="shared" si="101"/>
        <v>30.51767261504029</v>
      </c>
      <c r="R340">
        <f t="shared" si="96"/>
        <v>240.02728929089074</v>
      </c>
      <c r="S340">
        <f t="shared" si="97"/>
        <v>576.85001031216234</v>
      </c>
      <c r="T340">
        <f t="shared" si="98"/>
        <v>1528.6525273272302</v>
      </c>
      <c r="U340">
        <v>31.4</v>
      </c>
      <c r="V340">
        <v>0.19</v>
      </c>
      <c r="W340">
        <v>-0.8</v>
      </c>
    </row>
    <row r="341" spans="1:31" x14ac:dyDescent="0.25">
      <c r="A341" t="s">
        <v>87</v>
      </c>
      <c r="B341" t="s">
        <v>88</v>
      </c>
      <c r="C341">
        <v>10</v>
      </c>
      <c r="D341">
        <v>2</v>
      </c>
      <c r="E341">
        <f t="shared" si="91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f t="shared" si="93"/>
        <v>0.54430715076474634</v>
      </c>
      <c r="P341">
        <f t="shared" si="94"/>
        <v>12.12464974454126</v>
      </c>
      <c r="Q341">
        <f t="shared" si="101"/>
        <v>30.796610351134802</v>
      </c>
      <c r="R341">
        <f t="shared" si="96"/>
        <v>246.89386414200465</v>
      </c>
      <c r="S341">
        <f t="shared" si="97"/>
        <v>593.35223297766072</v>
      </c>
      <c r="T341">
        <f t="shared" si="98"/>
        <v>1572.3834173908008</v>
      </c>
      <c r="U341">
        <v>31.4</v>
      </c>
      <c r="V341">
        <v>0.19</v>
      </c>
      <c r="W341">
        <v>-0.8</v>
      </c>
    </row>
    <row r="342" spans="1:31" x14ac:dyDescent="0.25">
      <c r="A342" t="s">
        <v>89</v>
      </c>
      <c r="B342" t="s">
        <v>90</v>
      </c>
      <c r="C342">
        <v>1</v>
      </c>
      <c r="D342">
        <v>8</v>
      </c>
      <c r="E342">
        <f t="shared" si="91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f t="shared" si="93"/>
        <v>192.77360905797298</v>
      </c>
      <c r="P342">
        <f t="shared" si="94"/>
        <v>35.157965087150338</v>
      </c>
      <c r="Q342">
        <f t="shared" ref="Q342:Q351" si="102">U342*(1-EXP(-V342*(E342+W342)))</f>
        <v>89.301231321361854</v>
      </c>
      <c r="R342">
        <f t="shared" si="96"/>
        <v>87440.742195014551</v>
      </c>
      <c r="S342">
        <f t="shared" si="97"/>
        <v>210143.57653211863</v>
      </c>
      <c r="T342">
        <f t="shared" si="98"/>
        <v>556880.47781011439</v>
      </c>
      <c r="U342">
        <f t="shared" ref="U342:U351" si="103">$AC$344*100</f>
        <v>114.3</v>
      </c>
      <c r="V342">
        <v>0.19</v>
      </c>
      <c r="W342">
        <v>0</v>
      </c>
      <c r="Y342" t="s">
        <v>658</v>
      </c>
      <c r="Z342" t="s">
        <v>659</v>
      </c>
      <c r="AA342" t="s">
        <v>660</v>
      </c>
      <c r="AB342" t="s">
        <v>661</v>
      </c>
      <c r="AC342" t="s">
        <v>662</v>
      </c>
    </row>
    <row r="343" spans="1:31" x14ac:dyDescent="0.25">
      <c r="A343" t="s">
        <v>89</v>
      </c>
      <c r="B343" t="s">
        <v>90</v>
      </c>
      <c r="C343">
        <v>2</v>
      </c>
      <c r="D343">
        <v>8</v>
      </c>
      <c r="E343">
        <f t="shared" si="91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f t="shared" si="93"/>
        <v>363.02031476427624</v>
      </c>
      <c r="P343">
        <f t="shared" si="94"/>
        <v>42.847429972761077</v>
      </c>
      <c r="Q343">
        <f t="shared" si="102"/>
        <v>108.83247213081313</v>
      </c>
      <c r="R343">
        <f t="shared" si="96"/>
        <v>164663.44075816977</v>
      </c>
      <c r="S343">
        <f t="shared" si="97"/>
        <v>395730.45123328472</v>
      </c>
      <c r="T343">
        <f t="shared" si="98"/>
        <v>1048685.6957682045</v>
      </c>
      <c r="U343">
        <f t="shared" si="103"/>
        <v>114.3</v>
      </c>
      <c r="V343">
        <v>0.19</v>
      </c>
      <c r="W343">
        <v>0</v>
      </c>
      <c r="X343" t="s">
        <v>459</v>
      </c>
      <c r="Y343">
        <f>325*0.453592</f>
        <v>147.41739999999999</v>
      </c>
      <c r="Z343">
        <f>100*0.453592</f>
        <v>45.359200000000001</v>
      </c>
      <c r="AA343">
        <f>2200*0.453592</f>
        <v>997.90239999999994</v>
      </c>
      <c r="AB343">
        <f>205*0.453592</f>
        <v>92.986360000000005</v>
      </c>
      <c r="AC343">
        <f>125*0.453592</f>
        <v>56.698999999999998</v>
      </c>
      <c r="AE343">
        <f>AVERAGE(Y343:AC343)</f>
        <v>268.07287200000002</v>
      </c>
    </row>
    <row r="344" spans="1:31" x14ac:dyDescent="0.25">
      <c r="A344" t="s">
        <v>89</v>
      </c>
      <c r="B344" t="s">
        <v>90</v>
      </c>
      <c r="C344">
        <v>3</v>
      </c>
      <c r="D344">
        <v>8</v>
      </c>
      <c r="E344">
        <f t="shared" si="91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f t="shared" si="93"/>
        <v>410.61567727717454</v>
      </c>
      <c r="P344">
        <f t="shared" si="94"/>
        <v>44.529207347545793</v>
      </c>
      <c r="Q344">
        <f t="shared" si="102"/>
        <v>113.10418666276631</v>
      </c>
      <c r="R344">
        <f t="shared" si="96"/>
        <v>186252.3597160393</v>
      </c>
      <c r="S344">
        <f t="shared" si="97"/>
        <v>447614.4189282367</v>
      </c>
      <c r="T344">
        <f t="shared" si="98"/>
        <v>1186178.2101598273</v>
      </c>
      <c r="U344">
        <f t="shared" si="103"/>
        <v>114.3</v>
      </c>
      <c r="V344">
        <v>0.19</v>
      </c>
      <c r="W344">
        <v>0</v>
      </c>
      <c r="X344" t="s">
        <v>460</v>
      </c>
      <c r="Y344">
        <f>3.5*0.3048</f>
        <v>1.0668</v>
      </c>
      <c r="Z344">
        <f>2.15*0.3048</f>
        <v>0.65532000000000001</v>
      </c>
      <c r="AA344">
        <f>5*0.3048</f>
        <v>1.524</v>
      </c>
      <c r="AB344">
        <f>3*0.3048</f>
        <v>0.9144000000000001</v>
      </c>
      <c r="AC344">
        <f>45/12*0.3048</f>
        <v>1.143</v>
      </c>
      <c r="AE344">
        <f>AVERAGE(Y344:AC344)</f>
        <v>1.0607039999999999</v>
      </c>
    </row>
    <row r="345" spans="1:31" x14ac:dyDescent="0.25">
      <c r="A345" t="s">
        <v>89</v>
      </c>
      <c r="B345" t="s">
        <v>90</v>
      </c>
      <c r="C345">
        <v>4</v>
      </c>
      <c r="D345">
        <v>8</v>
      </c>
      <c r="E345">
        <f t="shared" si="91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f t="shared" si="93"/>
        <v>421.56841489071059</v>
      </c>
      <c r="P345">
        <f t="shared" si="94"/>
        <v>44.897032050618499</v>
      </c>
      <c r="Q345">
        <f t="shared" si="102"/>
        <v>114.038461408571</v>
      </c>
      <c r="R345">
        <f t="shared" si="96"/>
        <v>191220.44383644828</v>
      </c>
      <c r="S345">
        <f t="shared" si="97"/>
        <v>459554.05872734508</v>
      </c>
      <c r="T345">
        <f t="shared" si="98"/>
        <v>1217818.2556274645</v>
      </c>
      <c r="U345">
        <f t="shared" si="103"/>
        <v>114.3</v>
      </c>
      <c r="V345">
        <v>0.19</v>
      </c>
      <c r="W345">
        <v>0</v>
      </c>
      <c r="X345" t="s">
        <v>461</v>
      </c>
      <c r="Y345">
        <v>60</v>
      </c>
    </row>
    <row r="346" spans="1:31" x14ac:dyDescent="0.25">
      <c r="A346" t="s">
        <v>89</v>
      </c>
      <c r="B346" t="s">
        <v>90</v>
      </c>
      <c r="C346">
        <v>5</v>
      </c>
      <c r="D346">
        <v>8</v>
      </c>
      <c r="E346">
        <f t="shared" si="91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f t="shared" si="93"/>
        <v>423.99038879103455</v>
      </c>
      <c r="P346">
        <f t="shared" si="94"/>
        <v>44.977479685495176</v>
      </c>
      <c r="Q346">
        <f t="shared" si="102"/>
        <v>114.24279840115774</v>
      </c>
      <c r="R346">
        <f t="shared" si="96"/>
        <v>192319.0340244734</v>
      </c>
      <c r="S346">
        <f t="shared" si="97"/>
        <v>462194.26586030622</v>
      </c>
      <c r="T346">
        <f t="shared" si="98"/>
        <v>1224814.8045298115</v>
      </c>
      <c r="U346">
        <f t="shared" si="103"/>
        <v>114.3</v>
      </c>
      <c r="V346">
        <v>0.19</v>
      </c>
      <c r="W346">
        <v>0</v>
      </c>
      <c r="X346" t="s">
        <v>470</v>
      </c>
    </row>
    <row r="347" spans="1:31" x14ac:dyDescent="0.25">
      <c r="A347" t="s">
        <v>89</v>
      </c>
      <c r="B347" t="s">
        <v>90</v>
      </c>
      <c r="C347">
        <v>6</v>
      </c>
      <c r="D347">
        <v>8</v>
      </c>
      <c r="E347">
        <f t="shared" si="91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f t="shared" si="93"/>
        <v>424.5213752100255</v>
      </c>
      <c r="P347">
        <f t="shared" si="94"/>
        <v>44.995074539519891</v>
      </c>
      <c r="Q347">
        <f t="shared" si="102"/>
        <v>114.28748933038052</v>
      </c>
      <c r="R347">
        <f t="shared" si="96"/>
        <v>192559.88569913432</v>
      </c>
      <c r="S347">
        <f t="shared" si="97"/>
        <v>462773.09708996472</v>
      </c>
      <c r="T347">
        <f t="shared" si="98"/>
        <v>1226348.7072884066</v>
      </c>
      <c r="U347">
        <f t="shared" si="103"/>
        <v>114.3</v>
      </c>
      <c r="V347">
        <v>0.19</v>
      </c>
      <c r="W347">
        <v>0</v>
      </c>
    </row>
    <row r="348" spans="1:31" x14ac:dyDescent="0.25">
      <c r="A348" t="s">
        <v>89</v>
      </c>
      <c r="B348" t="s">
        <v>90</v>
      </c>
      <c r="C348">
        <v>7</v>
      </c>
      <c r="D348">
        <v>8</v>
      </c>
      <c r="E348">
        <f t="shared" si="91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f t="shared" si="93"/>
        <v>424.63756914980235</v>
      </c>
      <c r="P348">
        <f t="shared" si="94"/>
        <v>44.998922743244279</v>
      </c>
      <c r="Q348">
        <f t="shared" si="102"/>
        <v>114.29726376784048</v>
      </c>
      <c r="R348">
        <f t="shared" si="96"/>
        <v>192612.59044633649</v>
      </c>
      <c r="S348">
        <f t="shared" si="97"/>
        <v>462899.76074582187</v>
      </c>
      <c r="T348">
        <f t="shared" si="98"/>
        <v>1226684.3659764279</v>
      </c>
      <c r="U348">
        <f t="shared" si="103"/>
        <v>114.3</v>
      </c>
      <c r="V348">
        <v>0.19</v>
      </c>
      <c r="W348">
        <v>0</v>
      </c>
      <c r="X348" t="s">
        <v>434</v>
      </c>
      <c r="Y348" s="7" t="s">
        <v>663</v>
      </c>
      <c r="Z348" s="7" t="s">
        <v>664</v>
      </c>
      <c r="AB348" s="7" t="s">
        <v>665</v>
      </c>
      <c r="AC348" t="s">
        <v>666</v>
      </c>
    </row>
    <row r="349" spans="1:31" x14ac:dyDescent="0.25">
      <c r="A349" t="s">
        <v>89</v>
      </c>
      <c r="B349" t="s">
        <v>90</v>
      </c>
      <c r="C349">
        <v>8</v>
      </c>
      <c r="D349">
        <v>8</v>
      </c>
      <c r="E349">
        <f t="shared" si="91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f t="shared" si="93"/>
        <v>424.66298505925596</v>
      </c>
      <c r="P349">
        <f t="shared" si="94"/>
        <v>44.999764391142229</v>
      </c>
      <c r="Q349">
        <f t="shared" si="102"/>
        <v>114.29940155350126</v>
      </c>
      <c r="R349">
        <f t="shared" si="96"/>
        <v>192624.11892265151</v>
      </c>
      <c r="S349">
        <f t="shared" si="97"/>
        <v>462927.46676916967</v>
      </c>
      <c r="T349">
        <f t="shared" si="98"/>
        <v>1226757.7869382997</v>
      </c>
      <c r="U349">
        <f t="shared" si="103"/>
        <v>114.3</v>
      </c>
      <c r="V349">
        <v>0.19</v>
      </c>
      <c r="W349">
        <v>0</v>
      </c>
    </row>
    <row r="350" spans="1:31" x14ac:dyDescent="0.25">
      <c r="A350" t="s">
        <v>89</v>
      </c>
      <c r="B350" t="s">
        <v>90</v>
      </c>
      <c r="C350">
        <v>9</v>
      </c>
      <c r="D350">
        <v>8</v>
      </c>
      <c r="E350">
        <f t="shared" si="91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f t="shared" si="93"/>
        <v>424.66854396014895</v>
      </c>
      <c r="P350">
        <f t="shared" si="94"/>
        <v>44.999948469542133</v>
      </c>
      <c r="Q350">
        <f t="shared" si="102"/>
        <v>114.29986911263701</v>
      </c>
      <c r="R350">
        <f t="shared" si="96"/>
        <v>192626.64040068083</v>
      </c>
      <c r="S350">
        <f t="shared" si="97"/>
        <v>462933.52655775257</v>
      </c>
      <c r="T350">
        <f t="shared" si="98"/>
        <v>1226773.8453780443</v>
      </c>
      <c r="U350">
        <f t="shared" si="103"/>
        <v>114.3</v>
      </c>
      <c r="V350">
        <v>0.19</v>
      </c>
      <c r="W350">
        <v>0</v>
      </c>
    </row>
    <row r="351" spans="1:31" x14ac:dyDescent="0.25">
      <c r="A351" t="s">
        <v>89</v>
      </c>
      <c r="B351" t="s">
        <v>90</v>
      </c>
      <c r="C351">
        <v>10</v>
      </c>
      <c r="D351">
        <v>8</v>
      </c>
      <c r="E351">
        <f t="shared" si="91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f t="shared" si="93"/>
        <v>424.6697597645209</v>
      </c>
      <c r="P351">
        <f t="shared" si="94"/>
        <v>44.999988729676325</v>
      </c>
      <c r="Q351">
        <f t="shared" si="102"/>
        <v>114.29997137337786</v>
      </c>
      <c r="R351">
        <f t="shared" si="96"/>
        <v>192627.1918809232</v>
      </c>
      <c r="S351">
        <f t="shared" si="97"/>
        <v>462934.85191281704</v>
      </c>
      <c r="T351">
        <f t="shared" si="98"/>
        <v>1226777.3575689651</v>
      </c>
      <c r="U351">
        <f t="shared" si="103"/>
        <v>114.3</v>
      </c>
      <c r="V351">
        <v>0.19</v>
      </c>
      <c r="W351">
        <v>0</v>
      </c>
    </row>
    <row r="352" spans="1:31" x14ac:dyDescent="0.25">
      <c r="A352" t="s">
        <v>91</v>
      </c>
      <c r="B352" t="s">
        <v>92</v>
      </c>
      <c r="C352">
        <v>1</v>
      </c>
      <c r="D352">
        <v>2</v>
      </c>
      <c r="E352">
        <f t="shared" si="91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f t="shared" si="93"/>
        <v>0.19756004126940679</v>
      </c>
      <c r="P352">
        <f t="shared" si="94"/>
        <v>7.4927335296914102</v>
      </c>
      <c r="Q352">
        <f t="shared" ref="Q352:Q361" si="104">60.2*(1-EXP(-0.19*(E352)))</f>
        <v>19.031543165416181</v>
      </c>
      <c r="R352">
        <f t="shared" si="96"/>
        <v>89.611833907615278</v>
      </c>
      <c r="S352">
        <f t="shared" si="97"/>
        <v>215.36129273639818</v>
      </c>
      <c r="T352">
        <f t="shared" si="98"/>
        <v>570.70742575145516</v>
      </c>
      <c r="U352">
        <v>60.2</v>
      </c>
      <c r="V352">
        <v>0.19</v>
      </c>
      <c r="W352">
        <v>0</v>
      </c>
      <c r="Y352" t="s">
        <v>667</v>
      </c>
    </row>
    <row r="353" spans="1:27" x14ac:dyDescent="0.25">
      <c r="A353" t="s">
        <v>91</v>
      </c>
      <c r="B353" t="s">
        <v>92</v>
      </c>
      <c r="C353">
        <v>2</v>
      </c>
      <c r="D353">
        <v>2</v>
      </c>
      <c r="E353">
        <f t="shared" si="91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f t="shared" si="93"/>
        <v>0.94323116095900128</v>
      </c>
      <c r="P353">
        <f t="shared" si="94"/>
        <v>12.616724840158845</v>
      </c>
      <c r="Q353">
        <f t="shared" si="104"/>
        <v>32.046481094003468</v>
      </c>
      <c r="R353">
        <f t="shared" si="96"/>
        <v>427.84296656974954</v>
      </c>
      <c r="S353">
        <f t="shared" si="97"/>
        <v>1028.2215010087707</v>
      </c>
      <c r="T353">
        <f t="shared" si="98"/>
        <v>2724.7869776732423</v>
      </c>
      <c r="U353">
        <v>60.2</v>
      </c>
      <c r="V353">
        <v>0.19</v>
      </c>
      <c r="W353">
        <v>0</v>
      </c>
    </row>
    <row r="354" spans="1:27" x14ac:dyDescent="0.25">
      <c r="A354" t="s">
        <v>91</v>
      </c>
      <c r="B354" t="s">
        <v>92</v>
      </c>
      <c r="C354">
        <v>3</v>
      </c>
      <c r="D354">
        <v>2</v>
      </c>
      <c r="E354">
        <f t="shared" si="91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f t="shared" si="93"/>
        <v>1.9676145080457663</v>
      </c>
      <c r="P354">
        <f t="shared" si="94"/>
        <v>16.120824758526972</v>
      </c>
      <c r="Q354">
        <f t="shared" si="104"/>
        <v>40.946894886658512</v>
      </c>
      <c r="R354">
        <f t="shared" si="96"/>
        <v>892.49598935225401</v>
      </c>
      <c r="S354">
        <f t="shared" si="97"/>
        <v>2144.9074485754722</v>
      </c>
      <c r="T354">
        <f t="shared" si="98"/>
        <v>5684.0047387250015</v>
      </c>
      <c r="U354">
        <v>60.2</v>
      </c>
      <c r="V354">
        <v>0.19</v>
      </c>
      <c r="W354">
        <v>0</v>
      </c>
    </row>
    <row r="355" spans="1:27" x14ac:dyDescent="0.25">
      <c r="A355" t="s">
        <v>91</v>
      </c>
      <c r="B355" t="s">
        <v>92</v>
      </c>
      <c r="C355">
        <v>4</v>
      </c>
      <c r="D355">
        <v>2</v>
      </c>
      <c r="E355">
        <f t="shared" si="91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f t="shared" si="93"/>
        <v>2.9819490538137954</v>
      </c>
      <c r="P355">
        <f t="shared" si="94"/>
        <v>18.517143466723102</v>
      </c>
      <c r="Q355">
        <f t="shared" si="104"/>
        <v>47.033544405476675</v>
      </c>
      <c r="R355">
        <f t="shared" si="96"/>
        <v>1352.5909471082523</v>
      </c>
      <c r="S355">
        <f t="shared" si="97"/>
        <v>3250.6391422933243</v>
      </c>
      <c r="T355">
        <f t="shared" si="98"/>
        <v>8614.1937270773087</v>
      </c>
      <c r="U355">
        <v>60.2</v>
      </c>
      <c r="V355">
        <v>0.19</v>
      </c>
      <c r="W355">
        <v>0</v>
      </c>
    </row>
    <row r="356" spans="1:27" x14ac:dyDescent="0.25">
      <c r="A356" t="s">
        <v>91</v>
      </c>
      <c r="B356" t="s">
        <v>92</v>
      </c>
      <c r="C356">
        <v>5</v>
      </c>
      <c r="D356">
        <v>2</v>
      </c>
      <c r="E356">
        <f t="shared" si="91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f t="shared" si="93"/>
        <v>3.8457796820652996</v>
      </c>
      <c r="P356">
        <f t="shared" si="94"/>
        <v>20.155893355432035</v>
      </c>
      <c r="Q356">
        <f t="shared" si="104"/>
        <v>51.195969122797372</v>
      </c>
      <c r="R356">
        <f t="shared" si="96"/>
        <v>1744.4183950364686</v>
      </c>
      <c r="S356">
        <f t="shared" si="97"/>
        <v>4192.3056838175162</v>
      </c>
      <c r="T356">
        <f t="shared" si="98"/>
        <v>11109.610062116417</v>
      </c>
      <c r="U356">
        <v>60.2</v>
      </c>
      <c r="V356">
        <v>0.19</v>
      </c>
      <c r="W356">
        <v>0</v>
      </c>
    </row>
    <row r="357" spans="1:27" x14ac:dyDescent="0.25">
      <c r="A357" t="s">
        <v>91</v>
      </c>
      <c r="B357" t="s">
        <v>92</v>
      </c>
      <c r="C357">
        <v>6</v>
      </c>
      <c r="D357">
        <v>2</v>
      </c>
      <c r="E357">
        <f t="shared" si="91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f t="shared" si="93"/>
        <v>4.5235892786819099</v>
      </c>
      <c r="P357">
        <f t="shared" si="94"/>
        <v>21.276571163671122</v>
      </c>
      <c r="Q357">
        <f t="shared" si="104"/>
        <v>54.04249075572465</v>
      </c>
      <c r="R357">
        <f t="shared" si="96"/>
        <v>2051.8680220091942</v>
      </c>
      <c r="S357">
        <f t="shared" si="97"/>
        <v>4931.1896707743199</v>
      </c>
      <c r="T357">
        <f t="shared" si="98"/>
        <v>13067.652627551948</v>
      </c>
      <c r="U357">
        <v>60.2</v>
      </c>
      <c r="V357">
        <v>0.19</v>
      </c>
      <c r="W357">
        <v>0</v>
      </c>
    </row>
    <row r="358" spans="1:27" x14ac:dyDescent="0.25">
      <c r="A358" t="s">
        <v>91</v>
      </c>
      <c r="B358" t="s">
        <v>92</v>
      </c>
      <c r="C358">
        <v>7</v>
      </c>
      <c r="D358">
        <v>2</v>
      </c>
      <c r="E358">
        <f t="shared" si="91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f t="shared" si="93"/>
        <v>5.0302312558060329</v>
      </c>
      <c r="P358">
        <f t="shared" si="94"/>
        <v>22.042959468886515</v>
      </c>
      <c r="Q358">
        <f t="shared" si="104"/>
        <v>55.98911705097175</v>
      </c>
      <c r="R358">
        <f t="shared" si="96"/>
        <v>2281.67723045515</v>
      </c>
      <c r="S358">
        <f t="shared" si="97"/>
        <v>5483.4828898225187</v>
      </c>
      <c r="T358">
        <f t="shared" si="98"/>
        <v>14531.229658029673</v>
      </c>
      <c r="U358">
        <v>60.2</v>
      </c>
      <c r="V358">
        <v>0.19</v>
      </c>
      <c r="W358">
        <v>0</v>
      </c>
    </row>
    <row r="359" spans="1:27" x14ac:dyDescent="0.25">
      <c r="A359" t="s">
        <v>91</v>
      </c>
      <c r="B359" t="s">
        <v>92</v>
      </c>
      <c r="C359">
        <v>8</v>
      </c>
      <c r="D359">
        <v>2</v>
      </c>
      <c r="E359">
        <f t="shared" si="91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f t="shared" si="93"/>
        <v>5.3976331040455872</v>
      </c>
      <c r="P359">
        <f t="shared" si="94"/>
        <v>22.567062855294985</v>
      </c>
      <c r="Q359">
        <f t="shared" si="104"/>
        <v>57.320339652449263</v>
      </c>
      <c r="R359">
        <f t="shared" si="96"/>
        <v>2448.3281037301608</v>
      </c>
      <c r="S359">
        <f t="shared" si="97"/>
        <v>5883.9896749102645</v>
      </c>
      <c r="T359">
        <f t="shared" si="98"/>
        <v>15592.5726385122</v>
      </c>
      <c r="U359">
        <v>60.2</v>
      </c>
      <c r="V359">
        <v>0.19</v>
      </c>
      <c r="W359">
        <v>0</v>
      </c>
    </row>
    <row r="360" spans="1:27" x14ac:dyDescent="0.25">
      <c r="A360" t="s">
        <v>91</v>
      </c>
      <c r="B360" t="s">
        <v>92</v>
      </c>
      <c r="C360">
        <v>9</v>
      </c>
      <c r="D360">
        <v>2</v>
      </c>
      <c r="E360">
        <f t="shared" si="91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f t="shared" si="93"/>
        <v>5.658917770664913</v>
      </c>
      <c r="P360">
        <f t="shared" si="94"/>
        <v>22.925476935697247</v>
      </c>
      <c r="Q360">
        <f t="shared" si="104"/>
        <v>58.230711416671014</v>
      </c>
      <c r="R360">
        <f t="shared" si="96"/>
        <v>2566.8449758529418</v>
      </c>
      <c r="S360">
        <f t="shared" si="97"/>
        <v>6168.8175338931551</v>
      </c>
      <c r="T360">
        <f t="shared" si="98"/>
        <v>16347.36646481686</v>
      </c>
      <c r="U360">
        <v>60.2</v>
      </c>
      <c r="V360">
        <v>0.19</v>
      </c>
      <c r="W360">
        <v>0</v>
      </c>
    </row>
    <row r="361" spans="1:27" x14ac:dyDescent="0.25">
      <c r="A361" t="s">
        <v>91</v>
      </c>
      <c r="B361" t="s">
        <v>92</v>
      </c>
      <c r="C361">
        <v>10</v>
      </c>
      <c r="D361">
        <v>2</v>
      </c>
      <c r="E361">
        <f t="shared" si="91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f t="shared" si="93"/>
        <v>5.8423705783111286</v>
      </c>
      <c r="P361">
        <f t="shared" si="94"/>
        <v>23.170582493802691</v>
      </c>
      <c r="Q361">
        <f t="shared" si="104"/>
        <v>58.853279534258832</v>
      </c>
      <c r="R361">
        <f t="shared" si="96"/>
        <v>2650.0578686173258</v>
      </c>
      <c r="S361">
        <f t="shared" si="97"/>
        <v>6368.8004532980667</v>
      </c>
      <c r="T361">
        <f t="shared" si="98"/>
        <v>16877.321201239876</v>
      </c>
      <c r="U361">
        <v>60.2</v>
      </c>
      <c r="V361">
        <v>0.19</v>
      </c>
      <c r="W361">
        <v>0</v>
      </c>
      <c r="Y361" t="s">
        <v>668</v>
      </c>
    </row>
    <row r="362" spans="1:27" x14ac:dyDescent="0.25">
      <c r="A362" t="s">
        <v>93</v>
      </c>
      <c r="B362" t="s">
        <v>94</v>
      </c>
      <c r="C362">
        <v>1</v>
      </c>
      <c r="D362">
        <v>9</v>
      </c>
      <c r="E362">
        <f t="shared" si="91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f t="shared" si="93"/>
        <v>106837.91257608611</v>
      </c>
      <c r="P362">
        <f t="shared" si="94"/>
        <v>558.23088387339669</v>
      </c>
      <c r="Q362" s="2">
        <f t="shared" ref="Q362:Q371" si="105">U362*(1-EXP(-V362*(E362)))</f>
        <v>1417.9064450384276</v>
      </c>
      <c r="R362" s="2">
        <f t="shared" si="96"/>
        <v>48460919.603417419</v>
      </c>
      <c r="S362" s="2">
        <f t="shared" si="97"/>
        <v>116464598.9027095</v>
      </c>
      <c r="T362" s="2">
        <f t="shared" si="98"/>
        <v>308631187.09218013</v>
      </c>
      <c r="U362">
        <f t="shared" ref="U362:U371" si="106">$Y$363*100</f>
        <v>1584.96</v>
      </c>
      <c r="V362" s="2">
        <v>0.25</v>
      </c>
      <c r="W362">
        <v>0</v>
      </c>
      <c r="X362" t="s">
        <v>459</v>
      </c>
      <c r="Y362">
        <f>70*907.185</f>
        <v>63502.95</v>
      </c>
      <c r="Z362">
        <f>Y362*0.001</f>
        <v>63.502949999999998</v>
      </c>
      <c r="AA362">
        <f>R362*0.000001</f>
        <v>48.460919603417416</v>
      </c>
    </row>
    <row r="363" spans="1:27" x14ac:dyDescent="0.25">
      <c r="A363" t="s">
        <v>93</v>
      </c>
      <c r="B363" t="s">
        <v>94</v>
      </c>
      <c r="C363">
        <v>2</v>
      </c>
      <c r="D363">
        <v>9</v>
      </c>
      <c r="E363">
        <f t="shared" si="91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f t="shared" si="93"/>
        <v>144305.4923315148</v>
      </c>
      <c r="P363">
        <f t="shared" si="94"/>
        <v>617.0679861601368</v>
      </c>
      <c r="Q363" s="2">
        <f t="shared" si="105"/>
        <v>1567.3526848467475</v>
      </c>
      <c r="R363" s="2">
        <f t="shared" si="96"/>
        <v>65455948.114194192</v>
      </c>
      <c r="S363" s="2">
        <f t="shared" si="97"/>
        <v>157308214.64598462</v>
      </c>
      <c r="T363" s="2">
        <f t="shared" si="98"/>
        <v>416866768.81185925</v>
      </c>
      <c r="U363">
        <f t="shared" si="106"/>
        <v>1584.96</v>
      </c>
      <c r="V363" s="2">
        <v>0.25</v>
      </c>
      <c r="W363">
        <v>0</v>
      </c>
      <c r="X363" t="s">
        <v>460</v>
      </c>
      <c r="Y363">
        <f>52*0.3048</f>
        <v>15.849600000000001</v>
      </c>
      <c r="AA363">
        <f>R363*0.000001</f>
        <v>65.455948114194186</v>
      </c>
    </row>
    <row r="364" spans="1:27" x14ac:dyDescent="0.25">
      <c r="A364" t="s">
        <v>93</v>
      </c>
      <c r="B364" t="s">
        <v>94</v>
      </c>
      <c r="C364">
        <v>3</v>
      </c>
      <c r="D364">
        <v>9</v>
      </c>
      <c r="E364">
        <f t="shared" si="91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f t="shared" si="93"/>
        <v>148700.06890493253</v>
      </c>
      <c r="P364">
        <f t="shared" si="94"/>
        <v>623.2693711166263</v>
      </c>
      <c r="Q364" s="2">
        <f t="shared" si="105"/>
        <v>1583.1042026362309</v>
      </c>
      <c r="R364" s="2">
        <f t="shared" si="96"/>
        <v>67449296.887868449</v>
      </c>
      <c r="S364" s="2">
        <f t="shared" si="97"/>
        <v>162098766.85380542</v>
      </c>
      <c r="T364" s="2">
        <f t="shared" si="98"/>
        <v>429561732.16258436</v>
      </c>
      <c r="U364">
        <f t="shared" si="106"/>
        <v>1584.96</v>
      </c>
      <c r="V364" s="2">
        <v>0.25</v>
      </c>
      <c r="W364">
        <v>0</v>
      </c>
      <c r="X364" t="s">
        <v>461</v>
      </c>
      <c r="Y364">
        <v>70</v>
      </c>
      <c r="AA364">
        <f>R364*0.000001</f>
        <v>67.449296887868442</v>
      </c>
    </row>
    <row r="365" spans="1:27" x14ac:dyDescent="0.25">
      <c r="A365" t="s">
        <v>93</v>
      </c>
      <c r="B365" t="s">
        <v>94</v>
      </c>
      <c r="C365">
        <v>4</v>
      </c>
      <c r="D365">
        <v>9</v>
      </c>
      <c r="E365">
        <f t="shared" si="91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f t="shared" si="93"/>
        <v>149168.38395033302</v>
      </c>
      <c r="P365">
        <f t="shared" si="94"/>
        <v>623.92299228224999</v>
      </c>
      <c r="Q365" s="2">
        <f t="shared" si="105"/>
        <v>1584.7644003969149</v>
      </c>
      <c r="R365" s="2">
        <f t="shared" si="96"/>
        <v>67661721.271844134</v>
      </c>
      <c r="S365" s="2">
        <f t="shared" si="97"/>
        <v>162609279.6727809</v>
      </c>
      <c r="T365" s="2">
        <f t="shared" si="98"/>
        <v>430914591.13286936</v>
      </c>
      <c r="U365">
        <f t="shared" si="106"/>
        <v>1584.96</v>
      </c>
      <c r="V365" s="2">
        <v>0.25</v>
      </c>
      <c r="W365">
        <v>0</v>
      </c>
      <c r="X365" t="s">
        <v>462</v>
      </c>
      <c r="Y365">
        <f>(AVERAGE(4000,6000))*0.453592</f>
        <v>2267.96</v>
      </c>
      <c r="AA365">
        <f>R365*0.000001</f>
        <v>67.661721271844129</v>
      </c>
    </row>
    <row r="366" spans="1:27" x14ac:dyDescent="0.25">
      <c r="A366" t="s">
        <v>93</v>
      </c>
      <c r="B366" t="s">
        <v>94</v>
      </c>
      <c r="C366">
        <v>5</v>
      </c>
      <c r="D366">
        <v>9</v>
      </c>
      <c r="E366">
        <f t="shared" si="91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f t="shared" si="93"/>
        <v>149217.80119469736</v>
      </c>
      <c r="P366">
        <f t="shared" si="94"/>
        <v>623.99188344626384</v>
      </c>
      <c r="Q366" s="2">
        <f t="shared" si="105"/>
        <v>1584.9393839535103</v>
      </c>
      <c r="R366" s="2">
        <f t="shared" si="96"/>
        <v>67684136.583491653</v>
      </c>
      <c r="S366" s="2">
        <f t="shared" si="97"/>
        <v>162663149.68395016</v>
      </c>
      <c r="T366" s="2">
        <f t="shared" si="98"/>
        <v>431057346.6624679</v>
      </c>
      <c r="U366">
        <f t="shared" si="106"/>
        <v>1584.96</v>
      </c>
      <c r="V366" s="2">
        <v>0.25</v>
      </c>
      <c r="W366">
        <v>0</v>
      </c>
      <c r="X366" t="s">
        <v>463</v>
      </c>
      <c r="Y366">
        <f>14*0.3048</f>
        <v>4.2671999999999999</v>
      </c>
    </row>
    <row r="367" spans="1:27" x14ac:dyDescent="0.25">
      <c r="A367" t="s">
        <v>93</v>
      </c>
      <c r="B367" t="s">
        <v>94</v>
      </c>
      <c r="C367">
        <v>6</v>
      </c>
      <c r="D367">
        <v>9</v>
      </c>
      <c r="E367">
        <f t="shared" si="91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f t="shared" si="93"/>
        <v>149223.01036963495</v>
      </c>
      <c r="P367">
        <f t="shared" si="94"/>
        <v>623.99914452153007</v>
      </c>
      <c r="Q367" s="2">
        <f t="shared" si="105"/>
        <v>1584.9578270846864</v>
      </c>
      <c r="R367" s="2">
        <f t="shared" si="96"/>
        <v>67686499.428307354</v>
      </c>
      <c r="S367" s="2">
        <f t="shared" si="97"/>
        <v>162668828.23433635</v>
      </c>
      <c r="T367" s="2">
        <f t="shared" si="98"/>
        <v>431072394.82099128</v>
      </c>
      <c r="U367">
        <f t="shared" si="106"/>
        <v>1584.96</v>
      </c>
      <c r="V367" s="2">
        <v>0.25</v>
      </c>
      <c r="W367">
        <v>0</v>
      </c>
      <c r="X367" t="s">
        <v>464</v>
      </c>
      <c r="Y367">
        <f>4000*0.453592</f>
        <v>1814.3679999999999</v>
      </c>
    </row>
    <row r="368" spans="1:27" x14ac:dyDescent="0.25">
      <c r="A368" t="s">
        <v>93</v>
      </c>
      <c r="B368" t="s">
        <v>94</v>
      </c>
      <c r="C368">
        <v>7</v>
      </c>
      <c r="D368">
        <v>9</v>
      </c>
      <c r="E368">
        <f t="shared" si="91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f t="shared" si="93"/>
        <v>149223.55941969628</v>
      </c>
      <c r="P368">
        <f t="shared" si="94"/>
        <v>623.99990983323266</v>
      </c>
      <c r="Q368" s="2">
        <f t="shared" si="105"/>
        <v>1584.9597709764109</v>
      </c>
      <c r="R368" s="2">
        <f t="shared" si="96"/>
        <v>67686748.473522097</v>
      </c>
      <c r="S368" s="2">
        <f t="shared" si="97"/>
        <v>162669426.75684234</v>
      </c>
      <c r="T368" s="2">
        <f t="shared" si="98"/>
        <v>431073980.9056322</v>
      </c>
      <c r="U368">
        <f t="shared" si="106"/>
        <v>1584.96</v>
      </c>
      <c r="V368" s="2">
        <v>0.25</v>
      </c>
      <c r="W368">
        <v>0</v>
      </c>
      <c r="X368" t="s">
        <v>434</v>
      </c>
      <c r="Y368" s="7" t="s">
        <v>669</v>
      </c>
    </row>
    <row r="369" spans="1:34" x14ac:dyDescent="0.25">
      <c r="A369" t="s">
        <v>93</v>
      </c>
      <c r="B369" t="s">
        <v>94</v>
      </c>
      <c r="C369">
        <v>8</v>
      </c>
      <c r="D369">
        <v>9</v>
      </c>
      <c r="E369">
        <f t="shared" si="91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>
        <f t="shared" si="93"/>
        <v>149223.61728922545</v>
      </c>
      <c r="P369">
        <f t="shared" si="94"/>
        <v>623.99999049649261</v>
      </c>
      <c r="Q369" s="2">
        <f t="shared" si="105"/>
        <v>1584.9599758610914</v>
      </c>
      <c r="R369" s="2">
        <f t="shared" si="96"/>
        <v>67686774.722730204</v>
      </c>
      <c r="S369" s="2">
        <f t="shared" si="97"/>
        <v>162669489.84073585</v>
      </c>
      <c r="T369" s="2">
        <f t="shared" si="98"/>
        <v>431074148.07795</v>
      </c>
      <c r="U369">
        <f t="shared" si="106"/>
        <v>1584.96</v>
      </c>
      <c r="V369" s="2">
        <v>0.25</v>
      </c>
      <c r="W369">
        <v>0</v>
      </c>
      <c r="X369" t="s">
        <v>469</v>
      </c>
      <c r="Y369">
        <v>12</v>
      </c>
    </row>
    <row r="370" spans="1:34" x14ac:dyDescent="0.25">
      <c r="A370" t="s">
        <v>93</v>
      </c>
      <c r="B370" t="s">
        <v>94</v>
      </c>
      <c r="C370">
        <v>9</v>
      </c>
      <c r="D370">
        <v>9</v>
      </c>
      <c r="E370">
        <f t="shared" si="91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>
        <f t="shared" si="93"/>
        <v>149223.62338862984</v>
      </c>
      <c r="P370">
        <f t="shared" si="94"/>
        <v>623.99999899833767</v>
      </c>
      <c r="Q370" s="2">
        <f t="shared" si="105"/>
        <v>1584.9599974557777</v>
      </c>
      <c r="R370" s="2">
        <f t="shared" si="96"/>
        <v>67686777.489376783</v>
      </c>
      <c r="S370" s="2">
        <f t="shared" si="97"/>
        <v>162669496.48973033</v>
      </c>
      <c r="T370" s="2">
        <f t="shared" si="98"/>
        <v>431074165.69778538</v>
      </c>
      <c r="U370">
        <f t="shared" si="106"/>
        <v>1584.96</v>
      </c>
      <c r="V370" s="2">
        <v>0.25</v>
      </c>
      <c r="W370">
        <v>0</v>
      </c>
      <c r="X370" t="s">
        <v>470</v>
      </c>
      <c r="Y370">
        <v>10</v>
      </c>
    </row>
    <row r="371" spans="1:34" x14ac:dyDescent="0.25">
      <c r="A371" t="s">
        <v>93</v>
      </c>
      <c r="B371" t="s">
        <v>94</v>
      </c>
      <c r="C371">
        <v>10</v>
      </c>
      <c r="D371">
        <v>9</v>
      </c>
      <c r="E371">
        <f t="shared" si="91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>
        <f t="shared" si="93"/>
        <v>149223.62403150235</v>
      </c>
      <c r="P371">
        <f t="shared" si="94"/>
        <v>623.99999989442563</v>
      </c>
      <c r="Q371" s="2">
        <f t="shared" si="105"/>
        <v>1584.959999731841</v>
      </c>
      <c r="R371" s="2">
        <f t="shared" si="96"/>
        <v>67686777.780979186</v>
      </c>
      <c r="S371" s="2">
        <f t="shared" si="97"/>
        <v>162669497.19052917</v>
      </c>
      <c r="T371" s="2">
        <f t="shared" si="98"/>
        <v>431074167.55490226</v>
      </c>
      <c r="U371">
        <f t="shared" si="106"/>
        <v>1584.96</v>
      </c>
      <c r="V371" s="2">
        <v>0.25</v>
      </c>
      <c r="W371">
        <v>0</v>
      </c>
      <c r="X371" t="s">
        <v>471</v>
      </c>
    </row>
    <row r="372" spans="1:34" x14ac:dyDescent="0.25">
      <c r="A372" t="s">
        <v>95</v>
      </c>
      <c r="B372" s="2" t="s">
        <v>96</v>
      </c>
      <c r="C372">
        <v>1</v>
      </c>
      <c r="D372">
        <v>2</v>
      </c>
      <c r="E372">
        <f t="shared" si="91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f t="shared" si="93"/>
        <v>1.987138284806963</v>
      </c>
      <c r="P372">
        <f t="shared" si="94"/>
        <v>17.652155015414586</v>
      </c>
      <c r="Q372">
        <f t="shared" ref="Q372:Q381" si="107">136*(1-EXP(-0.2*(E372)))</f>
        <v>44.83647373915305</v>
      </c>
      <c r="R372">
        <f t="shared" si="96"/>
        <v>901.35183605653719</v>
      </c>
      <c r="S372">
        <f t="shared" si="97"/>
        <v>2166.1904255143891</v>
      </c>
      <c r="T372">
        <f t="shared" si="98"/>
        <v>5740.4046276131312</v>
      </c>
      <c r="U372">
        <v>136</v>
      </c>
      <c r="V372">
        <v>0.2</v>
      </c>
      <c r="W372">
        <v>0</v>
      </c>
    </row>
    <row r="373" spans="1:34" x14ac:dyDescent="0.25">
      <c r="A373" t="s">
        <v>95</v>
      </c>
      <c r="B373" s="2" t="s">
        <v>96</v>
      </c>
      <c r="C373">
        <v>2</v>
      </c>
      <c r="D373">
        <v>2</v>
      </c>
      <c r="E373">
        <f t="shared" ref="E373:E436" si="108">C373*D373</f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f t="shared" si="93"/>
        <v>9.2603450753228778</v>
      </c>
      <c r="P373">
        <f t="shared" si="94"/>
        <v>29.484748377975539</v>
      </c>
      <c r="Q373">
        <f t="shared" si="107"/>
        <v>74.891260880057871</v>
      </c>
      <c r="R373">
        <f t="shared" si="96"/>
        <v>4200.426865093702</v>
      </c>
      <c r="S373">
        <f t="shared" si="97"/>
        <v>10094.75334076833</v>
      </c>
      <c r="T373">
        <f t="shared" si="98"/>
        <v>26751.096353036071</v>
      </c>
      <c r="U373">
        <v>136</v>
      </c>
      <c r="V373">
        <v>0.2</v>
      </c>
      <c r="W373">
        <v>0</v>
      </c>
    </row>
    <row r="374" spans="1:34" x14ac:dyDescent="0.25">
      <c r="A374" t="s">
        <v>95</v>
      </c>
      <c r="B374" s="2" t="s">
        <v>96</v>
      </c>
      <c r="C374">
        <v>3</v>
      </c>
      <c r="D374">
        <v>2</v>
      </c>
      <c r="E374">
        <f t="shared" si="108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f t="shared" si="93"/>
        <v>18.924305423223942</v>
      </c>
      <c r="P374">
        <f t="shared" si="94"/>
        <v>37.416372905488394</v>
      </c>
      <c r="Q374">
        <f t="shared" si="107"/>
        <v>95.03758717994053</v>
      </c>
      <c r="R374">
        <f t="shared" si="96"/>
        <v>8583.9307559688023</v>
      </c>
      <c r="S374">
        <f t="shared" si="97"/>
        <v>20629.489920617165</v>
      </c>
      <c r="T374">
        <f t="shared" si="98"/>
        <v>54668.148289635486</v>
      </c>
      <c r="U374">
        <v>136</v>
      </c>
      <c r="V374">
        <v>0.2</v>
      </c>
      <c r="W374">
        <v>0</v>
      </c>
    </row>
    <row r="375" spans="1:34" x14ac:dyDescent="0.25">
      <c r="A375" t="s">
        <v>95</v>
      </c>
      <c r="B375" s="2" t="s">
        <v>96</v>
      </c>
      <c r="C375">
        <v>4</v>
      </c>
      <c r="D375">
        <v>2</v>
      </c>
      <c r="E375">
        <f t="shared" si="108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f t="shared" si="93"/>
        <v>28.192142685908323</v>
      </c>
      <c r="P375">
        <f t="shared" si="94"/>
        <v>42.733099823908219</v>
      </c>
      <c r="Q375">
        <f t="shared" si="107"/>
        <v>108.54207355272688</v>
      </c>
      <c r="R375">
        <f t="shared" si="96"/>
        <v>12787.756024125845</v>
      </c>
      <c r="S375">
        <f t="shared" si="97"/>
        <v>30732.410536231298</v>
      </c>
      <c r="T375">
        <f t="shared" si="98"/>
        <v>81440.887921012938</v>
      </c>
      <c r="U375">
        <v>136</v>
      </c>
      <c r="V375">
        <v>0.2</v>
      </c>
      <c r="W375">
        <v>0</v>
      </c>
    </row>
    <row r="376" spans="1:34" x14ac:dyDescent="0.25">
      <c r="A376" t="s">
        <v>95</v>
      </c>
      <c r="B376" s="2" t="s">
        <v>96</v>
      </c>
      <c r="C376">
        <v>5</v>
      </c>
      <c r="D376">
        <v>2</v>
      </c>
      <c r="E376">
        <f t="shared" si="108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f t="shared" si="93"/>
        <v>35.850373201594643</v>
      </c>
      <c r="P376">
        <f t="shared" si="94"/>
        <v>46.297008456622315</v>
      </c>
      <c r="Q376">
        <f t="shared" si="107"/>
        <v>117.59440147982068</v>
      </c>
      <c r="R376">
        <f t="shared" si="96"/>
        <v>16261.475084864802</v>
      </c>
      <c r="S376">
        <f t="shared" si="97"/>
        <v>39080.689941996628</v>
      </c>
      <c r="T376">
        <f t="shared" si="98"/>
        <v>103563.82834629106</v>
      </c>
      <c r="U376">
        <v>136</v>
      </c>
      <c r="V376">
        <v>0.2</v>
      </c>
      <c r="W376">
        <v>0</v>
      </c>
    </row>
    <row r="377" spans="1:34" x14ac:dyDescent="0.25">
      <c r="A377" t="s">
        <v>95</v>
      </c>
      <c r="B377" s="2" t="s">
        <v>96</v>
      </c>
      <c r="C377">
        <v>6</v>
      </c>
      <c r="D377">
        <v>2</v>
      </c>
      <c r="E377">
        <f t="shared" si="108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f t="shared" si="93"/>
        <v>41.691384432172946</v>
      </c>
      <c r="P377">
        <f t="shared" si="94"/>
        <v>48.685967855370038</v>
      </c>
      <c r="Q377">
        <f t="shared" si="107"/>
        <v>123.6623583526399</v>
      </c>
      <c r="R377">
        <f t="shared" si="96"/>
        <v>18910.916362989061</v>
      </c>
      <c r="S377">
        <f t="shared" si="97"/>
        <v>45448.008562819181</v>
      </c>
      <c r="T377">
        <f t="shared" si="98"/>
        <v>120437.22269147083</v>
      </c>
      <c r="U377">
        <v>136</v>
      </c>
      <c r="V377">
        <v>0.2</v>
      </c>
      <c r="W377">
        <v>0</v>
      </c>
    </row>
    <row r="378" spans="1:34" x14ac:dyDescent="0.25">
      <c r="A378" t="s">
        <v>95</v>
      </c>
      <c r="B378" s="2" t="s">
        <v>96</v>
      </c>
      <c r="C378">
        <v>7</v>
      </c>
      <c r="D378">
        <v>2</v>
      </c>
      <c r="E378">
        <f t="shared" si="108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f t="shared" si="93"/>
        <v>45.942091301172816</v>
      </c>
      <c r="P378">
        <f t="shared" si="94"/>
        <v>50.28733522951589</v>
      </c>
      <c r="Q378">
        <f t="shared" si="107"/>
        <v>127.72983148297035</v>
      </c>
      <c r="R378">
        <f t="shared" si="96"/>
        <v>20839.00685885677</v>
      </c>
      <c r="S378">
        <f t="shared" si="97"/>
        <v>50081.727610806942</v>
      </c>
      <c r="T378">
        <f t="shared" si="98"/>
        <v>132716.5781686384</v>
      </c>
      <c r="U378">
        <v>136</v>
      </c>
      <c r="V378">
        <v>0.2</v>
      </c>
      <c r="W378">
        <v>0</v>
      </c>
    </row>
    <row r="379" spans="1:34" x14ac:dyDescent="0.25">
      <c r="A379" t="s">
        <v>95</v>
      </c>
      <c r="B379" s="2" t="s">
        <v>96</v>
      </c>
      <c r="C379">
        <v>8</v>
      </c>
      <c r="D379">
        <v>2</v>
      </c>
      <c r="E379">
        <f t="shared" si="108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f t="shared" si="93"/>
        <v>48.947364830513955</v>
      </c>
      <c r="P379">
        <f t="shared" si="94"/>
        <v>51.360763881473304</v>
      </c>
      <c r="Q379">
        <f t="shared" si="107"/>
        <v>130.45634025894219</v>
      </c>
      <c r="R379">
        <f t="shared" si="96"/>
        <v>22202.17762268053</v>
      </c>
      <c r="S379">
        <f t="shared" si="97"/>
        <v>53357.792892767437</v>
      </c>
      <c r="T379">
        <f t="shared" si="98"/>
        <v>141398.1511658337</v>
      </c>
      <c r="U379">
        <v>136</v>
      </c>
      <c r="V379">
        <v>0.2</v>
      </c>
      <c r="W379">
        <v>0</v>
      </c>
      <c r="AA379" s="2" t="s">
        <v>670</v>
      </c>
    </row>
    <row r="380" spans="1:34" x14ac:dyDescent="0.25">
      <c r="A380" t="s">
        <v>95</v>
      </c>
      <c r="B380" s="2" t="s">
        <v>96</v>
      </c>
      <c r="C380">
        <v>9</v>
      </c>
      <c r="D380">
        <v>2</v>
      </c>
      <c r="E380">
        <f t="shared" si="108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f t="shared" si="93"/>
        <v>51.03351009969122</v>
      </c>
      <c r="P380">
        <f t="shared" si="94"/>
        <v>52.08030462486937</v>
      </c>
      <c r="Q380">
        <f t="shared" si="107"/>
        <v>132.2839737471682</v>
      </c>
      <c r="R380">
        <f t="shared" si="96"/>
        <v>23148.438324832045</v>
      </c>
      <c r="S380">
        <f t="shared" si="97"/>
        <v>55631.911379072444</v>
      </c>
      <c r="T380">
        <f t="shared" si="98"/>
        <v>147424.56515454198</v>
      </c>
      <c r="U380">
        <v>136</v>
      </c>
      <c r="V380">
        <v>0.2</v>
      </c>
      <c r="W380">
        <v>0</v>
      </c>
      <c r="Z380" t="s">
        <v>671</v>
      </c>
      <c r="AA380" s="8">
        <v>0.05</v>
      </c>
      <c r="AB380" s="8">
        <v>0.17</v>
      </c>
      <c r="AC380" s="8">
        <v>0.1</v>
      </c>
      <c r="AD380" s="8">
        <v>7.0000000000000007E-2</v>
      </c>
      <c r="AE380" s="8">
        <v>0.6</v>
      </c>
      <c r="AF380" s="8"/>
      <c r="AH380" s="8">
        <f>SUM(AA380:AF380)</f>
        <v>0.99</v>
      </c>
    </row>
    <row r="381" spans="1:34" x14ac:dyDescent="0.25">
      <c r="A381" t="s">
        <v>95</v>
      </c>
      <c r="B381" s="2" t="s">
        <v>96</v>
      </c>
      <c r="C381">
        <v>10</v>
      </c>
      <c r="D381">
        <v>2</v>
      </c>
      <c r="E381">
        <f t="shared" si="108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f t="shared" si="93"/>
        <v>52.464566095090916</v>
      </c>
      <c r="P381">
        <f t="shared" si="94"/>
        <v>52.562627209107148</v>
      </c>
      <c r="Q381">
        <f t="shared" si="107"/>
        <v>133.50907311113215</v>
      </c>
      <c r="R381">
        <f t="shared" si="96"/>
        <v>23797.555177350707</v>
      </c>
      <c r="S381">
        <f t="shared" si="97"/>
        <v>57191.913427903637</v>
      </c>
      <c r="T381">
        <f t="shared" si="98"/>
        <v>151558.57058394465</v>
      </c>
      <c r="U381">
        <v>136</v>
      </c>
      <c r="V381">
        <v>0.2</v>
      </c>
      <c r="W381">
        <v>0</v>
      </c>
      <c r="Y381" t="s">
        <v>672</v>
      </c>
      <c r="Z381" t="s">
        <v>673</v>
      </c>
      <c r="AA381" t="s">
        <v>674</v>
      </c>
      <c r="AB381" t="s">
        <v>675</v>
      </c>
      <c r="AC381" t="s">
        <v>676</v>
      </c>
      <c r="AD381" t="s">
        <v>677</v>
      </c>
      <c r="AE381" t="s">
        <v>678</v>
      </c>
      <c r="AF381" t="s">
        <v>679</v>
      </c>
    </row>
    <row r="382" spans="1:34" x14ac:dyDescent="0.25">
      <c r="A382" t="s">
        <v>97</v>
      </c>
      <c r="B382" t="s">
        <v>98</v>
      </c>
      <c r="C382">
        <v>1</v>
      </c>
      <c r="D382">
        <v>2</v>
      </c>
      <c r="E382">
        <f t="shared" si="108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f t="shared" si="93"/>
        <v>0.88313661779726171</v>
      </c>
      <c r="P382">
        <f t="shared" si="94"/>
        <v>7.2181607167311244</v>
      </c>
      <c r="Q382">
        <f t="shared" ref="Q382:Q391" si="109">U382*(1-EXP(-V382*(E382)))</f>
        <v>18.334128220497057</v>
      </c>
      <c r="R382">
        <f t="shared" si="96"/>
        <v>400.58450789581048</v>
      </c>
      <c r="S382">
        <f t="shared" si="97"/>
        <v>962.7121074160309</v>
      </c>
      <c r="T382">
        <f t="shared" si="98"/>
        <v>2551.1870846524816</v>
      </c>
      <c r="U382">
        <v>23.6</v>
      </c>
      <c r="V382">
        <v>0.75</v>
      </c>
      <c r="W382">
        <v>0</v>
      </c>
      <c r="X382" t="s">
        <v>680</v>
      </c>
      <c r="Y382">
        <v>3200</v>
      </c>
      <c r="Z382">
        <f>4*0.453592*1000</f>
        <v>1814.3679999999999</v>
      </c>
      <c r="AA382">
        <f>453.5</f>
        <v>453.5</v>
      </c>
      <c r="AB382">
        <f>8*28.35</f>
        <v>226.8</v>
      </c>
      <c r="AC382">
        <f>2*0.453592*1000</f>
        <v>907.18399999999997</v>
      </c>
      <c r="AD382">
        <f>4.5*0.453952*1000</f>
        <v>2042.7840000000001</v>
      </c>
      <c r="AE382">
        <f>2*0.453592*1000</f>
        <v>907.18399999999997</v>
      </c>
    </row>
    <row r="383" spans="1:34" x14ac:dyDescent="0.25">
      <c r="A383" t="s">
        <v>97</v>
      </c>
      <c r="B383" t="s">
        <v>98</v>
      </c>
      <c r="C383">
        <v>2</v>
      </c>
      <c r="D383">
        <v>2</v>
      </c>
      <c r="E383">
        <f t="shared" si="108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f t="shared" si="93"/>
        <v>1.6160169738186125</v>
      </c>
      <c r="P383">
        <f t="shared" si="94"/>
        <v>8.8287500734324453</v>
      </c>
      <c r="Q383">
        <f t="shared" si="109"/>
        <v>22.425025186518411</v>
      </c>
      <c r="R383">
        <f t="shared" si="96"/>
        <v>733.01384085176244</v>
      </c>
      <c r="S383">
        <f t="shared" si="97"/>
        <v>1761.6290335298302</v>
      </c>
      <c r="T383">
        <f t="shared" si="98"/>
        <v>4668.31693885405</v>
      </c>
      <c r="U383">
        <v>23.6</v>
      </c>
      <c r="V383">
        <v>0.75</v>
      </c>
      <c r="W383">
        <v>0</v>
      </c>
      <c r="X383" t="s">
        <v>681</v>
      </c>
      <c r="Y383">
        <v>180</v>
      </c>
    </row>
    <row r="384" spans="1:34" x14ac:dyDescent="0.25">
      <c r="A384" t="s">
        <v>97</v>
      </c>
      <c r="B384" t="s">
        <v>98</v>
      </c>
      <c r="C384">
        <v>3</v>
      </c>
      <c r="D384">
        <v>2</v>
      </c>
      <c r="E384">
        <f t="shared" si="108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f t="shared" si="93"/>
        <v>1.8214966888823141</v>
      </c>
      <c r="P384">
        <f t="shared" si="94"/>
        <v>9.1881211345265683</v>
      </c>
      <c r="Q384">
        <f t="shared" si="109"/>
        <v>23.337827681697483</v>
      </c>
      <c r="R384">
        <f t="shared" si="96"/>
        <v>826.21798263751305</v>
      </c>
      <c r="S384">
        <f t="shared" si="97"/>
        <v>1985.6236064347825</v>
      </c>
      <c r="T384">
        <f t="shared" si="98"/>
        <v>5261.9025570521735</v>
      </c>
      <c r="U384">
        <v>23.6</v>
      </c>
      <c r="V384">
        <v>0.75</v>
      </c>
      <c r="W384">
        <v>0</v>
      </c>
      <c r="X384" t="s">
        <v>461</v>
      </c>
      <c r="Z384">
        <v>26</v>
      </c>
    </row>
    <row r="385" spans="1:33" x14ac:dyDescent="0.25">
      <c r="A385" t="s">
        <v>97</v>
      </c>
      <c r="B385" t="s">
        <v>98</v>
      </c>
      <c r="C385">
        <v>4</v>
      </c>
      <c r="D385">
        <v>2</v>
      </c>
      <c r="E385">
        <f t="shared" si="108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f t="shared" si="93"/>
        <v>1.8696037656083082</v>
      </c>
      <c r="P385">
        <f t="shared" si="94"/>
        <v>9.2683076569412108</v>
      </c>
      <c r="Q385">
        <f t="shared" si="109"/>
        <v>23.541501448630676</v>
      </c>
      <c r="R385">
        <f t="shared" si="96"/>
        <v>848.03901153410027</v>
      </c>
      <c r="S385">
        <f t="shared" si="97"/>
        <v>2038.0653966212451</v>
      </c>
      <c r="T385">
        <f t="shared" si="98"/>
        <v>5400.8733010462993</v>
      </c>
      <c r="U385">
        <v>23.6</v>
      </c>
      <c r="V385">
        <v>0.75</v>
      </c>
      <c r="W385">
        <v>0</v>
      </c>
      <c r="X385" s="7" t="s">
        <v>682</v>
      </c>
      <c r="Z385" s="7" t="s">
        <v>683</v>
      </c>
      <c r="AG385" t="s">
        <v>684</v>
      </c>
    </row>
    <row r="386" spans="1:33" x14ac:dyDescent="0.25">
      <c r="A386" t="s">
        <v>97</v>
      </c>
      <c r="B386" t="s">
        <v>98</v>
      </c>
      <c r="C386">
        <v>5</v>
      </c>
      <c r="D386">
        <v>2</v>
      </c>
      <c r="E386">
        <f t="shared" si="108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f t="shared" ref="O386:O449" si="110">R386*0.00220462</f>
        <v>1.8804522272772768</v>
      </c>
      <c r="P386">
        <f t="shared" ref="P386:P449" si="111">Q386/2.54</f>
        <v>9.2861996885293365</v>
      </c>
      <c r="Q386">
        <f t="shared" si="109"/>
        <v>23.586947208864515</v>
      </c>
      <c r="R386">
        <f t="shared" ref="R386:R449" si="112">L386*(Q386^M386)</f>
        <v>852.95979682542873</v>
      </c>
      <c r="S386">
        <f t="shared" ref="S386:S449" si="113">R386/20/5.7/3.65*1000</f>
        <v>2049.8913646369351</v>
      </c>
      <c r="T386">
        <f t="shared" ref="T386:T449" si="114">S386*2.65</f>
        <v>5432.2121162878775</v>
      </c>
      <c r="U386">
        <v>23.6</v>
      </c>
      <c r="V386">
        <v>0.75</v>
      </c>
      <c r="W386">
        <v>0</v>
      </c>
      <c r="AA386" s="8">
        <f>AA382*AA380</f>
        <v>22.675000000000001</v>
      </c>
      <c r="AB386" s="8">
        <f>AB382*AB380</f>
        <v>38.556000000000004</v>
      </c>
      <c r="AC386" s="8">
        <f>AC382*AC380</f>
        <v>90.718400000000003</v>
      </c>
      <c r="AD386" s="8">
        <f>AD382*AD380</f>
        <v>142.99488000000002</v>
      </c>
      <c r="AE386" s="8">
        <f>AE382*AE380</f>
        <v>544.31039999999996</v>
      </c>
      <c r="AF386" s="8"/>
      <c r="AG386" s="9">
        <f>SUM(AA386:AE386)</f>
        <v>839.25468000000001</v>
      </c>
    </row>
    <row r="387" spans="1:33" x14ac:dyDescent="0.25">
      <c r="A387" t="s">
        <v>97</v>
      </c>
      <c r="B387" t="s">
        <v>98</v>
      </c>
      <c r="C387">
        <v>6</v>
      </c>
      <c r="D387">
        <v>2</v>
      </c>
      <c r="E387">
        <f t="shared" si="108"/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f t="shared" si="110"/>
        <v>1.8828785589619494</v>
      </c>
      <c r="P387">
        <f t="shared" si="111"/>
        <v>9.2901919404029751</v>
      </c>
      <c r="Q387">
        <f t="shared" si="109"/>
        <v>23.597087528623558</v>
      </c>
      <c r="R387">
        <f t="shared" si="112"/>
        <v>854.06036367353533</v>
      </c>
      <c r="S387">
        <f t="shared" si="113"/>
        <v>2052.5363222146971</v>
      </c>
      <c r="T387">
        <f t="shared" si="114"/>
        <v>5439.2212538689473</v>
      </c>
      <c r="U387">
        <v>23.6</v>
      </c>
      <c r="V387">
        <v>0.75</v>
      </c>
      <c r="W387">
        <v>0</v>
      </c>
      <c r="Y387">
        <f>180/2.54</f>
        <v>70.866141732283467</v>
      </c>
    </row>
    <row r="388" spans="1:33" x14ac:dyDescent="0.25">
      <c r="A388" t="s">
        <v>97</v>
      </c>
      <c r="B388" t="s">
        <v>98</v>
      </c>
      <c r="C388">
        <v>7</v>
      </c>
      <c r="D388">
        <v>2</v>
      </c>
      <c r="E388">
        <f t="shared" si="108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f t="shared" si="110"/>
        <v>1.8834202313903003</v>
      </c>
      <c r="P388">
        <f t="shared" si="111"/>
        <v>9.2910827322028933</v>
      </c>
      <c r="Q388">
        <f t="shared" si="109"/>
        <v>23.599350139795348</v>
      </c>
      <c r="R388">
        <f t="shared" si="112"/>
        <v>854.30606244627211</v>
      </c>
      <c r="S388">
        <f t="shared" si="113"/>
        <v>2053.126802322211</v>
      </c>
      <c r="T388">
        <f t="shared" si="114"/>
        <v>5440.786026153859</v>
      </c>
      <c r="U388">
        <v>23.6</v>
      </c>
      <c r="V388">
        <v>0.75</v>
      </c>
      <c r="W388">
        <v>0</v>
      </c>
      <c r="Y388">
        <f>AG386/Y382</f>
        <v>0.2622670875</v>
      </c>
    </row>
    <row r="389" spans="1:33" x14ac:dyDescent="0.25">
      <c r="A389" t="s">
        <v>97</v>
      </c>
      <c r="B389" t="s">
        <v>98</v>
      </c>
      <c r="C389">
        <v>8</v>
      </c>
      <c r="D389">
        <v>2</v>
      </c>
      <c r="E389">
        <f t="shared" si="108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f t="shared" si="110"/>
        <v>1.8835411090205088</v>
      </c>
      <c r="P389">
        <f t="shared" si="111"/>
        <v>9.2912814947198665</v>
      </c>
      <c r="Q389">
        <f t="shared" si="109"/>
        <v>23.599854996588462</v>
      </c>
      <c r="R389">
        <f t="shared" si="112"/>
        <v>854.36089168224396</v>
      </c>
      <c r="S389">
        <f t="shared" si="113"/>
        <v>2053.2585716948906</v>
      </c>
      <c r="T389">
        <f t="shared" si="114"/>
        <v>5441.1352149914601</v>
      </c>
      <c r="U389">
        <v>23.6</v>
      </c>
      <c r="V389">
        <v>0.75</v>
      </c>
      <c r="W389">
        <v>0</v>
      </c>
      <c r="Y389">
        <f>Y387*Y388</f>
        <v>18.585856594488188</v>
      </c>
    </row>
    <row r="390" spans="1:33" x14ac:dyDescent="0.25">
      <c r="A390" t="s">
        <v>97</v>
      </c>
      <c r="B390" t="s">
        <v>98</v>
      </c>
      <c r="C390">
        <v>9</v>
      </c>
      <c r="D390">
        <v>2</v>
      </c>
      <c r="E390">
        <f t="shared" si="108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f t="shared" si="110"/>
        <v>1.8835680811712319</v>
      </c>
      <c r="P390">
        <f t="shared" si="111"/>
        <v>9.2913258446321105</v>
      </c>
      <c r="Q390">
        <f t="shared" si="109"/>
        <v>23.599967645365563</v>
      </c>
      <c r="R390">
        <f t="shared" si="112"/>
        <v>854.37312605856425</v>
      </c>
      <c r="S390">
        <f t="shared" si="113"/>
        <v>2053.2879741854463</v>
      </c>
      <c r="T390">
        <f t="shared" si="114"/>
        <v>5441.2131315914321</v>
      </c>
      <c r="U390">
        <v>23.6</v>
      </c>
      <c r="V390">
        <v>0.75</v>
      </c>
      <c r="W390">
        <v>0</v>
      </c>
      <c r="Y390" s="2">
        <f>Y389/2*2.54</f>
        <v>23.604037875</v>
      </c>
      <c r="Z390" s="2" t="s">
        <v>685</v>
      </c>
    </row>
    <row r="391" spans="1:33" x14ac:dyDescent="0.25">
      <c r="A391" t="s">
        <v>97</v>
      </c>
      <c r="B391" t="s">
        <v>98</v>
      </c>
      <c r="C391">
        <v>10</v>
      </c>
      <c r="D391">
        <v>2</v>
      </c>
      <c r="E391">
        <f t="shared" si="108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f t="shared" si="110"/>
        <v>1.8835740995066796</v>
      </c>
      <c r="P391">
        <f t="shared" si="111"/>
        <v>9.2913357404351338</v>
      </c>
      <c r="Q391">
        <f t="shared" si="109"/>
        <v>23.599992780705239</v>
      </c>
      <c r="R391">
        <f t="shared" si="112"/>
        <v>854.37585593284996</v>
      </c>
      <c r="S391">
        <f t="shared" si="113"/>
        <v>2053.2945348061762</v>
      </c>
      <c r="T391">
        <f t="shared" si="114"/>
        <v>5441.2305172363667</v>
      </c>
      <c r="U391">
        <v>23.6</v>
      </c>
      <c r="V391">
        <v>0.75</v>
      </c>
      <c r="W391">
        <v>0</v>
      </c>
    </row>
    <row r="392" spans="1:33" x14ac:dyDescent="0.25">
      <c r="A392" t="s">
        <v>99</v>
      </c>
      <c r="B392" t="s">
        <v>100</v>
      </c>
      <c r="C392">
        <v>1</v>
      </c>
      <c r="D392">
        <v>2</v>
      </c>
      <c r="E392">
        <f t="shared" si="108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f t="shared" si="110"/>
        <v>7.7526309958411796E-2</v>
      </c>
      <c r="P392">
        <f t="shared" si="111"/>
        <v>4.8113930373485632</v>
      </c>
      <c r="Q392">
        <f t="shared" ref="Q392:Q401" si="115">42.4*(1-EXP(-0.17*(E392)))</f>
        <v>12.22093831486535</v>
      </c>
      <c r="R392">
        <f t="shared" si="112"/>
        <v>35.165384491845217</v>
      </c>
      <c r="S392">
        <f t="shared" si="113"/>
        <v>84.511858908544141</v>
      </c>
      <c r="T392">
        <f t="shared" si="114"/>
        <v>223.95642610764196</v>
      </c>
      <c r="U392">
        <v>42.4</v>
      </c>
      <c r="V392">
        <v>0.17</v>
      </c>
      <c r="W392">
        <v>0</v>
      </c>
      <c r="Y392" t="s">
        <v>667</v>
      </c>
    </row>
    <row r="393" spans="1:33" x14ac:dyDescent="0.25">
      <c r="A393" t="s">
        <v>99</v>
      </c>
      <c r="B393" t="s">
        <v>100</v>
      </c>
      <c r="C393">
        <v>2</v>
      </c>
      <c r="D393">
        <v>2</v>
      </c>
      <c r="E393">
        <f t="shared" si="108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f t="shared" si="110"/>
        <v>0.41032704300266931</v>
      </c>
      <c r="P393">
        <f t="shared" si="111"/>
        <v>8.2359998124799212</v>
      </c>
      <c r="Q393">
        <f t="shared" si="115"/>
        <v>20.919439523699001</v>
      </c>
      <c r="R393">
        <f t="shared" si="112"/>
        <v>186.12143725570363</v>
      </c>
      <c r="S393">
        <f t="shared" si="113"/>
        <v>447.29977711055909</v>
      </c>
      <c r="T393">
        <f t="shared" si="114"/>
        <v>1185.3444093429816</v>
      </c>
      <c r="U393">
        <v>42.4</v>
      </c>
      <c r="V393">
        <v>0.17</v>
      </c>
      <c r="W393">
        <v>0</v>
      </c>
    </row>
    <row r="394" spans="1:33" x14ac:dyDescent="0.25">
      <c r="A394" t="s">
        <v>99</v>
      </c>
      <c r="B394" t="s">
        <v>100</v>
      </c>
      <c r="C394">
        <v>3</v>
      </c>
      <c r="D394">
        <v>2</v>
      </c>
      <c r="E394">
        <f t="shared" si="108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f t="shared" si="110"/>
        <v>0.9165685900879792</v>
      </c>
      <c r="P394">
        <f t="shared" si="111"/>
        <v>10.673533282150188</v>
      </c>
      <c r="Q394">
        <f t="shared" si="115"/>
        <v>27.110774536661477</v>
      </c>
      <c r="R394">
        <f t="shared" si="112"/>
        <v>415.7490134753287</v>
      </c>
      <c r="S394">
        <f t="shared" si="113"/>
        <v>999.1564851606073</v>
      </c>
      <c r="T394">
        <f t="shared" si="114"/>
        <v>2647.7646856756091</v>
      </c>
      <c r="U394">
        <v>42.4</v>
      </c>
      <c r="V394">
        <v>0.17</v>
      </c>
      <c r="W394">
        <v>0</v>
      </c>
    </row>
    <row r="395" spans="1:33" x14ac:dyDescent="0.25">
      <c r="A395" t="s">
        <v>99</v>
      </c>
      <c r="B395" t="s">
        <v>100</v>
      </c>
      <c r="C395">
        <v>4</v>
      </c>
      <c r="D395">
        <v>2</v>
      </c>
      <c r="E395">
        <f t="shared" si="108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f t="shared" si="110"/>
        <v>1.4619718504402728</v>
      </c>
      <c r="P395">
        <f t="shared" si="111"/>
        <v>12.40849726660206</v>
      </c>
      <c r="Q395">
        <f t="shared" si="115"/>
        <v>31.517583057169233</v>
      </c>
      <c r="R395">
        <f t="shared" si="112"/>
        <v>663.1400651542092</v>
      </c>
      <c r="S395">
        <f t="shared" si="113"/>
        <v>1593.7035932569313</v>
      </c>
      <c r="T395">
        <f t="shared" si="114"/>
        <v>4223.3145221308678</v>
      </c>
      <c r="U395">
        <v>42.4</v>
      </c>
      <c r="V395">
        <v>0.17</v>
      </c>
      <c r="W395">
        <v>0</v>
      </c>
    </row>
    <row r="396" spans="1:33" x14ac:dyDescent="0.25">
      <c r="A396" t="s">
        <v>99</v>
      </c>
      <c r="B396" t="s">
        <v>100</v>
      </c>
      <c r="C396">
        <v>5</v>
      </c>
      <c r="D396">
        <v>2</v>
      </c>
      <c r="E396">
        <f t="shared" si="108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f t="shared" si="110"/>
        <v>1.9618642084198317</v>
      </c>
      <c r="P396">
        <f t="shared" si="111"/>
        <v>13.643393141796873</v>
      </c>
      <c r="Q396">
        <f t="shared" si="115"/>
        <v>34.654218580164056</v>
      </c>
      <c r="R396">
        <f t="shared" si="112"/>
        <v>889.88769421479969</v>
      </c>
      <c r="S396">
        <f t="shared" si="113"/>
        <v>2138.6390151761589</v>
      </c>
      <c r="T396">
        <f t="shared" si="114"/>
        <v>5667.393390216821</v>
      </c>
      <c r="U396">
        <v>42.4</v>
      </c>
      <c r="V396">
        <v>0.17</v>
      </c>
      <c r="W396">
        <v>0</v>
      </c>
    </row>
    <row r="397" spans="1:33" x14ac:dyDescent="0.25">
      <c r="A397" t="s">
        <v>99</v>
      </c>
      <c r="B397" t="s">
        <v>100</v>
      </c>
      <c r="C397">
        <v>6</v>
      </c>
      <c r="D397">
        <v>2</v>
      </c>
      <c r="E397">
        <f t="shared" si="108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f t="shared" si="110"/>
        <v>2.3808082026159325</v>
      </c>
      <c r="P397">
        <f t="shared" si="111"/>
        <v>14.522355377462496</v>
      </c>
      <c r="Q397">
        <f t="shared" si="115"/>
        <v>36.88678265875474</v>
      </c>
      <c r="R397">
        <f t="shared" si="112"/>
        <v>1079.9177194327967</v>
      </c>
      <c r="S397">
        <f t="shared" si="113"/>
        <v>2595.3321784013383</v>
      </c>
      <c r="T397">
        <f t="shared" si="114"/>
        <v>6877.6302727635466</v>
      </c>
      <c r="U397">
        <v>42.4</v>
      </c>
      <c r="V397">
        <v>0.17</v>
      </c>
      <c r="W397">
        <v>0</v>
      </c>
    </row>
    <row r="398" spans="1:33" x14ac:dyDescent="0.25">
      <c r="A398" t="s">
        <v>99</v>
      </c>
      <c r="B398" t="s">
        <v>100</v>
      </c>
      <c r="C398">
        <v>7</v>
      </c>
      <c r="D398">
        <v>2</v>
      </c>
      <c r="E398">
        <f t="shared" si="108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f t="shared" si="110"/>
        <v>2.7133679201056804</v>
      </c>
      <c r="P398">
        <f t="shared" si="111"/>
        <v>15.147974611638366</v>
      </c>
      <c r="Q398">
        <f t="shared" si="115"/>
        <v>38.475855513561449</v>
      </c>
      <c r="R398">
        <f t="shared" si="112"/>
        <v>1230.764449250066</v>
      </c>
      <c r="S398">
        <f t="shared" si="113"/>
        <v>2957.8573642154915</v>
      </c>
      <c r="T398">
        <f t="shared" si="114"/>
        <v>7838.322015171052</v>
      </c>
      <c r="U398">
        <v>42.4</v>
      </c>
      <c r="V398">
        <v>0.17</v>
      </c>
      <c r="W398">
        <v>0</v>
      </c>
    </row>
    <row r="399" spans="1:33" x14ac:dyDescent="0.25">
      <c r="A399" t="s">
        <v>99</v>
      </c>
      <c r="B399" t="s">
        <v>100</v>
      </c>
      <c r="C399">
        <v>8</v>
      </c>
      <c r="D399">
        <v>2</v>
      </c>
      <c r="E399">
        <f t="shared" si="108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f t="shared" si="110"/>
        <v>2.9683492422888915</v>
      </c>
      <c r="P399">
        <f t="shared" si="111"/>
        <v>15.593271815874219</v>
      </c>
      <c r="Q399">
        <f t="shared" si="115"/>
        <v>39.606910412320516</v>
      </c>
      <c r="R399">
        <f t="shared" si="112"/>
        <v>1346.4221690308948</v>
      </c>
      <c r="S399">
        <f t="shared" si="113"/>
        <v>3235.8139125952775</v>
      </c>
      <c r="T399">
        <f t="shared" si="114"/>
        <v>8574.9068683774858</v>
      </c>
      <c r="U399">
        <v>42.4</v>
      </c>
      <c r="V399">
        <v>0.17</v>
      </c>
      <c r="W399">
        <v>0</v>
      </c>
    </row>
    <row r="400" spans="1:33" x14ac:dyDescent="0.25">
      <c r="A400" t="s">
        <v>99</v>
      </c>
      <c r="B400" t="s">
        <v>100</v>
      </c>
      <c r="C400">
        <v>9</v>
      </c>
      <c r="D400">
        <v>2</v>
      </c>
      <c r="E400">
        <f t="shared" si="108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f t="shared" si="110"/>
        <v>3.1594085870510749</v>
      </c>
      <c r="P400">
        <f t="shared" si="111"/>
        <v>15.91022115065846</v>
      </c>
      <c r="Q400">
        <f t="shared" si="115"/>
        <v>40.411961722672487</v>
      </c>
      <c r="R400">
        <f t="shared" si="112"/>
        <v>1433.0853330964405</v>
      </c>
      <c r="S400">
        <f t="shared" si="113"/>
        <v>3444.088760145255</v>
      </c>
      <c r="T400">
        <f t="shared" si="114"/>
        <v>9126.8352143849261</v>
      </c>
      <c r="U400">
        <v>42.4</v>
      </c>
      <c r="V400">
        <v>0.17</v>
      </c>
      <c r="W400">
        <v>0</v>
      </c>
    </row>
    <row r="401" spans="1:34" x14ac:dyDescent="0.25">
      <c r="A401" t="s">
        <v>99</v>
      </c>
      <c r="B401" t="s">
        <v>100</v>
      </c>
      <c r="C401">
        <v>10</v>
      </c>
      <c r="D401">
        <v>2</v>
      </c>
      <c r="E401">
        <f t="shared" si="108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f t="shared" si="110"/>
        <v>3.3003609426445943</v>
      </c>
      <c r="P401">
        <f t="shared" si="111"/>
        <v>16.135816280977231</v>
      </c>
      <c r="Q401">
        <f t="shared" si="115"/>
        <v>40.984973353682172</v>
      </c>
      <c r="R401">
        <f t="shared" si="112"/>
        <v>1497.020322161912</v>
      </c>
      <c r="S401">
        <f t="shared" si="113"/>
        <v>3597.7417019031764</v>
      </c>
      <c r="T401">
        <f t="shared" si="114"/>
        <v>9534.0155100434167</v>
      </c>
      <c r="U401">
        <v>42.4</v>
      </c>
      <c r="V401">
        <v>0.17</v>
      </c>
      <c r="W401">
        <v>0</v>
      </c>
    </row>
    <row r="402" spans="1:34" x14ac:dyDescent="0.25">
      <c r="A402" t="s">
        <v>101</v>
      </c>
      <c r="B402" t="s">
        <v>102</v>
      </c>
      <c r="C402">
        <v>1</v>
      </c>
      <c r="D402">
        <v>2</v>
      </c>
      <c r="E402">
        <f t="shared" si="108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f t="shared" si="110"/>
        <v>1.048811704075304</v>
      </c>
      <c r="P402">
        <f t="shared" si="111"/>
        <v>11.979838750679438</v>
      </c>
      <c r="Q402" s="2">
        <f t="shared" ref="Q402:Q411" si="116">U402*(1-EXP(-V402*(E402-W402)))</f>
        <v>30.428790426725772</v>
      </c>
      <c r="R402" s="2">
        <f t="shared" si="112"/>
        <v>475.73355230166828</v>
      </c>
      <c r="S402" s="2">
        <f t="shared" si="113"/>
        <v>1143.3154345149444</v>
      </c>
      <c r="T402" s="2">
        <f t="shared" si="114"/>
        <v>3029.7859014646024</v>
      </c>
      <c r="U402">
        <f t="shared" ref="U402:U411" si="117">$AH$404</f>
        <v>150.03333333333333</v>
      </c>
      <c r="V402">
        <f t="shared" ref="V402:V411" si="118">$AH$405</f>
        <v>0.11333333333333334</v>
      </c>
      <c r="W402">
        <v>0</v>
      </c>
      <c r="Y402" t="s">
        <v>686</v>
      </c>
      <c r="Z402" t="s">
        <v>687</v>
      </c>
      <c r="AA402" t="s">
        <v>688</v>
      </c>
      <c r="AB402" t="s">
        <v>689</v>
      </c>
      <c r="AC402" t="s">
        <v>690</v>
      </c>
      <c r="AD402" t="s">
        <v>691</v>
      </c>
      <c r="AE402" t="s">
        <v>692</v>
      </c>
      <c r="AF402" t="s">
        <v>693</v>
      </c>
    </row>
    <row r="403" spans="1:34" x14ac:dyDescent="0.25">
      <c r="A403" t="s">
        <v>101</v>
      </c>
      <c r="B403" t="s">
        <v>102</v>
      </c>
      <c r="C403">
        <v>2</v>
      </c>
      <c r="D403">
        <v>2</v>
      </c>
      <c r="E403">
        <f t="shared" si="108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>
        <f t="shared" si="110"/>
        <v>3.1180781451313928</v>
      </c>
      <c r="P403">
        <f t="shared" si="111"/>
        <v>17.025220173825382</v>
      </c>
      <c r="Q403" s="2">
        <f t="shared" si="116"/>
        <v>43.244059241516467</v>
      </c>
      <c r="R403" s="2">
        <f t="shared" si="112"/>
        <v>1414.3381376978314</v>
      </c>
      <c r="S403" s="2">
        <f t="shared" si="113"/>
        <v>3399.0342170099289</v>
      </c>
      <c r="T403" s="2">
        <f t="shared" si="114"/>
        <v>9007.4406750763119</v>
      </c>
      <c r="U403">
        <f t="shared" si="117"/>
        <v>150.03333333333333</v>
      </c>
      <c r="V403">
        <f t="shared" si="118"/>
        <v>0.11333333333333334</v>
      </c>
      <c r="W403">
        <v>1</v>
      </c>
      <c r="X403" t="s">
        <v>422</v>
      </c>
      <c r="Y403">
        <v>230</v>
      </c>
      <c r="AB403">
        <v>152</v>
      </c>
      <c r="AC403">
        <v>403</v>
      </c>
      <c r="AE403">
        <v>143</v>
      </c>
      <c r="AF403">
        <v>100</v>
      </c>
      <c r="AH403">
        <f>AVERAGE(Y403:AF403)</f>
        <v>205.6</v>
      </c>
    </row>
    <row r="404" spans="1:34" x14ac:dyDescent="0.25">
      <c r="A404" t="s">
        <v>101</v>
      </c>
      <c r="B404" t="s">
        <v>102</v>
      </c>
      <c r="C404">
        <v>3</v>
      </c>
      <c r="D404">
        <v>2</v>
      </c>
      <c r="E404">
        <f t="shared" si="108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f t="shared" si="110"/>
        <v>6.4555947235383959</v>
      </c>
      <c r="P404">
        <f t="shared" si="111"/>
        <v>21.530004077517109</v>
      </c>
      <c r="Q404" s="2">
        <f t="shared" si="116"/>
        <v>54.686210356893454</v>
      </c>
      <c r="R404" s="2">
        <f t="shared" si="112"/>
        <v>2928.2119927871449</v>
      </c>
      <c r="S404" s="2">
        <f t="shared" si="113"/>
        <v>7037.2794827857379</v>
      </c>
      <c r="T404" s="2">
        <f t="shared" si="114"/>
        <v>18648.790629382205</v>
      </c>
      <c r="U404">
        <f t="shared" si="117"/>
        <v>150.03333333333333</v>
      </c>
      <c r="V404">
        <f t="shared" si="118"/>
        <v>0.11333333333333334</v>
      </c>
      <c r="W404">
        <v>2</v>
      </c>
      <c r="X404" t="s">
        <v>18</v>
      </c>
      <c r="AC404">
        <v>236</v>
      </c>
      <c r="AE404">
        <v>144</v>
      </c>
      <c r="AF404">
        <v>70.099999999999994</v>
      </c>
      <c r="AH404">
        <f>AVERAGE(Y404:AF404)</f>
        <v>150.03333333333333</v>
      </c>
    </row>
    <row r="405" spans="1:34" x14ac:dyDescent="0.25">
      <c r="A405" t="s">
        <v>101</v>
      </c>
      <c r="B405" t="s">
        <v>102</v>
      </c>
      <c r="C405">
        <v>4</v>
      </c>
      <c r="D405">
        <v>2</v>
      </c>
      <c r="E405">
        <f t="shared" si="108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f t="shared" si="110"/>
        <v>10.977986601158317</v>
      </c>
      <c r="P405">
        <f t="shared" si="111"/>
        <v>25.552113868040497</v>
      </c>
      <c r="Q405" s="2">
        <f t="shared" si="116"/>
        <v>64.902369224822863</v>
      </c>
      <c r="R405" s="2">
        <f t="shared" si="112"/>
        <v>4979.5368821648708</v>
      </c>
      <c r="S405" s="2">
        <f t="shared" si="113"/>
        <v>11967.163860045352</v>
      </c>
      <c r="T405" s="2">
        <f t="shared" si="114"/>
        <v>31712.984229120182</v>
      </c>
      <c r="U405">
        <f t="shared" si="117"/>
        <v>150.03333333333333</v>
      </c>
      <c r="V405">
        <f t="shared" si="118"/>
        <v>0.11333333333333334</v>
      </c>
      <c r="W405">
        <v>3</v>
      </c>
      <c r="X405" t="s">
        <v>19</v>
      </c>
      <c r="AC405">
        <v>0.1</v>
      </c>
      <c r="AE405">
        <v>0.04</v>
      </c>
      <c r="AF405">
        <v>0.2</v>
      </c>
      <c r="AH405">
        <f>AVERAGE(Y405:AF405)</f>
        <v>0.11333333333333334</v>
      </c>
    </row>
    <row r="406" spans="1:34" x14ac:dyDescent="0.25">
      <c r="A406" t="s">
        <v>101</v>
      </c>
      <c r="B406" t="s">
        <v>102</v>
      </c>
      <c r="C406">
        <v>5</v>
      </c>
      <c r="D406">
        <v>2</v>
      </c>
      <c r="E406">
        <f t="shared" si="108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>
        <f t="shared" si="110"/>
        <v>16.503194668098537</v>
      </c>
      <c r="P406">
        <f t="shared" si="111"/>
        <v>29.143266632053564</v>
      </c>
      <c r="Q406" s="2">
        <f t="shared" si="116"/>
        <v>74.023897245416052</v>
      </c>
      <c r="R406" s="2">
        <f t="shared" si="112"/>
        <v>7485.7320844855512</v>
      </c>
      <c r="S406" s="2">
        <f t="shared" si="113"/>
        <v>17990.223707006851</v>
      </c>
      <c r="T406" s="2">
        <f t="shared" si="114"/>
        <v>47674.092823568157</v>
      </c>
      <c r="U406">
        <f t="shared" si="117"/>
        <v>150.03333333333333</v>
      </c>
      <c r="V406">
        <f t="shared" si="118"/>
        <v>0.11333333333333334</v>
      </c>
      <c r="W406">
        <v>4</v>
      </c>
      <c r="X406" t="s">
        <v>477</v>
      </c>
    </row>
    <row r="407" spans="1:34" x14ac:dyDescent="0.25">
      <c r="A407" t="s">
        <v>101</v>
      </c>
      <c r="B407" t="s">
        <v>102</v>
      </c>
      <c r="C407">
        <v>6</v>
      </c>
      <c r="D407">
        <v>2</v>
      </c>
      <c r="E407">
        <f t="shared" si="108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f t="shared" si="110"/>
        <v>22.808395431515205</v>
      </c>
      <c r="P407">
        <f t="shared" si="111"/>
        <v>32.349638125160034</v>
      </c>
      <c r="Q407" s="2">
        <f t="shared" si="116"/>
        <v>82.168080837906487</v>
      </c>
      <c r="R407" s="2">
        <f t="shared" si="112"/>
        <v>10345.726443339534</v>
      </c>
      <c r="S407" s="2">
        <f t="shared" si="113"/>
        <v>24863.557902762637</v>
      </c>
      <c r="T407" s="2">
        <f t="shared" si="114"/>
        <v>65888.42844232099</v>
      </c>
      <c r="U407">
        <f t="shared" si="117"/>
        <v>150.03333333333333</v>
      </c>
      <c r="V407">
        <f t="shared" si="118"/>
        <v>0.11333333333333334</v>
      </c>
      <c r="W407">
        <v>5</v>
      </c>
      <c r="X407" t="s">
        <v>423</v>
      </c>
      <c r="AC407" t="s">
        <v>428</v>
      </c>
      <c r="AE407" t="s">
        <v>694</v>
      </c>
      <c r="AF407" t="s">
        <v>428</v>
      </c>
    </row>
    <row r="408" spans="1:34" x14ac:dyDescent="0.25">
      <c r="A408" t="s">
        <v>101</v>
      </c>
      <c r="B408" t="s">
        <v>102</v>
      </c>
      <c r="C408">
        <v>7</v>
      </c>
      <c r="D408">
        <v>2</v>
      </c>
      <c r="E408">
        <f t="shared" si="108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f t="shared" si="110"/>
        <v>29.665939975959152</v>
      </c>
      <c r="P408">
        <f t="shared" si="111"/>
        <v>35.212456508947518</v>
      </c>
      <c r="Q408" s="2">
        <f t="shared" si="116"/>
        <v>89.439639532726702</v>
      </c>
      <c r="R408" s="2">
        <f t="shared" si="112"/>
        <v>13456.260024838362</v>
      </c>
      <c r="S408" s="2">
        <f t="shared" si="113"/>
        <v>32339.005106556982</v>
      </c>
      <c r="T408" s="2">
        <f t="shared" si="114"/>
        <v>85698.363532375995</v>
      </c>
      <c r="U408">
        <f t="shared" si="117"/>
        <v>150.03333333333333</v>
      </c>
      <c r="V408">
        <f t="shared" si="118"/>
        <v>0.11333333333333334</v>
      </c>
      <c r="W408">
        <v>6</v>
      </c>
      <c r="X408" t="s">
        <v>434</v>
      </c>
      <c r="Y408" s="7" t="s">
        <v>695</v>
      </c>
      <c r="AB408" s="7" t="s">
        <v>696</v>
      </c>
      <c r="AC408" s="7" t="s">
        <v>697</v>
      </c>
      <c r="AE408" s="7" t="s">
        <v>698</v>
      </c>
      <c r="AF408" s="7" t="s">
        <v>699</v>
      </c>
    </row>
    <row r="409" spans="1:34" x14ac:dyDescent="0.25">
      <c r="A409" t="s">
        <v>101</v>
      </c>
      <c r="B409" t="s">
        <v>102</v>
      </c>
      <c r="C409">
        <v>8</v>
      </c>
      <c r="D409">
        <v>2</v>
      </c>
      <c r="E409">
        <f t="shared" si="108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f t="shared" si="110"/>
        <v>36.864033523591324</v>
      </c>
      <c r="P409">
        <f t="shared" si="111"/>
        <v>37.768532470878924</v>
      </c>
      <c r="Q409" s="2">
        <f t="shared" si="116"/>
        <v>95.932072476032474</v>
      </c>
      <c r="R409" s="2">
        <f t="shared" si="112"/>
        <v>16721.264219498746</v>
      </c>
      <c r="S409" s="2">
        <f t="shared" si="113"/>
        <v>40185.686660655476</v>
      </c>
      <c r="T409" s="2">
        <f t="shared" si="114"/>
        <v>106492.069650737</v>
      </c>
      <c r="U409">
        <f t="shared" si="117"/>
        <v>150.03333333333333</v>
      </c>
      <c r="V409">
        <f t="shared" si="118"/>
        <v>0.11333333333333334</v>
      </c>
      <c r="W409">
        <v>7</v>
      </c>
    </row>
    <row r="410" spans="1:34" x14ac:dyDescent="0.25">
      <c r="A410" t="s">
        <v>101</v>
      </c>
      <c r="B410" t="s">
        <v>102</v>
      </c>
      <c r="C410">
        <v>9</v>
      </c>
      <c r="D410">
        <v>2</v>
      </c>
      <c r="E410">
        <f t="shared" si="108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f t="shared" si="110"/>
        <v>44.217272357953462</v>
      </c>
      <c r="P410">
        <f t="shared" si="111"/>
        <v>40.050732543424154</v>
      </c>
      <c r="Q410" s="2">
        <f t="shared" si="116"/>
        <v>101.72886066029736</v>
      </c>
      <c r="R410" s="2">
        <f t="shared" si="112"/>
        <v>20056.641216152198</v>
      </c>
      <c r="S410" s="2">
        <f t="shared" si="113"/>
        <v>48201.49294917615</v>
      </c>
      <c r="T410" s="2">
        <f t="shared" si="114"/>
        <v>127733.9563153168</v>
      </c>
      <c r="U410">
        <f t="shared" si="117"/>
        <v>150.03333333333333</v>
      </c>
      <c r="V410">
        <f t="shared" si="118"/>
        <v>0.11333333333333334</v>
      </c>
      <c r="W410">
        <v>8</v>
      </c>
    </row>
    <row r="411" spans="1:34" x14ac:dyDescent="0.25">
      <c r="A411" t="s">
        <v>101</v>
      </c>
      <c r="B411" t="s">
        <v>102</v>
      </c>
      <c r="C411">
        <v>10</v>
      </c>
      <c r="D411">
        <v>2</v>
      </c>
      <c r="E411">
        <f t="shared" si="108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f t="shared" si="110"/>
        <v>51.570703466293651</v>
      </c>
      <c r="P411">
        <f t="shared" si="111"/>
        <v>42.088401708463309</v>
      </c>
      <c r="Q411" s="2">
        <f t="shared" si="116"/>
        <v>106.9045403394968</v>
      </c>
      <c r="R411" s="2">
        <f t="shared" si="112"/>
        <v>23392.105426918766</v>
      </c>
      <c r="S411" s="2">
        <f t="shared" si="113"/>
        <v>56217.508836622837</v>
      </c>
      <c r="T411" s="2">
        <f t="shared" si="114"/>
        <v>148976.39841705051</v>
      </c>
      <c r="U411">
        <f t="shared" si="117"/>
        <v>150.03333333333333</v>
      </c>
      <c r="V411">
        <f t="shared" si="118"/>
        <v>0.11333333333333334</v>
      </c>
      <c r="W411">
        <v>9</v>
      </c>
    </row>
    <row r="412" spans="1:34" x14ac:dyDescent="0.25">
      <c r="A412" t="s">
        <v>103</v>
      </c>
      <c r="B412" t="s">
        <v>104</v>
      </c>
      <c r="C412">
        <v>1</v>
      </c>
      <c r="D412">
        <v>1</v>
      </c>
      <c r="E412">
        <f t="shared" si="108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f t="shared" si="110"/>
        <v>2.2277004139224565E-2</v>
      </c>
      <c r="P412">
        <f t="shared" si="111"/>
        <v>4.2414677849223663</v>
      </c>
      <c r="Q412">
        <f t="shared" ref="Q412:Q421" si="119">65.4*(1-EXP(-0.18*(E412)))</f>
        <v>10.773328173702811</v>
      </c>
      <c r="R412">
        <f t="shared" si="112"/>
        <v>10.104691121020659</v>
      </c>
      <c r="S412">
        <f t="shared" si="113"/>
        <v>24.28428531848272</v>
      </c>
      <c r="T412">
        <f t="shared" si="114"/>
        <v>64.353356093979201</v>
      </c>
      <c r="U412">
        <v>65.400000000000006</v>
      </c>
      <c r="V412">
        <v>0.18</v>
      </c>
      <c r="W412">
        <v>0</v>
      </c>
      <c r="Y412" t="s">
        <v>667</v>
      </c>
    </row>
    <row r="413" spans="1:34" x14ac:dyDescent="0.25">
      <c r="A413" t="s">
        <v>103</v>
      </c>
      <c r="B413" t="s">
        <v>104</v>
      </c>
      <c r="C413">
        <v>2</v>
      </c>
      <c r="D413">
        <v>1</v>
      </c>
      <c r="E413">
        <f t="shared" si="108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f t="shared" si="110"/>
        <v>0.12195983527165984</v>
      </c>
      <c r="P413">
        <f t="shared" si="111"/>
        <v>7.7842394783285727</v>
      </c>
      <c r="Q413">
        <f t="shared" si="119"/>
        <v>19.771968274954574</v>
      </c>
      <c r="R413">
        <f t="shared" si="112"/>
        <v>55.320116515163534</v>
      </c>
      <c r="S413">
        <f t="shared" si="113"/>
        <v>132.94909039933557</v>
      </c>
      <c r="T413">
        <f t="shared" si="114"/>
        <v>352.31508955823926</v>
      </c>
      <c r="U413">
        <v>65.400000000000006</v>
      </c>
      <c r="V413">
        <v>0.18</v>
      </c>
      <c r="W413">
        <v>0</v>
      </c>
    </row>
    <row r="414" spans="1:34" x14ac:dyDescent="0.25">
      <c r="A414" t="s">
        <v>103</v>
      </c>
      <c r="B414" t="s">
        <v>104</v>
      </c>
      <c r="C414">
        <v>3</v>
      </c>
      <c r="D414">
        <v>1</v>
      </c>
      <c r="E414">
        <f t="shared" si="108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f t="shared" si="110"/>
        <v>0.30061431036597802</v>
      </c>
      <c r="P414">
        <f t="shared" si="111"/>
        <v>10.743411139661841</v>
      </c>
      <c r="Q414">
        <f t="shared" si="119"/>
        <v>27.288264294741079</v>
      </c>
      <c r="R414">
        <f t="shared" si="112"/>
        <v>136.35651965689235</v>
      </c>
      <c r="S414">
        <f t="shared" si="113"/>
        <v>327.70132097306498</v>
      </c>
      <c r="T414">
        <f t="shared" si="114"/>
        <v>868.40850057862212</v>
      </c>
      <c r="U414">
        <v>65.400000000000006</v>
      </c>
      <c r="V414">
        <v>0.18</v>
      </c>
      <c r="W414">
        <v>0</v>
      </c>
    </row>
    <row r="415" spans="1:34" x14ac:dyDescent="0.25">
      <c r="A415" t="s">
        <v>103</v>
      </c>
      <c r="B415" t="s">
        <v>104</v>
      </c>
      <c r="C415">
        <v>4</v>
      </c>
      <c r="D415">
        <v>1</v>
      </c>
      <c r="E415">
        <f t="shared" si="108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f t="shared" si="110"/>
        <v>0.53679755384626038</v>
      </c>
      <c r="P415">
        <f t="shared" si="111"/>
        <v>13.215119078825925</v>
      </c>
      <c r="Q415">
        <f t="shared" si="119"/>
        <v>33.566402460217851</v>
      </c>
      <c r="R415">
        <f t="shared" si="112"/>
        <v>243.48756422705969</v>
      </c>
      <c r="S415">
        <f t="shared" si="113"/>
        <v>585.16597987757677</v>
      </c>
      <c r="T415">
        <f t="shared" si="114"/>
        <v>1550.6898466755783</v>
      </c>
      <c r="U415">
        <v>65.400000000000006</v>
      </c>
      <c r="V415">
        <v>0.18</v>
      </c>
      <c r="W415">
        <v>0</v>
      </c>
    </row>
    <row r="416" spans="1:34" x14ac:dyDescent="0.25">
      <c r="A416" t="s">
        <v>103</v>
      </c>
      <c r="B416" t="s">
        <v>104</v>
      </c>
      <c r="C416">
        <v>5</v>
      </c>
      <c r="D416">
        <v>1</v>
      </c>
      <c r="E416">
        <f t="shared" si="108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f t="shared" si="110"/>
        <v>0.80599079389768036</v>
      </c>
      <c r="P416">
        <f t="shared" si="111"/>
        <v>15.279663091718431</v>
      </c>
      <c r="Q416">
        <f t="shared" si="119"/>
        <v>38.810344252964818</v>
      </c>
      <c r="R416">
        <f t="shared" si="112"/>
        <v>365.59170918238988</v>
      </c>
      <c r="S416">
        <f t="shared" si="113"/>
        <v>878.61501846284534</v>
      </c>
      <c r="T416">
        <f t="shared" si="114"/>
        <v>2328.3297989265402</v>
      </c>
      <c r="U416">
        <v>65.400000000000006</v>
      </c>
      <c r="V416">
        <v>0.18</v>
      </c>
      <c r="W416">
        <v>0</v>
      </c>
    </row>
    <row r="417" spans="1:34" x14ac:dyDescent="0.25">
      <c r="A417" t="s">
        <v>103</v>
      </c>
      <c r="B417" t="s">
        <v>104</v>
      </c>
      <c r="C417">
        <v>6</v>
      </c>
      <c r="D417">
        <v>1</v>
      </c>
      <c r="E417">
        <f t="shared" si="108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f t="shared" si="110"/>
        <v>1.0873336043395747</v>
      </c>
      <c r="P417">
        <f t="shared" si="111"/>
        <v>17.004115205835031</v>
      </c>
      <c r="Q417">
        <f t="shared" si="119"/>
        <v>43.190452622820985</v>
      </c>
      <c r="R417">
        <f t="shared" si="112"/>
        <v>493.20681311952842</v>
      </c>
      <c r="S417">
        <f t="shared" si="113"/>
        <v>1185.3083708712531</v>
      </c>
      <c r="T417">
        <f t="shared" si="114"/>
        <v>3141.0671828088207</v>
      </c>
      <c r="U417">
        <v>65.400000000000006</v>
      </c>
      <c r="V417">
        <v>0.18</v>
      </c>
      <c r="W417">
        <v>0</v>
      </c>
    </row>
    <row r="418" spans="1:34" x14ac:dyDescent="0.25">
      <c r="A418" t="s">
        <v>103</v>
      </c>
      <c r="B418" t="s">
        <v>104</v>
      </c>
      <c r="C418">
        <v>7</v>
      </c>
      <c r="D418">
        <v>1</v>
      </c>
      <c r="E418">
        <f t="shared" si="108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f t="shared" si="110"/>
        <v>1.3653333485326657</v>
      </c>
      <c r="P418">
        <f t="shared" si="111"/>
        <v>18.444498687761818</v>
      </c>
      <c r="Q418">
        <f t="shared" si="119"/>
        <v>46.849026666915016</v>
      </c>
      <c r="R418">
        <f t="shared" si="112"/>
        <v>619.30552591043613</v>
      </c>
      <c r="S418">
        <f t="shared" si="113"/>
        <v>1488.3574282875177</v>
      </c>
      <c r="T418">
        <f t="shared" si="114"/>
        <v>3944.1471849619215</v>
      </c>
      <c r="U418">
        <v>65.400000000000006</v>
      </c>
      <c r="V418">
        <v>0.18</v>
      </c>
      <c r="W418">
        <v>0</v>
      </c>
    </row>
    <row r="419" spans="1:34" x14ac:dyDescent="0.25">
      <c r="A419" t="s">
        <v>103</v>
      </c>
      <c r="B419" t="s">
        <v>104</v>
      </c>
      <c r="C419">
        <v>8</v>
      </c>
      <c r="D419">
        <v>1</v>
      </c>
      <c r="E419">
        <f t="shared" si="108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f t="shared" si="110"/>
        <v>1.629591029664694</v>
      </c>
      <c r="P419">
        <f t="shared" si="111"/>
        <v>19.647608103224108</v>
      </c>
      <c r="Q419">
        <f t="shared" si="119"/>
        <v>49.904924582189238</v>
      </c>
      <c r="R419">
        <f t="shared" si="112"/>
        <v>739.1709363358284</v>
      </c>
      <c r="S419">
        <f t="shared" si="113"/>
        <v>1776.4261868200635</v>
      </c>
      <c r="T419">
        <f t="shared" si="114"/>
        <v>4707.5293950731684</v>
      </c>
      <c r="U419">
        <v>65.400000000000006</v>
      </c>
      <c r="V419">
        <v>0.18</v>
      </c>
      <c r="W419">
        <v>0</v>
      </c>
    </row>
    <row r="420" spans="1:34" x14ac:dyDescent="0.25">
      <c r="A420" t="s">
        <v>103</v>
      </c>
      <c r="B420" t="s">
        <v>104</v>
      </c>
      <c r="C420">
        <v>9</v>
      </c>
      <c r="D420">
        <v>1</v>
      </c>
      <c r="E420">
        <f t="shared" si="108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f t="shared" si="110"/>
        <v>1.8738577039644053</v>
      </c>
      <c r="P420">
        <f t="shared" si="111"/>
        <v>20.652529559028189</v>
      </c>
      <c r="Q420">
        <f t="shared" si="119"/>
        <v>52.457425079931603</v>
      </c>
      <c r="R420">
        <f t="shared" si="112"/>
        <v>849.96856780960229</v>
      </c>
      <c r="S420">
        <f t="shared" si="113"/>
        <v>2042.7026383311756</v>
      </c>
      <c r="T420">
        <f t="shared" si="114"/>
        <v>5413.1619915776155</v>
      </c>
      <c r="U420">
        <v>65.400000000000006</v>
      </c>
      <c r="V420">
        <v>0.18</v>
      </c>
      <c r="W420">
        <v>0</v>
      </c>
    </row>
    <row r="421" spans="1:34" x14ac:dyDescent="0.25">
      <c r="A421" t="s">
        <v>103</v>
      </c>
      <c r="B421" t="s">
        <v>104</v>
      </c>
      <c r="C421">
        <v>10</v>
      </c>
      <c r="D421">
        <v>1</v>
      </c>
      <c r="E421">
        <f t="shared" si="108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f t="shared" si="110"/>
        <v>2.0949881368275705</v>
      </c>
      <c r="P421">
        <f t="shared" si="111"/>
        <v>21.491910515869385</v>
      </c>
      <c r="Q421">
        <f t="shared" si="119"/>
        <v>54.589452710308244</v>
      </c>
      <c r="R421">
        <f t="shared" si="112"/>
        <v>950.27176421676768</v>
      </c>
      <c r="S421">
        <f t="shared" si="113"/>
        <v>2283.7581451977112</v>
      </c>
      <c r="T421">
        <f t="shared" si="114"/>
        <v>6051.9590847739346</v>
      </c>
      <c r="U421">
        <v>65.400000000000006</v>
      </c>
      <c r="V421">
        <v>0.18</v>
      </c>
      <c r="W421">
        <v>0</v>
      </c>
    </row>
    <row r="422" spans="1:34" x14ac:dyDescent="0.25">
      <c r="A422" s="2" t="s">
        <v>105</v>
      </c>
      <c r="B422" t="s">
        <v>700</v>
      </c>
      <c r="C422">
        <v>1</v>
      </c>
      <c r="D422">
        <v>3</v>
      </c>
      <c r="E422">
        <f t="shared" si="108"/>
        <v>3</v>
      </c>
      <c r="F422">
        <v>350</v>
      </c>
      <c r="G422">
        <v>927.5</v>
      </c>
      <c r="H422">
        <f t="shared" ref="H422:H431" si="120">F422*3.65*5.7*20/1000</f>
        <v>145.63499999999999</v>
      </c>
      <c r="I422">
        <f t="shared" ref="I422:J431" si="121">H422/1000</f>
        <v>0.14563499999999999</v>
      </c>
      <c r="J422">
        <f t="shared" si="121"/>
        <v>1.45635E-4</v>
      </c>
      <c r="K422">
        <f t="shared" ref="K422:K431" si="122">I422*2.204</f>
        <v>0.32097954000000001</v>
      </c>
      <c r="L422" s="3">
        <v>1.2699999999999999E-2</v>
      </c>
      <c r="M422" s="3">
        <v>3.1</v>
      </c>
      <c r="N422">
        <f t="shared" ref="N422:N431" si="123">(H422/L422)^(1/M422)</f>
        <v>20.39406896596369</v>
      </c>
      <c r="O422">
        <f t="shared" si="110"/>
        <v>5.3066126739263684</v>
      </c>
      <c r="P422">
        <f t="shared" si="111"/>
        <v>19.844660747601765</v>
      </c>
      <c r="Q422" s="2">
        <f t="shared" ref="Q422:Q431" si="124">U422*(1-EXP(-V422*(E422-W422)))</f>
        <v>50.405438298908479</v>
      </c>
      <c r="R422" s="2">
        <f t="shared" si="112"/>
        <v>2407.0418820143009</v>
      </c>
      <c r="S422" s="2">
        <f t="shared" si="113"/>
        <v>5784.7678010437421</v>
      </c>
      <c r="T422" s="2">
        <f t="shared" si="114"/>
        <v>15329.634672765917</v>
      </c>
      <c r="U422">
        <f t="shared" ref="U422:U431" si="125">$AH$424</f>
        <v>109.97499999999999</v>
      </c>
      <c r="V422">
        <f t="shared" ref="V422:V431" si="126">$AH$425</f>
        <v>0.14750000000000002</v>
      </c>
      <c r="W422">
        <f t="shared" ref="W422:W431" si="127">$AH$426</f>
        <v>-1.1566666666666667</v>
      </c>
      <c r="Y422" t="s">
        <v>701</v>
      </c>
      <c r="Z422" t="s">
        <v>702</v>
      </c>
      <c r="AA422" t="s">
        <v>703</v>
      </c>
      <c r="AB422" t="s">
        <v>704</v>
      </c>
      <c r="AC422" t="s">
        <v>705</v>
      </c>
      <c r="AD422" t="s">
        <v>706</v>
      </c>
      <c r="AE422" t="s">
        <v>707</v>
      </c>
      <c r="AF422" t="s">
        <v>708</v>
      </c>
      <c r="AH422" t="s">
        <v>453</v>
      </c>
    </row>
    <row r="423" spans="1:34" x14ac:dyDescent="0.25">
      <c r="A423" s="2" t="s">
        <v>105</v>
      </c>
      <c r="B423" t="s">
        <v>700</v>
      </c>
      <c r="C423">
        <v>2</v>
      </c>
      <c r="D423">
        <v>3</v>
      </c>
      <c r="E423">
        <f t="shared" si="108"/>
        <v>6</v>
      </c>
      <c r="F423">
        <v>1200</v>
      </c>
      <c r="G423">
        <v>3180</v>
      </c>
      <c r="H423">
        <f t="shared" si="120"/>
        <v>499.32</v>
      </c>
      <c r="I423">
        <f t="shared" si="121"/>
        <v>0.49931999999999999</v>
      </c>
      <c r="J423">
        <f t="shared" si="121"/>
        <v>4.9932000000000004E-4</v>
      </c>
      <c r="K423">
        <f t="shared" si="122"/>
        <v>1.10050128</v>
      </c>
      <c r="L423" s="3">
        <v>1.2699999999999999E-2</v>
      </c>
      <c r="M423" s="3">
        <v>3.1</v>
      </c>
      <c r="N423">
        <f t="shared" si="123"/>
        <v>30.347369004339537</v>
      </c>
      <c r="O423">
        <f t="shared" si="110"/>
        <v>15.825455677808614</v>
      </c>
      <c r="P423">
        <f t="shared" si="111"/>
        <v>28.23063988353141</v>
      </c>
      <c r="Q423" s="2">
        <f t="shared" si="124"/>
        <v>71.705825304169778</v>
      </c>
      <c r="R423" s="2">
        <f t="shared" si="112"/>
        <v>7178.3144840419727</v>
      </c>
      <c r="S423" s="2">
        <f t="shared" si="113"/>
        <v>17251.416688396956</v>
      </c>
      <c r="T423" s="2">
        <f t="shared" si="114"/>
        <v>45716.254224251934</v>
      </c>
      <c r="U423">
        <f t="shared" si="125"/>
        <v>109.97499999999999</v>
      </c>
      <c r="V423">
        <f t="shared" si="126"/>
        <v>0.14750000000000002</v>
      </c>
      <c r="W423">
        <f t="shared" si="127"/>
        <v>-1.1566666666666667</v>
      </c>
      <c r="X423" t="s">
        <v>422</v>
      </c>
      <c r="AA423">
        <v>180</v>
      </c>
      <c r="AB423">
        <v>152</v>
      </c>
      <c r="AC423">
        <v>84</v>
      </c>
      <c r="AD423">
        <v>26</v>
      </c>
      <c r="AE423">
        <v>75.400000000000006</v>
      </c>
      <c r="AF423">
        <v>127</v>
      </c>
      <c r="AH423">
        <f>AVERAGE(AB423:AF423)</f>
        <v>92.88</v>
      </c>
    </row>
    <row r="424" spans="1:34" x14ac:dyDescent="0.25">
      <c r="A424" s="2" t="s">
        <v>105</v>
      </c>
      <c r="B424" t="s">
        <v>700</v>
      </c>
      <c r="C424">
        <v>3</v>
      </c>
      <c r="D424">
        <v>3</v>
      </c>
      <c r="E424">
        <f t="shared" si="108"/>
        <v>9</v>
      </c>
      <c r="F424">
        <v>1800</v>
      </c>
      <c r="G424">
        <v>4770</v>
      </c>
      <c r="H424">
        <f t="shared" si="120"/>
        <v>748.98</v>
      </c>
      <c r="I424">
        <f t="shared" si="121"/>
        <v>0.74897999999999998</v>
      </c>
      <c r="J424">
        <f t="shared" si="121"/>
        <v>7.4898E-4</v>
      </c>
      <c r="K424">
        <f t="shared" si="122"/>
        <v>1.65075192</v>
      </c>
      <c r="L424" s="3">
        <v>1.2699999999999999E-2</v>
      </c>
      <c r="M424" s="3">
        <v>3.1</v>
      </c>
      <c r="N424">
        <f t="shared" si="123"/>
        <v>34.587938444619454</v>
      </c>
      <c r="O424">
        <f t="shared" si="110"/>
        <v>27.19543529522754</v>
      </c>
      <c r="P424">
        <f t="shared" si="111"/>
        <v>33.618030547219952</v>
      </c>
      <c r="Q424" s="2">
        <f t="shared" si="124"/>
        <v>85.389797589938681</v>
      </c>
      <c r="R424" s="2">
        <f t="shared" si="112"/>
        <v>12335.656618930945</v>
      </c>
      <c r="S424" s="2">
        <f t="shared" si="113"/>
        <v>29645.894301684559</v>
      </c>
      <c r="T424" s="2">
        <f t="shared" si="114"/>
        <v>78561.619899464073</v>
      </c>
      <c r="U424">
        <f t="shared" si="125"/>
        <v>109.97499999999999</v>
      </c>
      <c r="V424">
        <f t="shared" si="126"/>
        <v>0.14750000000000002</v>
      </c>
      <c r="W424">
        <f t="shared" si="127"/>
        <v>-1.1566666666666667</v>
      </c>
      <c r="X424" t="s">
        <v>18</v>
      </c>
      <c r="AB424">
        <v>166</v>
      </c>
      <c r="AC424">
        <v>78.5</v>
      </c>
      <c r="AE424">
        <v>75.400000000000006</v>
      </c>
      <c r="AF424">
        <v>120</v>
      </c>
      <c r="AH424">
        <f>AVERAGE(AB424:AF424)</f>
        <v>109.97499999999999</v>
      </c>
    </row>
    <row r="425" spans="1:34" x14ac:dyDescent="0.25">
      <c r="A425" s="2" t="s">
        <v>105</v>
      </c>
      <c r="B425" t="s">
        <v>700</v>
      </c>
      <c r="C425">
        <v>4</v>
      </c>
      <c r="D425">
        <v>3</v>
      </c>
      <c r="E425">
        <f t="shared" si="108"/>
        <v>12</v>
      </c>
      <c r="F425">
        <v>3129.99</v>
      </c>
      <c r="G425">
        <v>8294.48</v>
      </c>
      <c r="H425">
        <f t="shared" si="120"/>
        <v>1302.388839</v>
      </c>
      <c r="I425">
        <f t="shared" si="121"/>
        <v>1.302388839</v>
      </c>
      <c r="J425">
        <f t="shared" si="121"/>
        <v>1.3023888389999999E-3</v>
      </c>
      <c r="K425">
        <f t="shared" si="122"/>
        <v>2.8704650011560005</v>
      </c>
      <c r="L425" s="3">
        <v>1.2699999999999999E-2</v>
      </c>
      <c r="M425" s="3">
        <v>3.1</v>
      </c>
      <c r="N425">
        <f t="shared" si="123"/>
        <v>41.345787911509852</v>
      </c>
      <c r="O425">
        <f t="shared" si="110"/>
        <v>36.848548617520372</v>
      </c>
      <c r="P425">
        <f t="shared" si="111"/>
        <v>37.07904299344051</v>
      </c>
      <c r="Q425" s="2">
        <f t="shared" si="124"/>
        <v>94.180769203338897</v>
      </c>
      <c r="R425" s="2">
        <f t="shared" si="112"/>
        <v>16714.240375901685</v>
      </c>
      <c r="S425" s="2">
        <f t="shared" si="113"/>
        <v>40168.80647897545</v>
      </c>
      <c r="T425" s="2">
        <f t="shared" si="114"/>
        <v>106447.33716928493</v>
      </c>
      <c r="U425">
        <f t="shared" si="125"/>
        <v>109.97499999999999</v>
      </c>
      <c r="V425">
        <f t="shared" si="126"/>
        <v>0.14750000000000002</v>
      </c>
      <c r="W425">
        <f t="shared" si="127"/>
        <v>-1.1566666666666667</v>
      </c>
      <c r="X425" t="s">
        <v>19</v>
      </c>
      <c r="AB425">
        <v>0.14000000000000001</v>
      </c>
      <c r="AC425">
        <v>0.2</v>
      </c>
      <c r="AE425">
        <v>0.12</v>
      </c>
      <c r="AF425">
        <v>0.13</v>
      </c>
      <c r="AH425">
        <f>AVERAGE(AB425:AF425)</f>
        <v>0.14750000000000002</v>
      </c>
    </row>
    <row r="426" spans="1:34" x14ac:dyDescent="0.25">
      <c r="A426" s="2" t="s">
        <v>105</v>
      </c>
      <c r="B426" t="s">
        <v>700</v>
      </c>
      <c r="C426">
        <v>5</v>
      </c>
      <c r="D426">
        <v>3</v>
      </c>
      <c r="E426">
        <f t="shared" si="108"/>
        <v>15</v>
      </c>
      <c r="F426">
        <v>7000</v>
      </c>
      <c r="G426">
        <v>18550</v>
      </c>
      <c r="H426">
        <f t="shared" si="120"/>
        <v>2912.7</v>
      </c>
      <c r="I426">
        <f t="shared" si="121"/>
        <v>2.9126999999999996</v>
      </c>
      <c r="J426">
        <f t="shared" si="121"/>
        <v>2.9126999999999998E-3</v>
      </c>
      <c r="K426">
        <f t="shared" si="122"/>
        <v>6.4195907999999999</v>
      </c>
      <c r="L426" s="3">
        <v>1.2699999999999999E-2</v>
      </c>
      <c r="M426" s="3">
        <v>3.1</v>
      </c>
      <c r="N426">
        <f t="shared" si="123"/>
        <v>53.603232342129658</v>
      </c>
      <c r="O426">
        <f t="shared" si="110"/>
        <v>44.13919184127549</v>
      </c>
      <c r="P426">
        <f t="shared" si="111"/>
        <v>39.302495477335995</v>
      </c>
      <c r="Q426" s="2">
        <f t="shared" si="124"/>
        <v>99.828338512433433</v>
      </c>
      <c r="R426" s="2">
        <f t="shared" si="112"/>
        <v>20021.224447421999</v>
      </c>
      <c r="S426" s="2">
        <f t="shared" si="113"/>
        <v>48116.376946459983</v>
      </c>
      <c r="T426" s="2">
        <f t="shared" si="114"/>
        <v>127508.39890811895</v>
      </c>
      <c r="U426">
        <f t="shared" si="125"/>
        <v>109.97499999999999</v>
      </c>
      <c r="V426">
        <f t="shared" si="126"/>
        <v>0.14750000000000002</v>
      </c>
      <c r="W426">
        <f t="shared" si="127"/>
        <v>-1.1566666666666667</v>
      </c>
      <c r="X426" t="s">
        <v>477</v>
      </c>
      <c r="AB426">
        <v>-1.29</v>
      </c>
      <c r="AC426">
        <v>-1.78</v>
      </c>
      <c r="AF426">
        <v>-0.4</v>
      </c>
      <c r="AH426">
        <f>AVERAGE(AB426:AF426)</f>
        <v>-1.1566666666666667</v>
      </c>
    </row>
    <row r="427" spans="1:34" x14ac:dyDescent="0.25">
      <c r="A427" s="2" t="s">
        <v>105</v>
      </c>
      <c r="B427" t="s">
        <v>700</v>
      </c>
      <c r="C427">
        <v>6</v>
      </c>
      <c r="D427">
        <v>3</v>
      </c>
      <c r="E427">
        <f t="shared" si="108"/>
        <v>18</v>
      </c>
      <c r="F427">
        <v>9000</v>
      </c>
      <c r="G427">
        <v>23850</v>
      </c>
      <c r="H427">
        <f t="shared" si="120"/>
        <v>3744.9</v>
      </c>
      <c r="I427">
        <f t="shared" si="121"/>
        <v>3.7448999999999999</v>
      </c>
      <c r="J427">
        <f t="shared" si="121"/>
        <v>3.7448999999999998E-3</v>
      </c>
      <c r="K427">
        <f t="shared" si="122"/>
        <v>8.2537596000000004</v>
      </c>
      <c r="L427" s="3">
        <v>1.2699999999999999E-2</v>
      </c>
      <c r="M427" s="3">
        <v>3.1</v>
      </c>
      <c r="N427">
        <f t="shared" si="123"/>
        <v>58.129805837341053</v>
      </c>
      <c r="O427">
        <f t="shared" si="110"/>
        <v>49.304498967765248</v>
      </c>
      <c r="P427">
        <f t="shared" si="111"/>
        <v>40.730904367786422</v>
      </c>
      <c r="Q427" s="2">
        <f t="shared" si="124"/>
        <v>103.45649709417751</v>
      </c>
      <c r="R427" s="2">
        <f t="shared" si="112"/>
        <v>22364.171135055134</v>
      </c>
      <c r="S427" s="2">
        <f t="shared" si="113"/>
        <v>53747.106789365862</v>
      </c>
      <c r="T427" s="2">
        <f t="shared" si="114"/>
        <v>142429.83299181954</v>
      </c>
      <c r="U427">
        <f t="shared" si="125"/>
        <v>109.97499999999999</v>
      </c>
      <c r="V427">
        <f t="shared" si="126"/>
        <v>0.14750000000000002</v>
      </c>
      <c r="W427">
        <f t="shared" si="127"/>
        <v>-1.1566666666666667</v>
      </c>
      <c r="X427" t="s">
        <v>423</v>
      </c>
      <c r="AB427" t="s">
        <v>709</v>
      </c>
      <c r="AC427" t="s">
        <v>710</v>
      </c>
      <c r="AE427" t="s">
        <v>711</v>
      </c>
      <c r="AF427" t="s">
        <v>711</v>
      </c>
    </row>
    <row r="428" spans="1:34" x14ac:dyDescent="0.25">
      <c r="A428" s="2" t="s">
        <v>105</v>
      </c>
      <c r="B428" t="s">
        <v>700</v>
      </c>
      <c r="C428">
        <v>7</v>
      </c>
      <c r="D428">
        <v>3</v>
      </c>
      <c r="E428">
        <f t="shared" si="108"/>
        <v>21</v>
      </c>
      <c r="F428">
        <v>13000</v>
      </c>
      <c r="G428">
        <v>34450</v>
      </c>
      <c r="H428">
        <f t="shared" si="120"/>
        <v>5409.3</v>
      </c>
      <c r="I428">
        <f t="shared" si="121"/>
        <v>5.4093</v>
      </c>
      <c r="J428">
        <f t="shared" si="121"/>
        <v>5.4092999999999997E-3</v>
      </c>
      <c r="K428">
        <f t="shared" si="122"/>
        <v>11.922097200000001</v>
      </c>
      <c r="L428" s="3">
        <v>1.2699999999999999E-2</v>
      </c>
      <c r="M428" s="3">
        <v>3.1</v>
      </c>
      <c r="N428">
        <f t="shared" si="123"/>
        <v>65.450847322550857</v>
      </c>
      <c r="O428">
        <f t="shared" si="110"/>
        <v>52.830142802289309</v>
      </c>
      <c r="P428">
        <f t="shared" si="111"/>
        <v>41.648554721502599</v>
      </c>
      <c r="Q428" s="2">
        <f t="shared" si="124"/>
        <v>105.78732899261659</v>
      </c>
      <c r="R428" s="2">
        <f t="shared" si="112"/>
        <v>23963.378179590727</v>
      </c>
      <c r="S428" s="2">
        <f t="shared" si="113"/>
        <v>57590.430616656398</v>
      </c>
      <c r="T428" s="2">
        <f t="shared" si="114"/>
        <v>152614.64113413944</v>
      </c>
      <c r="U428">
        <f t="shared" si="125"/>
        <v>109.97499999999999</v>
      </c>
      <c r="V428">
        <f t="shared" si="126"/>
        <v>0.14750000000000002</v>
      </c>
      <c r="W428">
        <f t="shared" si="127"/>
        <v>-1.1566666666666667</v>
      </c>
      <c r="X428" t="s">
        <v>434</v>
      </c>
      <c r="AA428" s="7" t="s">
        <v>712</v>
      </c>
      <c r="AB428" s="7" t="s">
        <v>713</v>
      </c>
      <c r="AC428" s="7" t="s">
        <v>714</v>
      </c>
      <c r="AD428" s="7" t="s">
        <v>715</v>
      </c>
      <c r="AE428" s="7" t="s">
        <v>716</v>
      </c>
      <c r="AF428" s="7" t="s">
        <v>717</v>
      </c>
    </row>
    <row r="429" spans="1:34" x14ac:dyDescent="0.25">
      <c r="A429" s="2" t="s">
        <v>105</v>
      </c>
      <c r="B429" t="s">
        <v>700</v>
      </c>
      <c r="C429">
        <v>8</v>
      </c>
      <c r="D429">
        <v>3</v>
      </c>
      <c r="E429">
        <f t="shared" si="108"/>
        <v>24</v>
      </c>
      <c r="F429">
        <v>18000</v>
      </c>
      <c r="G429">
        <v>40770</v>
      </c>
      <c r="H429">
        <f t="shared" si="120"/>
        <v>7489.8</v>
      </c>
      <c r="I429">
        <f t="shared" si="121"/>
        <v>7.4897999999999998</v>
      </c>
      <c r="J429">
        <f t="shared" si="121"/>
        <v>7.4897999999999996E-3</v>
      </c>
      <c r="K429">
        <f t="shared" si="122"/>
        <v>16.507519200000001</v>
      </c>
      <c r="L429" s="3">
        <v>1.2699999999999999E-2</v>
      </c>
      <c r="M429" s="3">
        <v>3.1</v>
      </c>
      <c r="N429">
        <f t="shared" si="123"/>
        <v>72.695130842069446</v>
      </c>
      <c r="O429">
        <f t="shared" si="110"/>
        <v>55.18294646876253</v>
      </c>
      <c r="P429">
        <f t="shared" si="111"/>
        <v>42.238079315829289</v>
      </c>
      <c r="Q429" s="2">
        <f t="shared" si="124"/>
        <v>107.28472146220639</v>
      </c>
      <c r="R429" s="2">
        <f t="shared" si="112"/>
        <v>25030.593239997157</v>
      </c>
      <c r="S429" s="2">
        <f t="shared" si="113"/>
        <v>60155.234895450987</v>
      </c>
      <c r="T429" s="2">
        <f t="shared" si="114"/>
        <v>159411.37247294511</v>
      </c>
      <c r="U429">
        <f t="shared" si="125"/>
        <v>109.97499999999999</v>
      </c>
      <c r="V429">
        <f t="shared" si="126"/>
        <v>0.14750000000000002</v>
      </c>
      <c r="W429">
        <f t="shared" si="127"/>
        <v>-1.1566666666666667</v>
      </c>
    </row>
    <row r="430" spans="1:34" x14ac:dyDescent="0.25">
      <c r="A430" s="2" t="s">
        <v>105</v>
      </c>
      <c r="B430" t="s">
        <v>700</v>
      </c>
      <c r="C430">
        <v>9</v>
      </c>
      <c r="D430">
        <v>3</v>
      </c>
      <c r="E430">
        <f t="shared" si="108"/>
        <v>27</v>
      </c>
      <c r="F430">
        <v>30000</v>
      </c>
      <c r="G430">
        <v>79500</v>
      </c>
      <c r="H430">
        <f t="shared" si="120"/>
        <v>12483</v>
      </c>
      <c r="I430">
        <f t="shared" si="121"/>
        <v>12.483000000000001</v>
      </c>
      <c r="J430">
        <f t="shared" si="121"/>
        <v>1.2483000000000001E-2</v>
      </c>
      <c r="K430">
        <f t="shared" si="122"/>
        <v>27.512532000000004</v>
      </c>
      <c r="L430" s="3">
        <v>1.2699999999999999E-2</v>
      </c>
      <c r="M430" s="3">
        <v>3.1</v>
      </c>
      <c r="N430">
        <f t="shared" si="123"/>
        <v>85.717488006455042</v>
      </c>
      <c r="O430">
        <f t="shared" si="110"/>
        <v>56.73130678646951</v>
      </c>
      <c r="P430">
        <f t="shared" si="111"/>
        <v>42.616806622922482</v>
      </c>
      <c r="Q430" s="2">
        <f t="shared" si="124"/>
        <v>108.24668882222311</v>
      </c>
      <c r="R430" s="2">
        <f t="shared" si="112"/>
        <v>25732.918501360557</v>
      </c>
      <c r="S430" s="2">
        <f t="shared" si="113"/>
        <v>61843.11103427194</v>
      </c>
      <c r="T430" s="2">
        <f t="shared" si="114"/>
        <v>163884.24424082064</v>
      </c>
      <c r="U430">
        <f t="shared" si="125"/>
        <v>109.97499999999999</v>
      </c>
      <c r="V430">
        <f t="shared" si="126"/>
        <v>0.14750000000000002</v>
      </c>
      <c r="W430">
        <f t="shared" si="127"/>
        <v>-1.1566666666666667</v>
      </c>
    </row>
    <row r="431" spans="1:34" x14ac:dyDescent="0.25">
      <c r="A431" s="2" t="s">
        <v>105</v>
      </c>
      <c r="B431" t="s">
        <v>700</v>
      </c>
      <c r="C431">
        <v>10</v>
      </c>
      <c r="D431">
        <v>3</v>
      </c>
      <c r="E431">
        <f t="shared" si="108"/>
        <v>30</v>
      </c>
      <c r="F431">
        <v>32000</v>
      </c>
      <c r="G431">
        <v>85500</v>
      </c>
      <c r="H431">
        <f t="shared" si="120"/>
        <v>13315.2</v>
      </c>
      <c r="I431">
        <f t="shared" si="121"/>
        <v>13.315200000000001</v>
      </c>
      <c r="J431">
        <f t="shared" si="121"/>
        <v>1.3315200000000001E-2</v>
      </c>
      <c r="K431">
        <f t="shared" si="122"/>
        <v>29.346700800000004</v>
      </c>
      <c r="L431" s="3">
        <v>1.2699999999999999E-2</v>
      </c>
      <c r="M431" s="3">
        <v>3.1</v>
      </c>
      <c r="N431">
        <f t="shared" si="123"/>
        <v>87.52073557813911</v>
      </c>
      <c r="O431">
        <f t="shared" si="110"/>
        <v>57.741387209130806</v>
      </c>
      <c r="P431">
        <f t="shared" si="111"/>
        <v>42.860111778497689</v>
      </c>
      <c r="Q431" s="2">
        <f t="shared" si="124"/>
        <v>108.86468391738413</v>
      </c>
      <c r="R431" s="2">
        <f t="shared" si="112"/>
        <v>26191.083819039475</v>
      </c>
      <c r="S431" s="2">
        <f t="shared" si="113"/>
        <v>62944.205284882177</v>
      </c>
      <c r="T431" s="2">
        <f t="shared" si="114"/>
        <v>166802.14400493776</v>
      </c>
      <c r="U431">
        <f t="shared" si="125"/>
        <v>109.97499999999999</v>
      </c>
      <c r="V431">
        <f t="shared" si="126"/>
        <v>0.14750000000000002</v>
      </c>
      <c r="W431">
        <f t="shared" si="127"/>
        <v>-1.1566666666666667</v>
      </c>
    </row>
    <row r="432" spans="1:34" x14ac:dyDescent="0.25">
      <c r="A432" t="s">
        <v>107</v>
      </c>
      <c r="B432" t="s">
        <v>108</v>
      </c>
      <c r="C432">
        <v>1</v>
      </c>
      <c r="D432">
        <v>5</v>
      </c>
      <c r="E432">
        <f t="shared" si="108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f t="shared" si="110"/>
        <v>1.1205783030791518</v>
      </c>
      <c r="P432">
        <f t="shared" si="111"/>
        <v>20.500680246486095</v>
      </c>
      <c r="Q432">
        <f t="shared" ref="Q432:Q441" si="128">150*(1-EXP(-0.041*(E432+5.4)))</f>
        <v>52.071727826074678</v>
      </c>
      <c r="R432">
        <f t="shared" si="112"/>
        <v>508.28637274412449</v>
      </c>
      <c r="S432">
        <f t="shared" si="113"/>
        <v>1221.5486006828276</v>
      </c>
      <c r="T432">
        <f t="shared" si="114"/>
        <v>3237.103791809493</v>
      </c>
      <c r="U432">
        <v>150</v>
      </c>
      <c r="V432">
        <v>4.1000000000000002E-2</v>
      </c>
      <c r="W432">
        <v>-5.4</v>
      </c>
      <c r="Y432" t="s">
        <v>718</v>
      </c>
    </row>
    <row r="433" spans="1:25" x14ac:dyDescent="0.25">
      <c r="A433" t="s">
        <v>107</v>
      </c>
      <c r="B433" t="s">
        <v>108</v>
      </c>
      <c r="C433">
        <v>2</v>
      </c>
      <c r="D433">
        <v>5</v>
      </c>
      <c r="E433">
        <f t="shared" si="108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f t="shared" si="110"/>
        <v>2.7483643357371621</v>
      </c>
      <c r="P433">
        <f t="shared" si="111"/>
        <v>27.646848768781553</v>
      </c>
      <c r="Q433">
        <f t="shared" si="128"/>
        <v>70.222995872705141</v>
      </c>
      <c r="R433">
        <f t="shared" si="112"/>
        <v>1246.6385752361687</v>
      </c>
      <c r="S433">
        <f t="shared" si="113"/>
        <v>2996.007150291201</v>
      </c>
      <c r="T433">
        <f t="shared" si="114"/>
        <v>7939.418948271682</v>
      </c>
      <c r="U433">
        <v>150</v>
      </c>
      <c r="V433">
        <v>4.1000000000000002E-2</v>
      </c>
      <c r="W433">
        <v>-5.4</v>
      </c>
    </row>
    <row r="434" spans="1:25" x14ac:dyDescent="0.25">
      <c r="A434" t="s">
        <v>107</v>
      </c>
      <c r="B434" t="s">
        <v>108</v>
      </c>
      <c r="C434">
        <v>3</v>
      </c>
      <c r="D434">
        <v>5</v>
      </c>
      <c r="E434">
        <f t="shared" si="108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f t="shared" si="110"/>
        <v>4.8757835465487558</v>
      </c>
      <c r="P434">
        <f t="shared" si="111"/>
        <v>33.468455778093265</v>
      </c>
      <c r="Q434">
        <f t="shared" si="128"/>
        <v>85.009877676356894</v>
      </c>
      <c r="R434">
        <f t="shared" si="112"/>
        <v>2211.6208446574719</v>
      </c>
      <c r="S434">
        <f t="shared" si="113"/>
        <v>5315.1185884582355</v>
      </c>
      <c r="T434">
        <f t="shared" si="114"/>
        <v>14085.064259414323</v>
      </c>
      <c r="U434">
        <v>150</v>
      </c>
      <c r="V434">
        <v>4.1000000000000002E-2</v>
      </c>
      <c r="W434">
        <v>-5.4</v>
      </c>
    </row>
    <row r="435" spans="1:25" x14ac:dyDescent="0.25">
      <c r="A435" t="s">
        <v>107</v>
      </c>
      <c r="B435" t="s">
        <v>108</v>
      </c>
      <c r="C435">
        <v>4</v>
      </c>
      <c r="D435">
        <v>5</v>
      </c>
      <c r="E435">
        <f t="shared" si="108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f t="shared" si="110"/>
        <v>7.2560960640290855</v>
      </c>
      <c r="P435">
        <f t="shared" si="111"/>
        <v>38.211012305430934</v>
      </c>
      <c r="Q435">
        <f t="shared" si="128"/>
        <v>97.055971255794574</v>
      </c>
      <c r="R435">
        <f t="shared" si="112"/>
        <v>3291.3137248274465</v>
      </c>
      <c r="S435">
        <f t="shared" si="113"/>
        <v>7909.9104177540185</v>
      </c>
      <c r="T435">
        <f t="shared" si="114"/>
        <v>20961.262607048149</v>
      </c>
      <c r="U435">
        <v>150</v>
      </c>
      <c r="V435">
        <v>4.1000000000000002E-2</v>
      </c>
      <c r="W435">
        <v>-5.4</v>
      </c>
    </row>
    <row r="436" spans="1:25" x14ac:dyDescent="0.25">
      <c r="A436" t="s">
        <v>107</v>
      </c>
      <c r="B436" t="s">
        <v>108</v>
      </c>
      <c r="C436">
        <v>5</v>
      </c>
      <c r="D436">
        <v>5</v>
      </c>
      <c r="E436">
        <f t="shared" si="108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f t="shared" si="110"/>
        <v>9.6871272492554823</v>
      </c>
      <c r="P436">
        <f t="shared" si="111"/>
        <v>42.074523253356006</v>
      </c>
      <c r="Q436">
        <f t="shared" si="128"/>
        <v>106.86928906352426</v>
      </c>
      <c r="R436">
        <f t="shared" si="112"/>
        <v>4394.0122330630593</v>
      </c>
      <c r="S436">
        <f t="shared" si="113"/>
        <v>10559.990947039316</v>
      </c>
      <c r="T436">
        <f t="shared" si="114"/>
        <v>27983.976009654187</v>
      </c>
      <c r="U436">
        <v>150</v>
      </c>
      <c r="V436">
        <v>4.1000000000000002E-2</v>
      </c>
      <c r="W436">
        <v>-5.4</v>
      </c>
    </row>
    <row r="437" spans="1:25" x14ac:dyDescent="0.25">
      <c r="A437" t="s">
        <v>107</v>
      </c>
      <c r="B437" t="s">
        <v>108</v>
      </c>
      <c r="C437">
        <v>6</v>
      </c>
      <c r="D437">
        <v>5</v>
      </c>
      <c r="E437">
        <f t="shared" ref="E437:E500" si="129">C437*D437</f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f t="shared" si="110"/>
        <v>12.02775146730365</v>
      </c>
      <c r="P437">
        <f t="shared" si="111"/>
        <v>45.221922079009289</v>
      </c>
      <c r="Q437">
        <f t="shared" si="128"/>
        <v>114.86368208068359</v>
      </c>
      <c r="R437">
        <f t="shared" si="112"/>
        <v>5455.7027820230469</v>
      </c>
      <c r="S437">
        <f t="shared" si="113"/>
        <v>13111.518341800162</v>
      </c>
      <c r="T437">
        <f t="shared" si="114"/>
        <v>34745.523605770424</v>
      </c>
      <c r="U437">
        <v>150</v>
      </c>
      <c r="V437">
        <v>4.1000000000000002E-2</v>
      </c>
      <c r="W437">
        <v>-5.4</v>
      </c>
    </row>
    <row r="438" spans="1:25" x14ac:dyDescent="0.25">
      <c r="A438" t="s">
        <v>107</v>
      </c>
      <c r="B438" t="s">
        <v>108</v>
      </c>
      <c r="C438">
        <v>7</v>
      </c>
      <c r="D438">
        <v>5</v>
      </c>
      <c r="E438">
        <f t="shared" si="129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f t="shared" si="110"/>
        <v>14.191812047174052</v>
      </c>
      <c r="P438">
        <f t="shared" si="111"/>
        <v>47.785942086004169</v>
      </c>
      <c r="Q438">
        <f t="shared" si="128"/>
        <v>121.37629289845059</v>
      </c>
      <c r="R438">
        <f t="shared" si="112"/>
        <v>6437.3053166414402</v>
      </c>
      <c r="S438">
        <f t="shared" si="113"/>
        <v>15470.57273886431</v>
      </c>
      <c r="T438">
        <f t="shared" si="114"/>
        <v>40997.017757990419</v>
      </c>
      <c r="U438">
        <v>150</v>
      </c>
      <c r="V438">
        <v>4.1000000000000002E-2</v>
      </c>
      <c r="W438">
        <v>-5.4</v>
      </c>
    </row>
    <row r="439" spans="1:25" x14ac:dyDescent="0.25">
      <c r="A439" t="s">
        <v>107</v>
      </c>
      <c r="B439" t="s">
        <v>108</v>
      </c>
      <c r="C439">
        <v>8</v>
      </c>
      <c r="D439">
        <v>5</v>
      </c>
      <c r="E439">
        <f t="shared" si="129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f t="shared" si="110"/>
        <v>16.135359691176202</v>
      </c>
      <c r="P439">
        <f t="shared" si="111"/>
        <v>49.87471410392773</v>
      </c>
      <c r="Q439">
        <f t="shared" si="128"/>
        <v>126.68177382397643</v>
      </c>
      <c r="R439">
        <f t="shared" si="112"/>
        <v>7318.8847471111585</v>
      </c>
      <c r="S439">
        <f t="shared" si="113"/>
        <v>17589.244765948468</v>
      </c>
      <c r="T439">
        <f t="shared" si="114"/>
        <v>46611.498629763439</v>
      </c>
      <c r="U439">
        <v>150</v>
      </c>
      <c r="V439">
        <v>4.1000000000000002E-2</v>
      </c>
      <c r="W439">
        <v>-5.4</v>
      </c>
    </row>
    <row r="440" spans="1:25" x14ac:dyDescent="0.25">
      <c r="A440" t="s">
        <v>107</v>
      </c>
      <c r="B440" t="s">
        <v>108</v>
      </c>
      <c r="C440">
        <v>9</v>
      </c>
      <c r="D440">
        <v>5</v>
      </c>
      <c r="E440">
        <f t="shared" si="129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f t="shared" si="110"/>
        <v>17.843852150149218</v>
      </c>
      <c r="P440">
        <f t="shared" si="111"/>
        <v>51.576326622924405</v>
      </c>
      <c r="Q440">
        <f t="shared" si="128"/>
        <v>131.003869622228</v>
      </c>
      <c r="R440">
        <f t="shared" si="112"/>
        <v>8093.8448123255794</v>
      </c>
      <c r="S440">
        <f t="shared" si="113"/>
        <v>19451.681836879547</v>
      </c>
      <c r="T440">
        <f t="shared" si="114"/>
        <v>51546.956867730798</v>
      </c>
      <c r="U440">
        <v>150</v>
      </c>
      <c r="V440">
        <v>4.1000000000000002E-2</v>
      </c>
      <c r="W440">
        <v>-5.4</v>
      </c>
    </row>
    <row r="441" spans="1:25" x14ac:dyDescent="0.25">
      <c r="A441" t="s">
        <v>107</v>
      </c>
      <c r="B441" t="s">
        <v>108</v>
      </c>
      <c r="C441">
        <v>10</v>
      </c>
      <c r="D441">
        <v>5</v>
      </c>
      <c r="E441">
        <f t="shared" si="129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f t="shared" si="110"/>
        <v>19.321632864705652</v>
      </c>
      <c r="P441">
        <f t="shared" si="111"/>
        <v>52.962540695097118</v>
      </c>
      <c r="Q441">
        <f t="shared" si="128"/>
        <v>134.52485336554668</v>
      </c>
      <c r="R441">
        <f t="shared" si="112"/>
        <v>8764.1556661491104</v>
      </c>
      <c r="S441">
        <f t="shared" si="113"/>
        <v>21062.618760271838</v>
      </c>
      <c r="T441">
        <f t="shared" si="114"/>
        <v>55815.939714720371</v>
      </c>
      <c r="U441">
        <v>150</v>
      </c>
      <c r="V441">
        <v>4.1000000000000002E-2</v>
      </c>
      <c r="W441">
        <v>-5.4</v>
      </c>
    </row>
    <row r="442" spans="1:25" x14ac:dyDescent="0.25">
      <c r="A442" t="s">
        <v>109</v>
      </c>
      <c r="B442" t="s">
        <v>110</v>
      </c>
      <c r="C442">
        <v>1</v>
      </c>
      <c r="D442">
        <v>5</v>
      </c>
      <c r="E442">
        <f t="shared" si="129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f t="shared" si="110"/>
        <v>6.5782707801818425</v>
      </c>
      <c r="P442">
        <f t="shared" si="111"/>
        <v>30.16196876628824</v>
      </c>
      <c r="Q442">
        <f t="shared" ref="Q442:Q451" si="130">186*(1-EXP(-0.046*(E442+6.54)))</f>
        <v>76.611400666372134</v>
      </c>
      <c r="R442">
        <f t="shared" si="112"/>
        <v>2983.8569822381373</v>
      </c>
      <c r="S442">
        <f t="shared" si="113"/>
        <v>7171.0093300604112</v>
      </c>
      <c r="T442">
        <f t="shared" si="114"/>
        <v>19003.17472466009</v>
      </c>
      <c r="U442">
        <v>186</v>
      </c>
      <c r="V442">
        <v>4.5999999999999999E-2</v>
      </c>
      <c r="W442">
        <v>-6.54</v>
      </c>
      <c r="Y442" t="s">
        <v>719</v>
      </c>
    </row>
    <row r="443" spans="1:25" x14ac:dyDescent="0.25">
      <c r="A443" t="s">
        <v>109</v>
      </c>
      <c r="B443" t="s">
        <v>110</v>
      </c>
      <c r="C443">
        <v>2</v>
      </c>
      <c r="D443">
        <v>5</v>
      </c>
      <c r="E443">
        <f t="shared" si="129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f t="shared" si="110"/>
        <v>14.603434973741185</v>
      </c>
      <c r="P443">
        <f t="shared" si="111"/>
        <v>39.010662243566472</v>
      </c>
      <c r="Q443">
        <f t="shared" si="130"/>
        <v>99.08708209865884</v>
      </c>
      <c r="R443">
        <f t="shared" si="112"/>
        <v>6624.0145574934386</v>
      </c>
      <c r="S443">
        <f t="shared" si="113"/>
        <v>15919.285165809753</v>
      </c>
      <c r="T443">
        <f t="shared" si="114"/>
        <v>42186.105689395845</v>
      </c>
      <c r="U443">
        <v>186</v>
      </c>
      <c r="V443">
        <v>4.5999999999999999E-2</v>
      </c>
      <c r="W443">
        <v>-6.54</v>
      </c>
    </row>
    <row r="444" spans="1:25" x14ac:dyDescent="0.25">
      <c r="A444" t="s">
        <v>109</v>
      </c>
      <c r="B444" t="s">
        <v>110</v>
      </c>
      <c r="C444">
        <v>3</v>
      </c>
      <c r="D444">
        <v>5</v>
      </c>
      <c r="E444">
        <f t="shared" si="129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f t="shared" si="110"/>
        <v>24.408587492592872</v>
      </c>
      <c r="P444">
        <f t="shared" si="111"/>
        <v>46.04124654951611</v>
      </c>
      <c r="Q444">
        <f t="shared" si="130"/>
        <v>116.94476623577091</v>
      </c>
      <c r="R444">
        <f t="shared" si="112"/>
        <v>11071.562215979566</v>
      </c>
      <c r="S444">
        <f t="shared" si="113"/>
        <v>26607.936111462546</v>
      </c>
      <c r="T444">
        <f t="shared" si="114"/>
        <v>70511.030695375739</v>
      </c>
      <c r="U444">
        <v>186</v>
      </c>
      <c r="V444">
        <v>4.5999999999999999E-2</v>
      </c>
      <c r="W444">
        <v>-6.54</v>
      </c>
    </row>
    <row r="445" spans="1:25" x14ac:dyDescent="0.25">
      <c r="A445" t="s">
        <v>109</v>
      </c>
      <c r="B445" t="s">
        <v>110</v>
      </c>
      <c r="C445">
        <v>4</v>
      </c>
      <c r="D445">
        <v>5</v>
      </c>
      <c r="E445">
        <f t="shared" si="129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f t="shared" si="110"/>
        <v>34.810673947446382</v>
      </c>
      <c r="P445">
        <f t="shared" si="111"/>
        <v>51.627282025825664</v>
      </c>
      <c r="Q445">
        <f t="shared" si="130"/>
        <v>131.13329634559719</v>
      </c>
      <c r="R445">
        <f t="shared" si="112"/>
        <v>15789.874875237629</v>
      </c>
      <c r="S445">
        <f t="shared" si="113"/>
        <v>37947.308039504038</v>
      </c>
      <c r="T445">
        <f t="shared" si="114"/>
        <v>100560.3663046857</v>
      </c>
      <c r="U445">
        <v>186</v>
      </c>
      <c r="V445">
        <v>4.5999999999999999E-2</v>
      </c>
      <c r="W445">
        <v>-6.54</v>
      </c>
    </row>
    <row r="446" spans="1:25" x14ac:dyDescent="0.25">
      <c r="A446" t="s">
        <v>109</v>
      </c>
      <c r="B446" t="s">
        <v>110</v>
      </c>
      <c r="C446">
        <v>5</v>
      </c>
      <c r="D446">
        <v>5</v>
      </c>
      <c r="E446">
        <f t="shared" si="129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f t="shared" si="110"/>
        <v>44.951603442921488</v>
      </c>
      <c r="P446">
        <f t="shared" si="111"/>
        <v>56.065574916529329</v>
      </c>
      <c r="Q446">
        <f t="shared" si="130"/>
        <v>142.40656028798449</v>
      </c>
      <c r="R446">
        <f t="shared" si="112"/>
        <v>20389.728589471877</v>
      </c>
      <c r="S446">
        <f t="shared" si="113"/>
        <v>49001.991322931688</v>
      </c>
      <c r="T446">
        <f t="shared" si="114"/>
        <v>129855.27700576896</v>
      </c>
      <c r="U446">
        <v>186</v>
      </c>
      <c r="V446">
        <v>4.5999999999999999E-2</v>
      </c>
      <c r="W446">
        <v>-6.54</v>
      </c>
    </row>
    <row r="447" spans="1:25" x14ac:dyDescent="0.25">
      <c r="A447" t="s">
        <v>109</v>
      </c>
      <c r="B447" t="s">
        <v>110</v>
      </c>
      <c r="C447">
        <v>6</v>
      </c>
      <c r="D447">
        <v>5</v>
      </c>
      <c r="E447">
        <f t="shared" si="129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f t="shared" si="110"/>
        <v>54.308551510816415</v>
      </c>
      <c r="P447">
        <f t="shared" si="111"/>
        <v>59.59194775594505</v>
      </c>
      <c r="Q447">
        <f t="shared" si="130"/>
        <v>151.36354730010044</v>
      </c>
      <c r="R447">
        <f t="shared" si="112"/>
        <v>24633.973887026525</v>
      </c>
      <c r="S447">
        <f t="shared" si="113"/>
        <v>59202.052119746506</v>
      </c>
      <c r="T447">
        <f t="shared" si="114"/>
        <v>156885.43811732825</v>
      </c>
      <c r="U447">
        <v>186</v>
      </c>
      <c r="V447">
        <v>4.5999999999999999E-2</v>
      </c>
      <c r="W447">
        <v>-6.54</v>
      </c>
    </row>
    <row r="448" spans="1:25" x14ac:dyDescent="0.25">
      <c r="A448" t="s">
        <v>109</v>
      </c>
      <c r="B448" t="s">
        <v>110</v>
      </c>
      <c r="C448">
        <v>7</v>
      </c>
      <c r="D448">
        <v>5</v>
      </c>
      <c r="E448">
        <f t="shared" si="129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f t="shared" si="110"/>
        <v>62.62165113848782</v>
      </c>
      <c r="P448">
        <f t="shared" si="111"/>
        <v>62.393769471815922</v>
      </c>
      <c r="Q448">
        <f t="shared" si="130"/>
        <v>158.48017445841245</v>
      </c>
      <c r="R448">
        <f t="shared" si="112"/>
        <v>28404.73693357033</v>
      </c>
      <c r="S448">
        <f t="shared" si="113"/>
        <v>68264.207963399022</v>
      </c>
      <c r="T448">
        <f t="shared" si="114"/>
        <v>180900.1511030074</v>
      </c>
      <c r="U448">
        <v>186</v>
      </c>
      <c r="V448">
        <v>4.5999999999999999E-2</v>
      </c>
      <c r="W448">
        <v>-6.54</v>
      </c>
    </row>
    <row r="449" spans="1:25" x14ac:dyDescent="0.25">
      <c r="A449" t="s">
        <v>109</v>
      </c>
      <c r="B449" t="s">
        <v>110</v>
      </c>
      <c r="C449">
        <v>8</v>
      </c>
      <c r="D449">
        <v>5</v>
      </c>
      <c r="E449">
        <f t="shared" si="129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f t="shared" si="110"/>
        <v>69.81076894480988</v>
      </c>
      <c r="P449">
        <f t="shared" si="111"/>
        <v>64.619910973298886</v>
      </c>
      <c r="Q449">
        <f t="shared" si="130"/>
        <v>164.13457387217917</v>
      </c>
      <c r="R449">
        <f t="shared" si="112"/>
        <v>31665.669795615515</v>
      </c>
      <c r="S449">
        <f t="shared" si="113"/>
        <v>76101.105012293963</v>
      </c>
      <c r="T449">
        <f t="shared" si="114"/>
        <v>201667.928282579</v>
      </c>
      <c r="U449">
        <v>186</v>
      </c>
      <c r="V449">
        <v>4.5999999999999999E-2</v>
      </c>
      <c r="W449">
        <v>-6.54</v>
      </c>
    </row>
    <row r="450" spans="1:25" x14ac:dyDescent="0.25">
      <c r="A450" t="s">
        <v>109</v>
      </c>
      <c r="B450" t="s">
        <v>110</v>
      </c>
      <c r="C450">
        <v>9</v>
      </c>
      <c r="D450">
        <v>5</v>
      </c>
      <c r="E450">
        <f t="shared" si="129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f t="shared" ref="O450:O513" si="131">R450*0.00220462</f>
        <v>75.906282352531832</v>
      </c>
      <c r="P450">
        <f t="shared" ref="P450:P513" si="132">Q450/2.54</f>
        <v>66.388655200154332</v>
      </c>
      <c r="Q450">
        <f t="shared" si="130"/>
        <v>168.62718420839201</v>
      </c>
      <c r="R450">
        <f t="shared" ref="R450:R513" si="133">L450*(Q450^M450)</f>
        <v>34430.55145672807</v>
      </c>
      <c r="S450">
        <f t="shared" ref="S450:S513" si="134">R450/20/5.7/3.65*1000</f>
        <v>82745.857862840843</v>
      </c>
      <c r="T450">
        <f t="shared" ref="T450:T513" si="135">S450*2.65</f>
        <v>219276.52333652822</v>
      </c>
      <c r="U450">
        <v>186</v>
      </c>
      <c r="V450">
        <v>4.5999999999999999E-2</v>
      </c>
      <c r="W450">
        <v>-6.54</v>
      </c>
    </row>
    <row r="451" spans="1:25" x14ac:dyDescent="0.25">
      <c r="A451" t="s">
        <v>109</v>
      </c>
      <c r="B451" t="s">
        <v>110</v>
      </c>
      <c r="C451">
        <v>10</v>
      </c>
      <c r="D451">
        <v>5</v>
      </c>
      <c r="E451">
        <f t="shared" si="129"/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f t="shared" si="131"/>
        <v>80.998926675681432</v>
      </c>
      <c r="P451">
        <f t="shared" si="132"/>
        <v>67.793981922624752</v>
      </c>
      <c r="Q451">
        <f t="shared" si="130"/>
        <v>172.19671408346687</v>
      </c>
      <c r="R451">
        <f t="shared" si="133"/>
        <v>36740.538811986386</v>
      </c>
      <c r="S451">
        <f t="shared" si="134"/>
        <v>88297.377582279223</v>
      </c>
      <c r="T451">
        <f t="shared" si="135"/>
        <v>233988.05059303992</v>
      </c>
      <c r="U451">
        <v>186</v>
      </c>
      <c r="V451">
        <v>4.5999999999999999E-2</v>
      </c>
      <c r="W451">
        <v>-6.54</v>
      </c>
    </row>
    <row r="452" spans="1:25" x14ac:dyDescent="0.25">
      <c r="A452" t="s">
        <v>111</v>
      </c>
      <c r="B452" t="s">
        <v>112</v>
      </c>
      <c r="C452">
        <v>1</v>
      </c>
      <c r="D452">
        <v>2</v>
      </c>
      <c r="E452">
        <f t="shared" si="129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f t="shared" si="131"/>
        <v>2.7846912449000665</v>
      </c>
      <c r="P452">
        <f t="shared" si="132"/>
        <v>21.110835077441628</v>
      </c>
      <c r="Q452">
        <f t="shared" ref="Q452:Q461" si="136">98.7*(1-EXP(-0.158*(E452+2.96)))</f>
        <v>53.621521096701734</v>
      </c>
      <c r="R452">
        <f t="shared" si="133"/>
        <v>1263.1162036541746</v>
      </c>
      <c r="S452">
        <f t="shared" si="134"/>
        <v>3035.6073147180355</v>
      </c>
      <c r="T452">
        <f t="shared" si="135"/>
        <v>8044.3593840027934</v>
      </c>
      <c r="U452">
        <v>98.7</v>
      </c>
      <c r="V452">
        <v>0.158</v>
      </c>
      <c r="W452">
        <v>-2.96</v>
      </c>
      <c r="Y452" t="s">
        <v>720</v>
      </c>
    </row>
    <row r="453" spans="1:25" x14ac:dyDescent="0.25">
      <c r="A453" t="s">
        <v>111</v>
      </c>
      <c r="B453" t="s">
        <v>112</v>
      </c>
      <c r="C453">
        <v>2</v>
      </c>
      <c r="D453">
        <v>2</v>
      </c>
      <c r="E453">
        <f t="shared" si="129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f t="shared" si="131"/>
        <v>5.0491758196430334</v>
      </c>
      <c r="P453">
        <f t="shared" si="132"/>
        <v>25.91933423479076</v>
      </c>
      <c r="Q453">
        <f t="shared" si="136"/>
        <v>65.835108956368529</v>
      </c>
      <c r="R453">
        <f t="shared" si="133"/>
        <v>2290.2703502839645</v>
      </c>
      <c r="S453">
        <f t="shared" si="134"/>
        <v>5504.1344635519454</v>
      </c>
      <c r="T453">
        <f t="shared" si="135"/>
        <v>14585.956328412654</v>
      </c>
      <c r="U453">
        <v>98.7</v>
      </c>
      <c r="V453">
        <v>0.158</v>
      </c>
      <c r="W453">
        <v>-2.96</v>
      </c>
    </row>
    <row r="454" spans="1:25" x14ac:dyDescent="0.25">
      <c r="A454" t="s">
        <v>111</v>
      </c>
      <c r="B454" t="s">
        <v>112</v>
      </c>
      <c r="C454">
        <v>3</v>
      </c>
      <c r="D454">
        <v>2</v>
      </c>
      <c r="E454">
        <f t="shared" si="129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f t="shared" si="131"/>
        <v>7.2944038399501885</v>
      </c>
      <c r="P454">
        <f t="shared" si="132"/>
        <v>29.425015986579208</v>
      </c>
      <c r="Q454">
        <f t="shared" si="136"/>
        <v>74.739540605911188</v>
      </c>
      <c r="R454">
        <f t="shared" si="133"/>
        <v>3308.6898603615082</v>
      </c>
      <c r="S454">
        <f t="shared" si="134"/>
        <v>7951.6699359805534</v>
      </c>
      <c r="T454">
        <f t="shared" si="135"/>
        <v>21071.925330348466</v>
      </c>
      <c r="U454">
        <v>98.7</v>
      </c>
      <c r="V454">
        <v>0.158</v>
      </c>
      <c r="W454">
        <v>-2.96</v>
      </c>
    </row>
    <row r="455" spans="1:25" x14ac:dyDescent="0.25">
      <c r="A455" t="s">
        <v>111</v>
      </c>
      <c r="B455" t="s">
        <v>112</v>
      </c>
      <c r="C455">
        <v>4</v>
      </c>
      <c r="D455">
        <v>2</v>
      </c>
      <c r="E455">
        <f t="shared" si="129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f t="shared" si="131"/>
        <v>9.2873754917786115</v>
      </c>
      <c r="P455">
        <f t="shared" si="132"/>
        <v>31.98086639700076</v>
      </c>
      <c r="Q455">
        <f t="shared" si="136"/>
        <v>81.231400648381936</v>
      </c>
      <c r="R455">
        <f t="shared" si="133"/>
        <v>4212.6876703371154</v>
      </c>
      <c r="S455">
        <f t="shared" si="134"/>
        <v>10124.219347121161</v>
      </c>
      <c r="T455">
        <f t="shared" si="135"/>
        <v>26829.181269871078</v>
      </c>
      <c r="U455">
        <v>98.7</v>
      </c>
      <c r="V455">
        <v>0.158</v>
      </c>
      <c r="W455">
        <v>-2.96</v>
      </c>
    </row>
    <row r="456" spans="1:25" x14ac:dyDescent="0.25">
      <c r="A456" t="s">
        <v>111</v>
      </c>
      <c r="B456" t="s">
        <v>112</v>
      </c>
      <c r="C456">
        <v>5</v>
      </c>
      <c r="D456">
        <v>2</v>
      </c>
      <c r="E456">
        <f t="shared" si="129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f t="shared" si="131"/>
        <v>10.945029183738509</v>
      </c>
      <c r="P456">
        <f t="shared" si="132"/>
        <v>33.844233291933392</v>
      </c>
      <c r="Q456">
        <f t="shared" si="136"/>
        <v>85.964352561510822</v>
      </c>
      <c r="R456">
        <f t="shared" si="133"/>
        <v>4964.5876313099352</v>
      </c>
      <c r="S456">
        <f t="shared" si="134"/>
        <v>11931.236797188021</v>
      </c>
      <c r="T456">
        <f t="shared" si="135"/>
        <v>31617.777512548255</v>
      </c>
      <c r="U456">
        <v>98.7</v>
      </c>
      <c r="V456">
        <v>0.158</v>
      </c>
      <c r="W456">
        <v>-2.96</v>
      </c>
    </row>
    <row r="457" spans="1:25" x14ac:dyDescent="0.25">
      <c r="A457" t="s">
        <v>111</v>
      </c>
      <c r="B457" t="s">
        <v>112</v>
      </c>
      <c r="C457">
        <v>6</v>
      </c>
      <c r="D457">
        <v>2</v>
      </c>
      <c r="E457">
        <f t="shared" si="129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f t="shared" si="131"/>
        <v>12.268262412145919</v>
      </c>
      <c r="P457">
        <f t="shared" si="132"/>
        <v>35.202738535813531</v>
      </c>
      <c r="Q457">
        <f t="shared" si="136"/>
        <v>89.414955880966374</v>
      </c>
      <c r="R457">
        <f t="shared" si="133"/>
        <v>5564.7968412451664</v>
      </c>
      <c r="S457">
        <f t="shared" si="134"/>
        <v>13373.700651874949</v>
      </c>
      <c r="T457">
        <f t="shared" si="135"/>
        <v>35440.306727468618</v>
      </c>
      <c r="U457">
        <v>98.7</v>
      </c>
      <c r="V457">
        <v>0.158</v>
      </c>
      <c r="W457">
        <v>-2.96</v>
      </c>
    </row>
    <row r="458" spans="1:25" x14ac:dyDescent="0.25">
      <c r="A458" t="s">
        <v>111</v>
      </c>
      <c r="B458" t="s">
        <v>112</v>
      </c>
      <c r="C458">
        <v>7</v>
      </c>
      <c r="D458">
        <v>2</v>
      </c>
      <c r="E458">
        <f t="shared" si="129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f t="shared" si="131"/>
        <v>13.2962307819889</v>
      </c>
      <c r="P458">
        <f t="shared" si="132"/>
        <v>36.193169621966625</v>
      </c>
      <c r="Q458">
        <f t="shared" si="136"/>
        <v>91.93065083979522</v>
      </c>
      <c r="R458">
        <f t="shared" si="133"/>
        <v>6031.0760049300561</v>
      </c>
      <c r="S458">
        <f t="shared" si="134"/>
        <v>14494.294652559616</v>
      </c>
      <c r="T458">
        <f t="shared" si="135"/>
        <v>38409.880829282978</v>
      </c>
      <c r="U458">
        <v>98.7</v>
      </c>
      <c r="V458">
        <v>0.158</v>
      </c>
      <c r="W458">
        <v>-2.96</v>
      </c>
    </row>
    <row r="459" spans="1:25" x14ac:dyDescent="0.25">
      <c r="A459" t="s">
        <v>111</v>
      </c>
      <c r="B459" t="s">
        <v>112</v>
      </c>
      <c r="C459">
        <v>8</v>
      </c>
      <c r="D459">
        <v>2</v>
      </c>
      <c r="E459">
        <f t="shared" si="129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f t="shared" si="131"/>
        <v>14.080183233065009</v>
      </c>
      <c r="P459">
        <f t="shared" si="132"/>
        <v>36.915252765066306</v>
      </c>
      <c r="Q459">
        <f t="shared" si="136"/>
        <v>93.764742023268425</v>
      </c>
      <c r="R459">
        <f t="shared" si="133"/>
        <v>6386.6712780728694</v>
      </c>
      <c r="S459">
        <f t="shared" si="134"/>
        <v>15348.885551725236</v>
      </c>
      <c r="T459">
        <f t="shared" si="135"/>
        <v>40674.546712071875</v>
      </c>
      <c r="U459">
        <v>98.7</v>
      </c>
      <c r="V459">
        <v>0.158</v>
      </c>
      <c r="W459">
        <v>-2.96</v>
      </c>
    </row>
    <row r="460" spans="1:25" x14ac:dyDescent="0.25">
      <c r="A460" t="s">
        <v>111</v>
      </c>
      <c r="B460" t="s">
        <v>112</v>
      </c>
      <c r="C460">
        <v>9</v>
      </c>
      <c r="D460">
        <v>2</v>
      </c>
      <c r="E460">
        <f t="shared" si="129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f t="shared" si="131"/>
        <v>14.670411028843278</v>
      </c>
      <c r="P460">
        <f t="shared" si="132"/>
        <v>37.441694304349888</v>
      </c>
      <c r="Q460">
        <f t="shared" si="136"/>
        <v>95.101903533048713</v>
      </c>
      <c r="R460">
        <f t="shared" si="133"/>
        <v>6654.3944211897187</v>
      </c>
      <c r="S460">
        <f t="shared" si="134"/>
        <v>15992.296133597018</v>
      </c>
      <c r="T460">
        <f t="shared" si="135"/>
        <v>42379.584754032097</v>
      </c>
      <c r="U460">
        <v>98.7</v>
      </c>
      <c r="V460">
        <v>0.158</v>
      </c>
      <c r="W460">
        <v>-2.96</v>
      </c>
    </row>
    <row r="461" spans="1:25" x14ac:dyDescent="0.25">
      <c r="A461" t="s">
        <v>111</v>
      </c>
      <c r="B461" t="s">
        <v>112</v>
      </c>
      <c r="C461">
        <v>10</v>
      </c>
      <c r="D461">
        <v>2</v>
      </c>
      <c r="E461">
        <f t="shared" si="129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f t="shared" si="131"/>
        <v>15.110782898106473</v>
      </c>
      <c r="P461">
        <f t="shared" si="132"/>
        <v>37.825501483525365</v>
      </c>
      <c r="Q461">
        <f t="shared" si="136"/>
        <v>96.076773768154425</v>
      </c>
      <c r="R461">
        <f t="shared" si="133"/>
        <v>6854.143978602423</v>
      </c>
      <c r="S461">
        <f t="shared" si="134"/>
        <v>16472.347941846725</v>
      </c>
      <c r="T461">
        <f t="shared" si="135"/>
        <v>43651.722045893817</v>
      </c>
      <c r="U461">
        <v>98.7</v>
      </c>
      <c r="V461">
        <v>0.158</v>
      </c>
      <c r="W461">
        <v>-2.96</v>
      </c>
    </row>
    <row r="462" spans="1:25" x14ac:dyDescent="0.25">
      <c r="A462" t="s">
        <v>113</v>
      </c>
      <c r="B462" t="s">
        <v>114</v>
      </c>
      <c r="C462">
        <v>1</v>
      </c>
      <c r="D462">
        <v>2</v>
      </c>
      <c r="E462">
        <f t="shared" si="129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f t="shared" si="131"/>
        <v>0.84854244029559045</v>
      </c>
      <c r="P462">
        <f t="shared" si="132"/>
        <v>11.819397150892565</v>
      </c>
      <c r="Q462">
        <f t="shared" ref="Q462:Q471" si="137">85.9*(1-EXP(-0.215*(E462)))</f>
        <v>30.021268763267113</v>
      </c>
      <c r="R462">
        <f t="shared" si="133"/>
        <v>384.89283427329445</v>
      </c>
      <c r="S462">
        <f t="shared" si="134"/>
        <v>925.00080334846052</v>
      </c>
      <c r="T462">
        <f t="shared" si="135"/>
        <v>2451.2521288734201</v>
      </c>
      <c r="U462">
        <v>85.9</v>
      </c>
      <c r="V462">
        <v>0.215</v>
      </c>
      <c r="W462">
        <v>0</v>
      </c>
      <c r="Y462" t="s">
        <v>721</v>
      </c>
    </row>
    <row r="463" spans="1:25" x14ac:dyDescent="0.25">
      <c r="A463" t="s">
        <v>113</v>
      </c>
      <c r="B463" t="s">
        <v>114</v>
      </c>
      <c r="C463">
        <v>2</v>
      </c>
      <c r="D463">
        <v>2</v>
      </c>
      <c r="E463">
        <f t="shared" si="129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f t="shared" si="131"/>
        <v>3.912084528136166</v>
      </c>
      <c r="P463">
        <f t="shared" si="132"/>
        <v>19.50802249169503</v>
      </c>
      <c r="Q463">
        <f t="shared" si="137"/>
        <v>49.550377128905374</v>
      </c>
      <c r="R463">
        <f t="shared" si="133"/>
        <v>1774.4938030754352</v>
      </c>
      <c r="S463">
        <f t="shared" si="134"/>
        <v>4264.5849629306304</v>
      </c>
      <c r="T463">
        <f t="shared" si="135"/>
        <v>11301.150151766171</v>
      </c>
      <c r="U463">
        <v>85.9</v>
      </c>
      <c r="V463">
        <v>0.215</v>
      </c>
      <c r="W463">
        <v>0</v>
      </c>
    </row>
    <row r="464" spans="1:25" x14ac:dyDescent="0.25">
      <c r="A464" t="s">
        <v>113</v>
      </c>
      <c r="B464" t="s">
        <v>114</v>
      </c>
      <c r="C464">
        <v>3</v>
      </c>
      <c r="D464">
        <v>2</v>
      </c>
      <c r="E464">
        <f t="shared" si="129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f t="shared" si="131"/>
        <v>7.8474803509363218</v>
      </c>
      <c r="P464">
        <f t="shared" si="132"/>
        <v>24.509543201807197</v>
      </c>
      <c r="Q464">
        <f t="shared" si="137"/>
        <v>62.254239732590285</v>
      </c>
      <c r="R464">
        <f t="shared" si="133"/>
        <v>3559.561444120221</v>
      </c>
      <c r="S464">
        <f t="shared" si="134"/>
        <v>8554.5816969964453</v>
      </c>
      <c r="T464">
        <f t="shared" si="135"/>
        <v>22669.641497040579</v>
      </c>
      <c r="U464">
        <v>85.9</v>
      </c>
      <c r="V464">
        <v>0.215</v>
      </c>
      <c r="W464">
        <v>0</v>
      </c>
    </row>
    <row r="465" spans="1:30" x14ac:dyDescent="0.25">
      <c r="A465" t="s">
        <v>113</v>
      </c>
      <c r="B465" t="s">
        <v>114</v>
      </c>
      <c r="C465">
        <v>4</v>
      </c>
      <c r="D465">
        <v>2</v>
      </c>
      <c r="E465">
        <f t="shared" si="129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f t="shared" si="131"/>
        <v>11.477149554816396</v>
      </c>
      <c r="P465">
        <f t="shared" si="132"/>
        <v>27.763077911182179</v>
      </c>
      <c r="Q465">
        <f t="shared" si="137"/>
        <v>70.518217894402738</v>
      </c>
      <c r="R465">
        <f t="shared" si="133"/>
        <v>5205.9536585971264</v>
      </c>
      <c r="S465">
        <f t="shared" si="134"/>
        <v>12511.304154282927</v>
      </c>
      <c r="T465">
        <f t="shared" si="135"/>
        <v>33154.956008849753</v>
      </c>
      <c r="U465">
        <v>85.9</v>
      </c>
      <c r="V465">
        <v>0.215</v>
      </c>
      <c r="W465">
        <v>0</v>
      </c>
    </row>
    <row r="466" spans="1:30" x14ac:dyDescent="0.25">
      <c r="A466" t="s">
        <v>113</v>
      </c>
      <c r="B466" t="s">
        <v>114</v>
      </c>
      <c r="C466">
        <v>5</v>
      </c>
      <c r="D466">
        <v>2</v>
      </c>
      <c r="E466">
        <f t="shared" si="129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f t="shared" si="131"/>
        <v>14.359783075897388</v>
      </c>
      <c r="P466">
        <f t="shared" si="132"/>
        <v>29.879531829628586</v>
      </c>
      <c r="Q466">
        <f t="shared" si="137"/>
        <v>75.89401084725661</v>
      </c>
      <c r="R466">
        <f t="shared" si="133"/>
        <v>6513.4957842609556</v>
      </c>
      <c r="S466">
        <f t="shared" si="134"/>
        <v>15653.678885510588</v>
      </c>
      <c r="T466">
        <f t="shared" si="135"/>
        <v>41482.249046603058</v>
      </c>
      <c r="U466">
        <v>85.9</v>
      </c>
      <c r="V466">
        <v>0.215</v>
      </c>
      <c r="W466">
        <v>0</v>
      </c>
    </row>
    <row r="467" spans="1:30" x14ac:dyDescent="0.25">
      <c r="A467" t="s">
        <v>113</v>
      </c>
      <c r="B467" t="s">
        <v>114</v>
      </c>
      <c r="C467">
        <v>6</v>
      </c>
      <c r="D467">
        <v>2</v>
      </c>
      <c r="E467">
        <f t="shared" si="129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f t="shared" si="131"/>
        <v>16.474702745780608</v>
      </c>
      <c r="P467">
        <f t="shared" si="132"/>
        <v>31.256304352140777</v>
      </c>
      <c r="Q467">
        <f t="shared" si="137"/>
        <v>79.391013054437579</v>
      </c>
      <c r="R467">
        <f t="shared" si="133"/>
        <v>7472.8083505459481</v>
      </c>
      <c r="S467">
        <f t="shared" si="134"/>
        <v>17959.164505037126</v>
      </c>
      <c r="T467">
        <f t="shared" si="135"/>
        <v>47591.785938348381</v>
      </c>
      <c r="U467">
        <v>85.9</v>
      </c>
      <c r="V467">
        <v>0.215</v>
      </c>
      <c r="W467">
        <v>0</v>
      </c>
    </row>
    <row r="468" spans="1:30" x14ac:dyDescent="0.25">
      <c r="A468" t="s">
        <v>113</v>
      </c>
      <c r="B468" t="s">
        <v>114</v>
      </c>
      <c r="C468">
        <v>7</v>
      </c>
      <c r="D468">
        <v>2</v>
      </c>
      <c r="E468">
        <f t="shared" si="129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f t="shared" si="131"/>
        <v>17.957190459582417</v>
      </c>
      <c r="P468">
        <f t="shared" si="132"/>
        <v>32.151907399400123</v>
      </c>
      <c r="Q468">
        <f t="shared" si="137"/>
        <v>81.665844794476314</v>
      </c>
      <c r="R468">
        <f t="shared" si="133"/>
        <v>8145.2542658519005</v>
      </c>
      <c r="S468">
        <f t="shared" si="134"/>
        <v>19575.232554318438</v>
      </c>
      <c r="T468">
        <f t="shared" si="135"/>
        <v>51874.366268943857</v>
      </c>
      <c r="U468">
        <v>85.9</v>
      </c>
      <c r="V468">
        <v>0.215</v>
      </c>
      <c r="W468">
        <v>0</v>
      </c>
    </row>
    <row r="469" spans="1:30" x14ac:dyDescent="0.25">
      <c r="A469" t="s">
        <v>113</v>
      </c>
      <c r="B469" t="s">
        <v>114</v>
      </c>
      <c r="C469">
        <v>8</v>
      </c>
      <c r="D469">
        <v>2</v>
      </c>
      <c r="E469">
        <f t="shared" si="129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f t="shared" si="131"/>
        <v>18.968171209230924</v>
      </c>
      <c r="P469">
        <f t="shared" si="132"/>
        <v>32.734505326904241</v>
      </c>
      <c r="Q469">
        <f t="shared" si="137"/>
        <v>83.14564353033677</v>
      </c>
      <c r="R469">
        <f t="shared" si="133"/>
        <v>8603.8279654683902</v>
      </c>
      <c r="S469">
        <f t="shared" si="134"/>
        <v>20677.308256352779</v>
      </c>
      <c r="T469">
        <f t="shared" si="135"/>
        <v>54794.866879334862</v>
      </c>
      <c r="U469">
        <v>85.9</v>
      </c>
      <c r="V469">
        <v>0.215</v>
      </c>
      <c r="W469">
        <v>0</v>
      </c>
    </row>
    <row r="470" spans="1:30" x14ac:dyDescent="0.25">
      <c r="A470" t="s">
        <v>113</v>
      </c>
      <c r="B470" t="s">
        <v>114</v>
      </c>
      <c r="C470">
        <v>9</v>
      </c>
      <c r="D470">
        <v>2</v>
      </c>
      <c r="E470">
        <f t="shared" si="129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f t="shared" si="131"/>
        <v>19.645946752033446</v>
      </c>
      <c r="P470">
        <f t="shared" si="132"/>
        <v>33.113490577312625</v>
      </c>
      <c r="Q470">
        <f t="shared" si="137"/>
        <v>84.108266066374071</v>
      </c>
      <c r="R470">
        <f t="shared" si="133"/>
        <v>8911.2621458725062</v>
      </c>
      <c r="S470">
        <f t="shared" si="134"/>
        <v>21416.155121058655</v>
      </c>
      <c r="T470">
        <f t="shared" si="135"/>
        <v>56752.81107080543</v>
      </c>
      <c r="U470">
        <v>85.9</v>
      </c>
      <c r="V470">
        <v>0.215</v>
      </c>
      <c r="W470">
        <v>0</v>
      </c>
    </row>
    <row r="471" spans="1:30" x14ac:dyDescent="0.25">
      <c r="A471" t="s">
        <v>113</v>
      </c>
      <c r="B471" t="s">
        <v>114</v>
      </c>
      <c r="C471">
        <v>10</v>
      </c>
      <c r="D471">
        <v>2</v>
      </c>
      <c r="E471">
        <f t="shared" si="129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f t="shared" si="131"/>
        <v>20.095471608124409</v>
      </c>
      <c r="P471">
        <f t="shared" si="132"/>
        <v>33.360023929469271</v>
      </c>
      <c r="Q471">
        <f t="shared" si="137"/>
        <v>84.734460780851947</v>
      </c>
      <c r="R471">
        <f t="shared" si="133"/>
        <v>9115.1634332104441</v>
      </c>
      <c r="S471">
        <f t="shared" si="134"/>
        <v>21906.184650830193</v>
      </c>
      <c r="T471">
        <f t="shared" si="135"/>
        <v>58051.389324700009</v>
      </c>
      <c r="U471">
        <v>85.9</v>
      </c>
      <c r="V471">
        <v>0.215</v>
      </c>
      <c r="W471">
        <v>0</v>
      </c>
      <c r="Y471" t="s">
        <v>722</v>
      </c>
      <c r="Z471" t="s">
        <v>723</v>
      </c>
      <c r="AA471" t="s">
        <v>724</v>
      </c>
    </row>
    <row r="472" spans="1:30" x14ac:dyDescent="0.25">
      <c r="A472" t="s">
        <v>115</v>
      </c>
      <c r="B472" t="s">
        <v>116</v>
      </c>
      <c r="C472">
        <v>1</v>
      </c>
      <c r="D472">
        <v>7</v>
      </c>
      <c r="E472">
        <f t="shared" si="129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f t="shared" si="131"/>
        <v>374.43302480090006</v>
      </c>
      <c r="P472">
        <f t="shared" si="132"/>
        <v>88.406188050802371</v>
      </c>
      <c r="Q472" s="2">
        <f t="shared" ref="Q472:Q481" si="138">U472*(1-EXP(-V472*(E472)))</f>
        <v>224.55171764903804</v>
      </c>
      <c r="R472" s="2">
        <f t="shared" si="133"/>
        <v>169840.16510822729</v>
      </c>
      <c r="S472" s="2">
        <f t="shared" si="134"/>
        <v>408171.50951268279</v>
      </c>
      <c r="T472" s="2">
        <f t="shared" si="135"/>
        <v>1081654.5002086093</v>
      </c>
      <c r="U472">
        <f t="shared" ref="U472:U481" si="139">$AC$473*100</f>
        <v>271.78000000000003</v>
      </c>
      <c r="V472">
        <v>0.25</v>
      </c>
      <c r="W472">
        <v>0</v>
      </c>
      <c r="X472" t="s">
        <v>459</v>
      </c>
      <c r="Y472">
        <f>AVERAGE(135,170)*0.453592</f>
        <v>69.172780000000003</v>
      </c>
      <c r="Z472">
        <f>340*0.453592</f>
        <v>154.22128000000001</v>
      </c>
      <c r="AA472">
        <f>1400*0.453592</f>
        <v>635.02880000000005</v>
      </c>
      <c r="AC472">
        <f>AVERAGE(Y472:AA472)</f>
        <v>286.14095333333336</v>
      </c>
      <c r="AD472">
        <f t="shared" ref="AD472:AD477" si="140">R472*0.001</f>
        <v>169.8401651082273</v>
      </c>
    </row>
    <row r="473" spans="1:30" x14ac:dyDescent="0.25">
      <c r="A473" t="s">
        <v>115</v>
      </c>
      <c r="B473" t="s">
        <v>116</v>
      </c>
      <c r="C473">
        <v>2</v>
      </c>
      <c r="D473">
        <v>7</v>
      </c>
      <c r="E473">
        <f t="shared" si="129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f t="shared" si="131"/>
        <v>605.51867166866998</v>
      </c>
      <c r="P473">
        <f t="shared" si="132"/>
        <v>103.76887997381193</v>
      </c>
      <c r="Q473" s="2">
        <f t="shared" si="138"/>
        <v>263.57295513348231</v>
      </c>
      <c r="R473" s="2">
        <f t="shared" si="133"/>
        <v>274658.97599979589</v>
      </c>
      <c r="S473" s="2">
        <f t="shared" si="134"/>
        <v>660079.25017975457</v>
      </c>
      <c r="T473" s="2">
        <f t="shared" si="135"/>
        <v>1749210.0129763496</v>
      </c>
      <c r="U473">
        <f t="shared" si="139"/>
        <v>271.78000000000003</v>
      </c>
      <c r="V473">
        <v>0.25</v>
      </c>
      <c r="W473">
        <v>0</v>
      </c>
      <c r="X473" t="s">
        <v>460</v>
      </c>
      <c r="Y473">
        <f>5.25*0.3048</f>
        <v>1.6002000000000001</v>
      </c>
      <c r="Z473">
        <f>8.5*0.3048</f>
        <v>2.5908000000000002</v>
      </c>
      <c r="AA473">
        <f>13*0.3048</f>
        <v>3.9624000000000001</v>
      </c>
      <c r="AC473">
        <f>AVERAGE(Y473:AA473)</f>
        <v>2.7178000000000004</v>
      </c>
      <c r="AD473">
        <f t="shared" si="140"/>
        <v>274.65897599979587</v>
      </c>
    </row>
    <row r="474" spans="1:30" x14ac:dyDescent="0.25">
      <c r="A474" t="s">
        <v>115</v>
      </c>
      <c r="B474" t="s">
        <v>116</v>
      </c>
      <c r="C474">
        <v>3</v>
      </c>
      <c r="D474">
        <v>7</v>
      </c>
      <c r="E474">
        <f t="shared" si="129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f t="shared" si="131"/>
        <v>653.46537198936437</v>
      </c>
      <c r="P474">
        <f t="shared" si="132"/>
        <v>106.43851553128761</v>
      </c>
      <c r="Q474" s="2">
        <f t="shared" si="138"/>
        <v>270.35382944947054</v>
      </c>
      <c r="R474" s="2">
        <f t="shared" si="133"/>
        <v>296407.25929609837</v>
      </c>
      <c r="S474" s="2">
        <f t="shared" si="134"/>
        <v>712346.21316053439</v>
      </c>
      <c r="T474" s="2">
        <f t="shared" si="135"/>
        <v>1887717.4648754161</v>
      </c>
      <c r="U474">
        <f t="shared" si="139"/>
        <v>271.78000000000003</v>
      </c>
      <c r="V474">
        <v>0.25</v>
      </c>
      <c r="W474">
        <v>0</v>
      </c>
      <c r="X474" t="s">
        <v>461</v>
      </c>
      <c r="Y474">
        <v>25</v>
      </c>
      <c r="Z474">
        <v>60</v>
      </c>
      <c r="AA474">
        <v>60</v>
      </c>
      <c r="AD474">
        <f t="shared" si="140"/>
        <v>296.4072592960984</v>
      </c>
    </row>
    <row r="475" spans="1:30" x14ac:dyDescent="0.25">
      <c r="A475" t="s">
        <v>115</v>
      </c>
      <c r="B475" t="s">
        <v>116</v>
      </c>
      <c r="C475">
        <v>4</v>
      </c>
      <c r="D475">
        <v>7</v>
      </c>
      <c r="E475">
        <f t="shared" si="129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f t="shared" si="131"/>
        <v>662.04706866566175</v>
      </c>
      <c r="P475">
        <f t="shared" si="132"/>
        <v>106.90242862968567</v>
      </c>
      <c r="Q475" s="2">
        <f t="shared" si="138"/>
        <v>271.53216871940162</v>
      </c>
      <c r="R475" s="2">
        <f t="shared" si="133"/>
        <v>300299.85605939425</v>
      </c>
      <c r="S475" s="2">
        <f t="shared" si="134"/>
        <v>721701.16813120467</v>
      </c>
      <c r="T475" s="2">
        <f t="shared" si="135"/>
        <v>1912508.0955476924</v>
      </c>
      <c r="U475">
        <f t="shared" si="139"/>
        <v>271.78000000000003</v>
      </c>
      <c r="V475">
        <v>0.25</v>
      </c>
      <c r="W475">
        <v>0</v>
      </c>
      <c r="X475" t="s">
        <v>462</v>
      </c>
      <c r="AA475">
        <f>300*0.453592</f>
        <v>136.07759999999999</v>
      </c>
      <c r="AD475">
        <f t="shared" si="140"/>
        <v>300.29985605939424</v>
      </c>
    </row>
    <row r="476" spans="1:30" x14ac:dyDescent="0.25">
      <c r="A476" t="s">
        <v>115</v>
      </c>
      <c r="B476" t="s">
        <v>116</v>
      </c>
      <c r="C476">
        <v>5</v>
      </c>
      <c r="D476">
        <v>7</v>
      </c>
      <c r="E476">
        <f t="shared" si="129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f t="shared" si="131"/>
        <v>663.54596399185027</v>
      </c>
      <c r="P476">
        <f t="shared" si="132"/>
        <v>106.98304463821262</v>
      </c>
      <c r="Q476" s="2">
        <f t="shared" si="138"/>
        <v>271.73693338106006</v>
      </c>
      <c r="R476" s="2">
        <f t="shared" si="133"/>
        <v>300979.74435133958</v>
      </c>
      <c r="S476" s="2">
        <f t="shared" si="134"/>
        <v>723335.12220941973</v>
      </c>
      <c r="T476" s="2">
        <f t="shared" si="135"/>
        <v>1916838.0738549621</v>
      </c>
      <c r="U476">
        <f t="shared" si="139"/>
        <v>271.78000000000003</v>
      </c>
      <c r="V476">
        <v>0.25</v>
      </c>
      <c r="W476">
        <v>0</v>
      </c>
      <c r="X476" t="s">
        <v>463</v>
      </c>
      <c r="Z476">
        <f>3*0.3048</f>
        <v>0.9144000000000001</v>
      </c>
      <c r="AA476">
        <f>6*0.3048</f>
        <v>1.8288000000000002</v>
      </c>
      <c r="AD476">
        <f t="shared" si="140"/>
        <v>300.9797443513396</v>
      </c>
    </row>
    <row r="477" spans="1:30" x14ac:dyDescent="0.25">
      <c r="A477" t="s">
        <v>115</v>
      </c>
      <c r="B477" t="s">
        <v>116</v>
      </c>
      <c r="C477">
        <v>6</v>
      </c>
      <c r="D477">
        <v>7</v>
      </c>
      <c r="E477">
        <f t="shared" si="129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f t="shared" si="131"/>
        <v>663.8066634503989</v>
      </c>
      <c r="P477">
        <f t="shared" si="132"/>
        <v>106.9970535999196</v>
      </c>
      <c r="Q477" s="2">
        <f t="shared" si="138"/>
        <v>271.77251614379577</v>
      </c>
      <c r="R477" s="2">
        <f t="shared" si="133"/>
        <v>301097.99577723094</v>
      </c>
      <c r="S477" s="2">
        <f t="shared" si="134"/>
        <v>723619.31212985073</v>
      </c>
      <c r="T477" s="2">
        <f t="shared" si="135"/>
        <v>1917591.1771441044</v>
      </c>
      <c r="U477">
        <f t="shared" si="139"/>
        <v>271.78000000000003</v>
      </c>
      <c r="V477">
        <v>0.25</v>
      </c>
      <c r="W477">
        <v>0</v>
      </c>
      <c r="X477" t="s">
        <v>464</v>
      </c>
      <c r="AD477">
        <f t="shared" si="140"/>
        <v>301.09799577723095</v>
      </c>
    </row>
    <row r="478" spans="1:30" x14ac:dyDescent="0.25">
      <c r="A478" t="s">
        <v>115</v>
      </c>
      <c r="B478" t="s">
        <v>116</v>
      </c>
      <c r="C478">
        <v>7</v>
      </c>
      <c r="D478">
        <v>7</v>
      </c>
      <c r="E478">
        <f t="shared" si="129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f t="shared" si="131"/>
        <v>663.85197318617668</v>
      </c>
      <c r="P478">
        <f t="shared" si="132"/>
        <v>106.99948799243906</v>
      </c>
      <c r="Q478" s="2">
        <f t="shared" si="138"/>
        <v>271.7786995007952</v>
      </c>
      <c r="R478" s="2">
        <f t="shared" si="133"/>
        <v>301118.54795210814</v>
      </c>
      <c r="S478" s="2">
        <f t="shared" si="134"/>
        <v>723668.70452321111</v>
      </c>
      <c r="T478" s="2">
        <f t="shared" si="135"/>
        <v>1917722.0669865094</v>
      </c>
      <c r="U478">
        <f t="shared" si="139"/>
        <v>271.78000000000003</v>
      </c>
      <c r="V478">
        <v>0.25</v>
      </c>
      <c r="W478">
        <v>0</v>
      </c>
      <c r="X478" t="s">
        <v>434</v>
      </c>
      <c r="Y478" s="7" t="s">
        <v>725</v>
      </c>
      <c r="Z478" s="7" t="s">
        <v>726</v>
      </c>
      <c r="AA478" s="7" t="s">
        <v>727</v>
      </c>
    </row>
    <row r="479" spans="1:30" x14ac:dyDescent="0.25">
      <c r="A479" t="s">
        <v>115</v>
      </c>
      <c r="B479" t="s">
        <v>116</v>
      </c>
      <c r="C479">
        <v>8</v>
      </c>
      <c r="D479">
        <v>7</v>
      </c>
      <c r="E479">
        <f t="shared" si="129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>
        <f t="shared" si="131"/>
        <v>663.85984704790906</v>
      </c>
      <c r="P479">
        <f t="shared" si="132"/>
        <v>106.99991102642706</v>
      </c>
      <c r="Q479" s="2">
        <f t="shared" si="138"/>
        <v>271.77977400712473</v>
      </c>
      <c r="R479" s="2">
        <f t="shared" si="133"/>
        <v>301122.11947995983</v>
      </c>
      <c r="S479" s="2">
        <f t="shared" si="134"/>
        <v>723677.28786339785</v>
      </c>
      <c r="T479" s="2">
        <f t="shared" si="135"/>
        <v>1917744.8128380042</v>
      </c>
      <c r="U479">
        <f t="shared" si="139"/>
        <v>271.78000000000003</v>
      </c>
      <c r="V479">
        <v>0.25</v>
      </c>
      <c r="W479">
        <v>0</v>
      </c>
      <c r="X479" t="s">
        <v>469</v>
      </c>
      <c r="Y479">
        <v>11</v>
      </c>
      <c r="Z479">
        <v>12</v>
      </c>
      <c r="AA479">
        <v>12</v>
      </c>
    </row>
    <row r="480" spans="1:30" x14ac:dyDescent="0.25">
      <c r="A480" t="s">
        <v>115</v>
      </c>
      <c r="B480" t="s">
        <v>116</v>
      </c>
      <c r="C480">
        <v>9</v>
      </c>
      <c r="D480">
        <v>7</v>
      </c>
      <c r="E480">
        <f t="shared" si="129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f t="shared" si="131"/>
        <v>663.86121532626237</v>
      </c>
      <c r="P480">
        <f t="shared" si="132"/>
        <v>106.99998453871137</v>
      </c>
      <c r="Q480" s="2">
        <f t="shared" si="138"/>
        <v>271.7799607283269</v>
      </c>
      <c r="R480" s="2">
        <f t="shared" si="133"/>
        <v>301122.74012131902</v>
      </c>
      <c r="S480" s="2">
        <f t="shared" si="134"/>
        <v>723678.77943119197</v>
      </c>
      <c r="T480" s="2">
        <f t="shared" si="135"/>
        <v>1917748.7654926586</v>
      </c>
      <c r="U480">
        <f t="shared" si="139"/>
        <v>271.78000000000003</v>
      </c>
      <c r="V480">
        <v>0.25</v>
      </c>
      <c r="W480">
        <v>0</v>
      </c>
      <c r="X480" t="s">
        <v>470</v>
      </c>
      <c r="Z480">
        <v>7</v>
      </c>
      <c r="AA480">
        <v>10</v>
      </c>
    </row>
    <row r="481" spans="1:34" x14ac:dyDescent="0.25">
      <c r="A481" t="s">
        <v>115</v>
      </c>
      <c r="B481" t="s">
        <v>116</v>
      </c>
      <c r="C481">
        <v>10</v>
      </c>
      <c r="D481">
        <v>7</v>
      </c>
      <c r="E481">
        <f t="shared" si="129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f t="shared" si="131"/>
        <v>663.86145309757933</v>
      </c>
      <c r="P481">
        <f t="shared" si="132"/>
        <v>106.99999731323092</v>
      </c>
      <c r="Q481" s="2">
        <f t="shared" si="138"/>
        <v>271.77999317560653</v>
      </c>
      <c r="R481" s="2">
        <f t="shared" si="133"/>
        <v>301122.84797270247</v>
      </c>
      <c r="S481" s="2">
        <f t="shared" si="134"/>
        <v>723679.03862701869</v>
      </c>
      <c r="T481" s="2">
        <f t="shared" si="135"/>
        <v>1917749.4523615995</v>
      </c>
      <c r="U481">
        <f t="shared" si="139"/>
        <v>271.78000000000003</v>
      </c>
      <c r="V481">
        <v>0.25</v>
      </c>
      <c r="W481">
        <v>0</v>
      </c>
      <c r="X481" t="s">
        <v>471</v>
      </c>
      <c r="Z481">
        <v>1.5</v>
      </c>
      <c r="AA481">
        <f>20/12</f>
        <v>1.6666666666666667</v>
      </c>
    </row>
    <row r="482" spans="1:34" x14ac:dyDescent="0.25">
      <c r="A482" t="s">
        <v>117</v>
      </c>
      <c r="B482" t="s">
        <v>118</v>
      </c>
      <c r="C482">
        <v>1</v>
      </c>
      <c r="D482">
        <v>2</v>
      </c>
      <c r="E482">
        <f t="shared" si="129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f t="shared" si="131"/>
        <v>7.7255718625825365E-2</v>
      </c>
      <c r="P482">
        <f t="shared" si="132"/>
        <v>5.223979871925879</v>
      </c>
      <c r="Q482">
        <f t="shared" ref="Q482:Q491" si="141">73.2*(1-EXP(-0.1*(E482)))</f>
        <v>13.268908874691732</v>
      </c>
      <c r="R482">
        <f t="shared" si="133"/>
        <v>35.042646182029266</v>
      </c>
      <c r="S482">
        <f t="shared" si="134"/>
        <v>84.216885801560352</v>
      </c>
      <c r="T482">
        <f t="shared" si="135"/>
        <v>223.17474737413494</v>
      </c>
      <c r="U482">
        <v>73.2</v>
      </c>
      <c r="V482">
        <v>0.1</v>
      </c>
      <c r="W482">
        <v>0</v>
      </c>
      <c r="Y482" t="s">
        <v>728</v>
      </c>
    </row>
    <row r="483" spans="1:34" x14ac:dyDescent="0.25">
      <c r="A483" t="s">
        <v>117</v>
      </c>
      <c r="B483" t="s">
        <v>118</v>
      </c>
      <c r="C483">
        <v>2</v>
      </c>
      <c r="D483">
        <v>2</v>
      </c>
      <c r="E483">
        <f t="shared" si="129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f t="shared" si="131"/>
        <v>0.46476762463013077</v>
      </c>
      <c r="P483">
        <f t="shared" si="132"/>
        <v>9.5010128465319692</v>
      </c>
      <c r="Q483">
        <f t="shared" si="141"/>
        <v>24.132572630191202</v>
      </c>
      <c r="R483">
        <f t="shared" si="133"/>
        <v>210.8152990674723</v>
      </c>
      <c r="S483">
        <f t="shared" si="134"/>
        <v>506.64575599007998</v>
      </c>
      <c r="T483">
        <f t="shared" si="135"/>
        <v>1342.6112533737119</v>
      </c>
      <c r="U483">
        <v>73.2</v>
      </c>
      <c r="V483">
        <v>0.1</v>
      </c>
      <c r="W483">
        <v>0</v>
      </c>
    </row>
    <row r="484" spans="1:34" x14ac:dyDescent="0.25">
      <c r="A484" t="s">
        <v>117</v>
      </c>
      <c r="B484" t="s">
        <v>118</v>
      </c>
      <c r="C484">
        <v>3</v>
      </c>
      <c r="D484">
        <v>2</v>
      </c>
      <c r="E484">
        <f t="shared" si="129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f t="shared" si="131"/>
        <v>1.1913295584543824</v>
      </c>
      <c r="P484">
        <f t="shared" si="132"/>
        <v>13.00275127477058</v>
      </c>
      <c r="Q484">
        <f t="shared" si="141"/>
        <v>33.026988237917273</v>
      </c>
      <c r="R484">
        <f t="shared" si="133"/>
        <v>540.37864051599934</v>
      </c>
      <c r="S484">
        <f t="shared" si="134"/>
        <v>1298.6749351502026</v>
      </c>
      <c r="T484">
        <f t="shared" si="135"/>
        <v>3441.4885781480366</v>
      </c>
      <c r="U484">
        <v>73.2</v>
      </c>
      <c r="V484">
        <v>0.1</v>
      </c>
      <c r="W484">
        <v>0</v>
      </c>
    </row>
    <row r="485" spans="1:34" x14ac:dyDescent="0.25">
      <c r="A485" t="s">
        <v>117</v>
      </c>
      <c r="B485" t="s">
        <v>118</v>
      </c>
      <c r="C485">
        <v>4</v>
      </c>
      <c r="D485">
        <v>2</v>
      </c>
      <c r="E485">
        <f t="shared" si="129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f t="shared" si="131"/>
        <v>2.1658827756575767</v>
      </c>
      <c r="P485">
        <f t="shared" si="132"/>
        <v>15.869732215204481</v>
      </c>
      <c r="Q485">
        <f t="shared" si="141"/>
        <v>40.30911982661938</v>
      </c>
      <c r="R485">
        <f t="shared" si="133"/>
        <v>982.42906970705906</v>
      </c>
      <c r="S485">
        <f t="shared" si="134"/>
        <v>2361.0407827614972</v>
      </c>
      <c r="T485">
        <f t="shared" si="135"/>
        <v>6256.7580743179678</v>
      </c>
      <c r="U485">
        <v>73.2</v>
      </c>
      <c r="V485">
        <v>0.1</v>
      </c>
      <c r="W485">
        <v>0</v>
      </c>
    </row>
    <row r="486" spans="1:34" x14ac:dyDescent="0.25">
      <c r="A486" t="s">
        <v>117</v>
      </c>
      <c r="B486" t="s">
        <v>118</v>
      </c>
      <c r="C486">
        <v>5</v>
      </c>
      <c r="D486">
        <v>2</v>
      </c>
      <c r="E486">
        <f t="shared" si="129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f t="shared" si="131"/>
        <v>3.2761063483325983</v>
      </c>
      <c r="P486">
        <f t="shared" si="132"/>
        <v>18.217017679626149</v>
      </c>
      <c r="Q486">
        <f t="shared" si="141"/>
        <v>46.271224906250424</v>
      </c>
      <c r="R486">
        <f t="shared" si="133"/>
        <v>1486.0186101607526</v>
      </c>
      <c r="S486">
        <f t="shared" si="134"/>
        <v>3571.3016346088743</v>
      </c>
      <c r="T486">
        <f t="shared" si="135"/>
        <v>9463.9493317135166</v>
      </c>
      <c r="U486">
        <v>73.2</v>
      </c>
      <c r="V486">
        <v>0.1</v>
      </c>
      <c r="W486">
        <v>0</v>
      </c>
    </row>
    <row r="487" spans="1:34" x14ac:dyDescent="0.25">
      <c r="A487" t="s">
        <v>117</v>
      </c>
      <c r="B487" t="s">
        <v>118</v>
      </c>
      <c r="C487">
        <v>6</v>
      </c>
      <c r="D487">
        <v>2</v>
      </c>
      <c r="E487">
        <f t="shared" si="129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f t="shared" si="131"/>
        <v>4.4261662847391143</v>
      </c>
      <c r="P487">
        <f t="shared" si="132"/>
        <v>20.138812475601107</v>
      </c>
      <c r="Q487">
        <f t="shared" si="141"/>
        <v>51.152583688026816</v>
      </c>
      <c r="R487">
        <f t="shared" si="133"/>
        <v>2007.677642740751</v>
      </c>
      <c r="S487">
        <f t="shared" si="134"/>
        <v>4824.9883267021169</v>
      </c>
      <c r="T487">
        <f t="shared" si="135"/>
        <v>12786.21906576061</v>
      </c>
      <c r="U487">
        <v>73.2</v>
      </c>
      <c r="V487">
        <v>0.1</v>
      </c>
      <c r="W487">
        <v>0</v>
      </c>
    </row>
    <row r="488" spans="1:34" x14ac:dyDescent="0.25">
      <c r="A488" t="s">
        <v>117</v>
      </c>
      <c r="B488" t="s">
        <v>118</v>
      </c>
      <c r="C488">
        <v>7</v>
      </c>
      <c r="D488">
        <v>2</v>
      </c>
      <c r="E488">
        <f t="shared" si="129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f t="shared" si="131"/>
        <v>5.5467723649116873</v>
      </c>
      <c r="P488">
        <f t="shared" si="132"/>
        <v>21.712244976171029</v>
      </c>
      <c r="Q488">
        <f t="shared" si="141"/>
        <v>55.149102239474409</v>
      </c>
      <c r="R488">
        <f t="shared" si="133"/>
        <v>2515.976614977496</v>
      </c>
      <c r="S488">
        <f t="shared" si="134"/>
        <v>6046.5672073479836</v>
      </c>
      <c r="T488">
        <f t="shared" si="135"/>
        <v>16023.403099472156</v>
      </c>
      <c r="U488">
        <v>73.2</v>
      </c>
      <c r="V488">
        <v>0.1</v>
      </c>
      <c r="W488">
        <v>0</v>
      </c>
    </row>
    <row r="489" spans="1:34" x14ac:dyDescent="0.25">
      <c r="A489" t="s">
        <v>117</v>
      </c>
      <c r="B489" t="s">
        <v>118</v>
      </c>
      <c r="C489">
        <v>8</v>
      </c>
      <c r="D489">
        <v>2</v>
      </c>
      <c r="E489">
        <f t="shared" si="129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f t="shared" si="131"/>
        <v>6.5938013924562711</v>
      </c>
      <c r="P489">
        <f t="shared" si="132"/>
        <v>23.000462552280009</v>
      </c>
      <c r="Q489">
        <f t="shared" si="141"/>
        <v>58.421174882791227</v>
      </c>
      <c r="R489">
        <f t="shared" si="133"/>
        <v>2990.9015578450121</v>
      </c>
      <c r="S489">
        <f t="shared" si="134"/>
        <v>7187.9393363254312</v>
      </c>
      <c r="T489">
        <f t="shared" si="135"/>
        <v>19048.039241262391</v>
      </c>
      <c r="U489">
        <v>73.2</v>
      </c>
      <c r="V489">
        <v>0.1</v>
      </c>
      <c r="W489">
        <v>0</v>
      </c>
    </row>
    <row r="490" spans="1:34" x14ac:dyDescent="0.25">
      <c r="A490" t="s">
        <v>117</v>
      </c>
      <c r="B490" t="s">
        <v>118</v>
      </c>
      <c r="C490">
        <v>9</v>
      </c>
      <c r="D490">
        <v>2</v>
      </c>
      <c r="E490">
        <f t="shared" si="129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f t="shared" si="131"/>
        <v>7.5431235484480901</v>
      </c>
      <c r="P490">
        <f t="shared" si="132"/>
        <v>24.055165898496011</v>
      </c>
      <c r="Q490">
        <f t="shared" si="141"/>
        <v>61.100121382179864</v>
      </c>
      <c r="R490">
        <f t="shared" si="133"/>
        <v>3421.5073565730559</v>
      </c>
      <c r="S490">
        <f t="shared" si="134"/>
        <v>8222.8006646792983</v>
      </c>
      <c r="T490">
        <f t="shared" si="135"/>
        <v>21790.421761400139</v>
      </c>
      <c r="U490">
        <v>73.2</v>
      </c>
      <c r="V490">
        <v>0.1</v>
      </c>
      <c r="W490">
        <v>0</v>
      </c>
    </row>
    <row r="491" spans="1:34" x14ac:dyDescent="0.25">
      <c r="A491" t="s">
        <v>117</v>
      </c>
      <c r="B491" t="s">
        <v>118</v>
      </c>
      <c r="C491">
        <v>10</v>
      </c>
      <c r="D491">
        <v>2</v>
      </c>
      <c r="E491">
        <f t="shared" si="129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f t="shared" si="131"/>
        <v>8.38496893870043</v>
      </c>
      <c r="P491">
        <f t="shared" si="132"/>
        <v>24.918683963417305</v>
      </c>
      <c r="Q491">
        <f t="shared" si="141"/>
        <v>63.293457267079951</v>
      </c>
      <c r="R491">
        <f t="shared" si="133"/>
        <v>3803.362456432596</v>
      </c>
      <c r="S491">
        <f t="shared" si="134"/>
        <v>9140.5009767666306</v>
      </c>
      <c r="T491">
        <f t="shared" si="135"/>
        <v>24222.32758843157</v>
      </c>
      <c r="U491">
        <v>73.2</v>
      </c>
      <c r="V491">
        <v>0.1</v>
      </c>
      <c r="W491">
        <v>0</v>
      </c>
    </row>
    <row r="492" spans="1:34" x14ac:dyDescent="0.25">
      <c r="A492" t="s">
        <v>119</v>
      </c>
      <c r="B492" t="s">
        <v>120</v>
      </c>
      <c r="C492">
        <v>1</v>
      </c>
      <c r="D492">
        <v>3</v>
      </c>
      <c r="E492">
        <f t="shared" si="129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f t="shared" si="131"/>
        <v>19.811244841264621</v>
      </c>
      <c r="P492">
        <f t="shared" si="132"/>
        <v>31.252440360380255</v>
      </c>
      <c r="Q492" s="2">
        <f t="shared" ref="Q492:Q511" si="142">U492*(1-EXP(-V492*(E492-W492)))</f>
        <v>79.381198515365853</v>
      </c>
      <c r="R492" s="2">
        <f t="shared" si="133"/>
        <v>8986.2401870910271</v>
      </c>
      <c r="S492" s="2">
        <f t="shared" si="134"/>
        <v>21596.347481593435</v>
      </c>
      <c r="T492" s="2">
        <f t="shared" si="135"/>
        <v>57230.320826222604</v>
      </c>
      <c r="U492">
        <f t="shared" ref="U492:U501" si="143">$AH$494</f>
        <v>133.76666666666668</v>
      </c>
      <c r="V492">
        <f t="shared" ref="V492:V501" si="144">$AH$495</f>
        <v>0.3</v>
      </c>
      <c r="W492">
        <v>0</v>
      </c>
      <c r="Y492" t="s">
        <v>729</v>
      </c>
      <c r="Z492" t="s">
        <v>730</v>
      </c>
      <c r="AA492" t="s">
        <v>731</v>
      </c>
      <c r="AB492" t="s">
        <v>732</v>
      </c>
      <c r="AC492" t="s">
        <v>733</v>
      </c>
      <c r="AD492" t="s">
        <v>734</v>
      </c>
      <c r="AE492" t="s">
        <v>735</v>
      </c>
      <c r="AF492" t="s">
        <v>736</v>
      </c>
    </row>
    <row r="493" spans="1:34" x14ac:dyDescent="0.25">
      <c r="A493" t="s">
        <v>119</v>
      </c>
      <c r="B493" t="s">
        <v>120</v>
      </c>
      <c r="C493">
        <v>2</v>
      </c>
      <c r="D493">
        <v>3</v>
      </c>
      <c r="E493">
        <f t="shared" si="129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f t="shared" si="131"/>
        <v>43.971184882940634</v>
      </c>
      <c r="P493">
        <f t="shared" si="132"/>
        <v>40.913105870398311</v>
      </c>
      <c r="Q493" s="2">
        <f t="shared" si="142"/>
        <v>103.91928891081172</v>
      </c>
      <c r="R493" s="2">
        <f t="shared" si="133"/>
        <v>19945.01768238546</v>
      </c>
      <c r="S493" s="2">
        <f t="shared" si="134"/>
        <v>47933.231632745636</v>
      </c>
      <c r="T493" s="2">
        <f t="shared" si="135"/>
        <v>127023.06382677594</v>
      </c>
      <c r="U493">
        <f t="shared" si="143"/>
        <v>133.76666666666668</v>
      </c>
      <c r="V493">
        <f t="shared" si="144"/>
        <v>0.3</v>
      </c>
      <c r="W493">
        <v>1</v>
      </c>
      <c r="X493" t="s">
        <v>422</v>
      </c>
      <c r="Y493">
        <v>108</v>
      </c>
      <c r="AA493">
        <v>110</v>
      </c>
      <c r="AB493">
        <v>122</v>
      </c>
      <c r="AC493">
        <v>250</v>
      </c>
      <c r="AD493">
        <v>140</v>
      </c>
      <c r="AE493">
        <v>239</v>
      </c>
      <c r="AH493">
        <f>AVERAGE(Y493:AE493)</f>
        <v>161.5</v>
      </c>
    </row>
    <row r="494" spans="1:34" x14ac:dyDescent="0.25">
      <c r="A494" t="s">
        <v>119</v>
      </c>
      <c r="B494" t="s">
        <v>120</v>
      </c>
      <c r="C494">
        <v>3</v>
      </c>
      <c r="D494">
        <v>3</v>
      </c>
      <c r="E494">
        <f t="shared" si="129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f t="shared" si="131"/>
        <v>63.068519356800429</v>
      </c>
      <c r="P494">
        <f t="shared" si="132"/>
        <v>46.214991514708451</v>
      </c>
      <c r="Q494" s="2">
        <f t="shared" si="142"/>
        <v>117.38607844735947</v>
      </c>
      <c r="R494" s="2">
        <f t="shared" si="133"/>
        <v>28607.433188849067</v>
      </c>
      <c r="S494" s="2">
        <f t="shared" si="134"/>
        <v>68751.341477647366</v>
      </c>
      <c r="T494" s="2">
        <f t="shared" si="135"/>
        <v>182191.0549157655</v>
      </c>
      <c r="U494">
        <f t="shared" si="143"/>
        <v>133.76666666666668</v>
      </c>
      <c r="V494">
        <f t="shared" si="144"/>
        <v>0.3</v>
      </c>
      <c r="W494">
        <v>2</v>
      </c>
      <c r="X494" t="s">
        <v>18</v>
      </c>
      <c r="Y494">
        <v>88.6</v>
      </c>
      <c r="AA494">
        <v>82</v>
      </c>
      <c r="AB494">
        <v>112</v>
      </c>
      <c r="AC494">
        <v>203</v>
      </c>
      <c r="AD494">
        <v>134</v>
      </c>
      <c r="AE494">
        <v>183</v>
      </c>
      <c r="AH494">
        <f>AVERAGE(Y494:AE494)</f>
        <v>133.76666666666668</v>
      </c>
    </row>
    <row r="495" spans="1:34" x14ac:dyDescent="0.25">
      <c r="A495" t="s">
        <v>119</v>
      </c>
      <c r="B495" t="s">
        <v>120</v>
      </c>
      <c r="C495">
        <v>4</v>
      </c>
      <c r="D495">
        <v>3</v>
      </c>
      <c r="E495">
        <f t="shared" si="129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f t="shared" si="131"/>
        <v>75.562059885577497</v>
      </c>
      <c r="P495">
        <f t="shared" si="132"/>
        <v>49.12472804954573</v>
      </c>
      <c r="Q495" s="2">
        <f t="shared" si="142"/>
        <v>124.77680924584615</v>
      </c>
      <c r="R495" s="2">
        <f t="shared" si="133"/>
        <v>34274.414586449137</v>
      </c>
      <c r="S495" s="2">
        <f t="shared" si="134"/>
        <v>82370.619049385103</v>
      </c>
      <c r="T495" s="2">
        <f t="shared" si="135"/>
        <v>218282.14048087053</v>
      </c>
      <c r="U495">
        <f t="shared" si="143"/>
        <v>133.76666666666668</v>
      </c>
      <c r="V495">
        <f t="shared" si="144"/>
        <v>0.3</v>
      </c>
      <c r="W495">
        <v>3</v>
      </c>
      <c r="X495" t="s">
        <v>19</v>
      </c>
      <c r="Y495">
        <v>0.3</v>
      </c>
      <c r="AA495">
        <v>0.5</v>
      </c>
      <c r="AB495">
        <v>0.1</v>
      </c>
      <c r="AC495">
        <v>0.2</v>
      </c>
      <c r="AD495">
        <v>0.2</v>
      </c>
      <c r="AE495">
        <v>0.5</v>
      </c>
      <c r="AH495">
        <f>AVERAGE(Y495:AE495)</f>
        <v>0.3</v>
      </c>
    </row>
    <row r="496" spans="1:34" x14ac:dyDescent="0.25">
      <c r="A496" t="s">
        <v>119</v>
      </c>
      <c r="B496" t="s">
        <v>120</v>
      </c>
      <c r="C496">
        <v>5</v>
      </c>
      <c r="D496">
        <v>3</v>
      </c>
      <c r="E496">
        <f t="shared" si="129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f t="shared" si="131"/>
        <v>83.066722612942684</v>
      </c>
      <c r="P496">
        <f t="shared" si="132"/>
        <v>50.721625317832334</v>
      </c>
      <c r="Q496" s="2">
        <f t="shared" si="142"/>
        <v>128.83292830729414</v>
      </c>
      <c r="R496" s="2">
        <f t="shared" si="133"/>
        <v>37678.476387287912</v>
      </c>
      <c r="S496" s="2">
        <f t="shared" si="134"/>
        <v>90551.493360461202</v>
      </c>
      <c r="T496" s="2">
        <f t="shared" si="135"/>
        <v>239961.45740522217</v>
      </c>
      <c r="U496">
        <f t="shared" si="143"/>
        <v>133.76666666666668</v>
      </c>
      <c r="V496">
        <f t="shared" si="144"/>
        <v>0.3</v>
      </c>
      <c r="W496">
        <v>4</v>
      </c>
      <c r="X496" t="s">
        <v>477</v>
      </c>
    </row>
    <row r="497" spans="1:31" x14ac:dyDescent="0.25">
      <c r="A497" t="s">
        <v>119</v>
      </c>
      <c r="B497" t="s">
        <v>120</v>
      </c>
      <c r="C497">
        <v>6</v>
      </c>
      <c r="D497">
        <v>3</v>
      </c>
      <c r="E497">
        <f t="shared" si="129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f t="shared" si="131"/>
        <v>87.387463452721377</v>
      </c>
      <c r="P497">
        <f t="shared" si="132"/>
        <v>51.598021120314797</v>
      </c>
      <c r="Q497" s="2">
        <f t="shared" si="142"/>
        <v>131.05897364559959</v>
      </c>
      <c r="R497" s="2">
        <f t="shared" si="133"/>
        <v>39638.333795720522</v>
      </c>
      <c r="S497" s="2">
        <f t="shared" si="134"/>
        <v>95261.556827013992</v>
      </c>
      <c r="T497" s="2">
        <f t="shared" si="135"/>
        <v>252443.12559158707</v>
      </c>
      <c r="U497">
        <f t="shared" si="143"/>
        <v>133.76666666666668</v>
      </c>
      <c r="V497">
        <f t="shared" si="144"/>
        <v>0.3</v>
      </c>
      <c r="W497">
        <v>5</v>
      </c>
      <c r="X497" t="s">
        <v>423</v>
      </c>
      <c r="Y497" t="s">
        <v>428</v>
      </c>
      <c r="AA497" t="s">
        <v>428</v>
      </c>
      <c r="AB497" t="s">
        <v>428</v>
      </c>
      <c r="AC497" t="s">
        <v>428</v>
      </c>
      <c r="AD497" t="s">
        <v>428</v>
      </c>
      <c r="AE497" t="s">
        <v>428</v>
      </c>
    </row>
    <row r="498" spans="1:31" x14ac:dyDescent="0.25">
      <c r="A498" t="s">
        <v>119</v>
      </c>
      <c r="B498" t="s">
        <v>120</v>
      </c>
      <c r="C498">
        <v>7</v>
      </c>
      <c r="D498">
        <v>3</v>
      </c>
      <c r="E498">
        <f t="shared" si="129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f t="shared" si="131"/>
        <v>89.820745581515325</v>
      </c>
      <c r="P498">
        <f t="shared" si="132"/>
        <v>52.078997334541128</v>
      </c>
      <c r="Q498" s="2">
        <f t="shared" si="142"/>
        <v>132.28065322973447</v>
      </c>
      <c r="R498" s="2">
        <f t="shared" si="133"/>
        <v>40742.053315997917</v>
      </c>
      <c r="S498" s="2">
        <f t="shared" si="134"/>
        <v>97914.091122321362</v>
      </c>
      <c r="T498" s="2">
        <f t="shared" si="135"/>
        <v>259472.34147415159</v>
      </c>
      <c r="U498">
        <f t="shared" si="143"/>
        <v>133.76666666666668</v>
      </c>
      <c r="V498">
        <f t="shared" si="144"/>
        <v>0.3</v>
      </c>
      <c r="W498">
        <v>6</v>
      </c>
      <c r="X498" t="s">
        <v>434</v>
      </c>
      <c r="Y498" s="7" t="s">
        <v>737</v>
      </c>
      <c r="AA498" s="7" t="s">
        <v>738</v>
      </c>
      <c r="AB498" s="7" t="s">
        <v>739</v>
      </c>
      <c r="AD498" s="7" t="s">
        <v>740</v>
      </c>
      <c r="AE498" s="7" t="s">
        <v>741</v>
      </c>
    </row>
    <row r="499" spans="1:31" x14ac:dyDescent="0.25">
      <c r="A499" t="s">
        <v>119</v>
      </c>
      <c r="B499" t="s">
        <v>120</v>
      </c>
      <c r="C499">
        <v>8</v>
      </c>
      <c r="D499">
        <v>3</v>
      </c>
      <c r="E499">
        <f t="shared" si="129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>
        <f t="shared" si="131"/>
        <v>91.17502421205873</v>
      </c>
      <c r="P499">
        <f t="shared" si="132"/>
        <v>52.342962677592993</v>
      </c>
      <c r="Q499" s="2">
        <f t="shared" si="142"/>
        <v>132.9511252010862</v>
      </c>
      <c r="R499" s="2">
        <f t="shared" si="133"/>
        <v>41356.34450021261</v>
      </c>
      <c r="S499" s="2">
        <f t="shared" si="134"/>
        <v>99390.397741438603</v>
      </c>
      <c r="T499" s="2">
        <f t="shared" si="135"/>
        <v>263384.55401481228</v>
      </c>
      <c r="U499">
        <f t="shared" si="143"/>
        <v>133.76666666666668</v>
      </c>
      <c r="V499">
        <f t="shared" si="144"/>
        <v>0.3</v>
      </c>
      <c r="W499">
        <v>7</v>
      </c>
    </row>
    <row r="500" spans="1:31" x14ac:dyDescent="0.25">
      <c r="A500" t="s">
        <v>119</v>
      </c>
      <c r="B500" t="s">
        <v>120</v>
      </c>
      <c r="C500">
        <v>9</v>
      </c>
      <c r="D500">
        <v>3</v>
      </c>
      <c r="E500">
        <f t="shared" si="129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f t="shared" si="131"/>
        <v>91.92398124387114</v>
      </c>
      <c r="P500">
        <f t="shared" si="132"/>
        <v>52.487829929385413</v>
      </c>
      <c r="Q500" s="2">
        <f t="shared" si="142"/>
        <v>133.31908802063896</v>
      </c>
      <c r="R500" s="2">
        <f t="shared" si="133"/>
        <v>41696.066099314681</v>
      </c>
      <c r="S500" s="2">
        <f t="shared" si="134"/>
        <v>100206.83994067456</v>
      </c>
      <c r="T500" s="2">
        <f t="shared" si="135"/>
        <v>265548.12584278756</v>
      </c>
      <c r="U500">
        <f t="shared" si="143"/>
        <v>133.76666666666668</v>
      </c>
      <c r="V500">
        <f t="shared" si="144"/>
        <v>0.3</v>
      </c>
      <c r="W500">
        <v>8</v>
      </c>
    </row>
    <row r="501" spans="1:31" x14ac:dyDescent="0.25">
      <c r="A501" t="s">
        <v>119</v>
      </c>
      <c r="B501" t="s">
        <v>120</v>
      </c>
      <c r="C501">
        <v>10</v>
      </c>
      <c r="D501">
        <v>3</v>
      </c>
      <c r="E501">
        <f t="shared" ref="E501:E564" si="145">C501*D501</f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f t="shared" si="131"/>
        <v>92.336743489784439</v>
      </c>
      <c r="P501">
        <f t="shared" si="132"/>
        <v>52.567334762858053</v>
      </c>
      <c r="Q501" s="2">
        <f t="shared" si="142"/>
        <v>133.52103029765945</v>
      </c>
      <c r="R501" s="2">
        <f t="shared" si="133"/>
        <v>41883.292127343688</v>
      </c>
      <c r="S501" s="2">
        <f t="shared" si="134"/>
        <v>100656.79434593531</v>
      </c>
      <c r="T501" s="2">
        <f t="shared" si="135"/>
        <v>266740.5050167286</v>
      </c>
      <c r="U501">
        <f t="shared" si="143"/>
        <v>133.76666666666668</v>
      </c>
      <c r="V501">
        <f t="shared" si="144"/>
        <v>0.3</v>
      </c>
      <c r="W501">
        <v>9</v>
      </c>
      <c r="Y501" t="s">
        <v>742</v>
      </c>
      <c r="Z501" t="s">
        <v>743</v>
      </c>
      <c r="AA501" t="s">
        <v>744</v>
      </c>
      <c r="AB501" t="s">
        <v>745</v>
      </c>
    </row>
    <row r="502" spans="1:31" x14ac:dyDescent="0.25">
      <c r="A502" t="s">
        <v>121</v>
      </c>
      <c r="B502" t="s">
        <v>122</v>
      </c>
      <c r="C502">
        <v>1</v>
      </c>
      <c r="D502">
        <v>7</v>
      </c>
      <c r="E502">
        <f t="shared" si="145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f t="shared" si="131"/>
        <v>22254.820062354665</v>
      </c>
      <c r="P502">
        <f t="shared" si="132"/>
        <v>850.86971247246606</v>
      </c>
      <c r="Q502" s="2">
        <f t="shared" si="142"/>
        <v>2161.2090696800637</v>
      </c>
      <c r="R502" s="2">
        <f t="shared" si="133"/>
        <v>10094628.581050098</v>
      </c>
      <c r="S502" s="2">
        <f t="shared" si="134"/>
        <v>24260102.333694059</v>
      </c>
      <c r="T502" s="2">
        <f t="shared" si="135"/>
        <v>64289271.184289254</v>
      </c>
      <c r="U502">
        <f t="shared" ref="U502:U511" si="146">$AC$503*100</f>
        <v>2615.7600000000002</v>
      </c>
      <c r="V502">
        <v>0.25</v>
      </c>
      <c r="W502">
        <v>0</v>
      </c>
      <c r="X502" t="s">
        <v>459</v>
      </c>
      <c r="Y502">
        <f>30*2000*0.453592</f>
        <v>27215.52</v>
      </c>
      <c r="AA502">
        <f>6600*0.453592</f>
        <v>2993.7071999999998</v>
      </c>
      <c r="AC502">
        <f>AVERAGE(Y502:AA502)</f>
        <v>15104.613600000001</v>
      </c>
      <c r="AD502">
        <f>AC502*0.001</f>
        <v>15.1046136</v>
      </c>
      <c r="AE502">
        <f t="shared" ref="AE502:AE508" si="147">R502*0.000001</f>
        <v>10.094628581050097</v>
      </c>
    </row>
    <row r="503" spans="1:31" x14ac:dyDescent="0.25">
      <c r="A503" t="s">
        <v>121</v>
      </c>
      <c r="B503" t="s">
        <v>122</v>
      </c>
      <c r="C503">
        <v>2</v>
      </c>
      <c r="D503">
        <v>7</v>
      </c>
      <c r="E503">
        <f t="shared" si="145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f t="shared" si="131"/>
        <v>35989.638172401603</v>
      </c>
      <c r="P503">
        <f t="shared" si="132"/>
        <v>998.72869777135293</v>
      </c>
      <c r="Q503" s="2">
        <f t="shared" si="142"/>
        <v>2536.7708923392365</v>
      </c>
      <c r="R503" s="2">
        <f t="shared" si="133"/>
        <v>16324644.688155601</v>
      </c>
      <c r="S503" s="2">
        <f t="shared" si="134"/>
        <v>39232503.456273966</v>
      </c>
      <c r="T503" s="2">
        <f t="shared" si="135"/>
        <v>103966134.159126</v>
      </c>
      <c r="U503">
        <f t="shared" si="146"/>
        <v>2615.7600000000002</v>
      </c>
      <c r="V503">
        <v>0.25</v>
      </c>
      <c r="W503">
        <v>0</v>
      </c>
      <c r="X503" t="s">
        <v>460</v>
      </c>
      <c r="Y503">
        <v>45</v>
      </c>
      <c r="AA503">
        <f>24*0.3048</f>
        <v>7.3152000000000008</v>
      </c>
      <c r="AC503">
        <f>AVERAGE(Y503:AA503)</f>
        <v>26.157600000000002</v>
      </c>
      <c r="AE503">
        <f t="shared" si="147"/>
        <v>16.324644688155601</v>
      </c>
    </row>
    <row r="504" spans="1:31" x14ac:dyDescent="0.25">
      <c r="A504" t="s">
        <v>121</v>
      </c>
      <c r="B504" t="s">
        <v>122</v>
      </c>
      <c r="C504">
        <v>3</v>
      </c>
      <c r="D504">
        <v>7</v>
      </c>
      <c r="E504">
        <f t="shared" si="145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f t="shared" si="131"/>
        <v>38839.400660066996</v>
      </c>
      <c r="P504">
        <f t="shared" si="132"/>
        <v>1024.4227367213218</v>
      </c>
      <c r="Q504" s="2">
        <f t="shared" si="142"/>
        <v>2602.0337512721576</v>
      </c>
      <c r="R504" s="2">
        <f t="shared" si="133"/>
        <v>17617276.746136293</v>
      </c>
      <c r="S504" s="2">
        <f t="shared" si="134"/>
        <v>42339045.292324662</v>
      </c>
      <c r="T504" s="2">
        <f t="shared" si="135"/>
        <v>112198470.02466035</v>
      </c>
      <c r="U504">
        <f t="shared" si="146"/>
        <v>2615.7600000000002</v>
      </c>
      <c r="V504">
        <v>0.25</v>
      </c>
      <c r="W504">
        <v>0</v>
      </c>
      <c r="X504" t="s">
        <v>461</v>
      </c>
      <c r="Y504">
        <v>60</v>
      </c>
      <c r="AA504">
        <f>2200*0.453592</f>
        <v>997.90239999999994</v>
      </c>
      <c r="AE504">
        <f t="shared" si="147"/>
        <v>17.617276746136291</v>
      </c>
    </row>
    <row r="505" spans="1:31" x14ac:dyDescent="0.25">
      <c r="A505" t="s">
        <v>121</v>
      </c>
      <c r="B505" t="s">
        <v>122</v>
      </c>
      <c r="C505">
        <v>4</v>
      </c>
      <c r="D505">
        <v>7</v>
      </c>
      <c r="E505">
        <f t="shared" si="145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f t="shared" si="131"/>
        <v>39349.462814606537</v>
      </c>
      <c r="P505">
        <f t="shared" si="132"/>
        <v>1028.8876911928273</v>
      </c>
      <c r="Q505" s="2">
        <f t="shared" si="142"/>
        <v>2613.3747356297813</v>
      </c>
      <c r="R505" s="2">
        <f t="shared" si="133"/>
        <v>17848637.322806895</v>
      </c>
      <c r="S505" s="2">
        <f t="shared" si="134"/>
        <v>42895066.865673862</v>
      </c>
      <c r="T505" s="2">
        <f t="shared" si="135"/>
        <v>113671927.19403574</v>
      </c>
      <c r="U505">
        <f t="shared" si="146"/>
        <v>2615.7600000000002</v>
      </c>
      <c r="V505">
        <v>0.25</v>
      </c>
      <c r="W505">
        <v>0</v>
      </c>
      <c r="X505" t="s">
        <v>462</v>
      </c>
      <c r="AE505">
        <f t="shared" si="147"/>
        <v>17.848637322806894</v>
      </c>
    </row>
    <row r="506" spans="1:31" x14ac:dyDescent="0.25">
      <c r="A506" t="s">
        <v>121</v>
      </c>
      <c r="B506" t="s">
        <v>122</v>
      </c>
      <c r="C506">
        <v>5</v>
      </c>
      <c r="D506">
        <v>7</v>
      </c>
      <c r="E506">
        <f t="shared" si="145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f t="shared" si="131"/>
        <v>39438.55123247343</v>
      </c>
      <c r="P506">
        <f t="shared" si="132"/>
        <v>1029.6635839386674</v>
      </c>
      <c r="Q506" s="2">
        <f t="shared" si="142"/>
        <v>2615.3455032042152</v>
      </c>
      <c r="R506" s="2">
        <f t="shared" si="133"/>
        <v>17889047.197464157</v>
      </c>
      <c r="S506" s="2">
        <f t="shared" si="134"/>
        <v>42992182.64230752</v>
      </c>
      <c r="T506" s="2">
        <f t="shared" si="135"/>
        <v>113929284.00211492</v>
      </c>
      <c r="U506">
        <f t="shared" si="146"/>
        <v>2615.7600000000002</v>
      </c>
      <c r="V506">
        <v>0.25</v>
      </c>
      <c r="W506">
        <v>0</v>
      </c>
      <c r="X506" t="s">
        <v>463</v>
      </c>
      <c r="Y506">
        <f>13*0.3048</f>
        <v>3.9624000000000001</v>
      </c>
      <c r="AA506">
        <f>12*0.3048</f>
        <v>3.6576000000000004</v>
      </c>
      <c r="AE506">
        <f t="shared" si="147"/>
        <v>17.889047197464155</v>
      </c>
    </row>
    <row r="507" spans="1:31" x14ac:dyDescent="0.25">
      <c r="A507" t="s">
        <v>121</v>
      </c>
      <c r="B507" t="s">
        <v>122</v>
      </c>
      <c r="C507">
        <v>6</v>
      </c>
      <c r="D507">
        <v>7</v>
      </c>
      <c r="E507">
        <f t="shared" si="145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f t="shared" si="131"/>
        <v>39454.046178581448</v>
      </c>
      <c r="P507">
        <f t="shared" si="132"/>
        <v>1029.7984138808067</v>
      </c>
      <c r="Q507" s="2">
        <f t="shared" si="142"/>
        <v>2615.687971257249</v>
      </c>
      <c r="R507" s="2">
        <f t="shared" si="133"/>
        <v>17896075.59515084</v>
      </c>
      <c r="S507" s="2">
        <f t="shared" si="134"/>
        <v>43009073.768687427</v>
      </c>
      <c r="T507" s="2">
        <f t="shared" si="135"/>
        <v>113974045.48702168</v>
      </c>
      <c r="U507">
        <f t="shared" si="146"/>
        <v>2615.7600000000002</v>
      </c>
      <c r="V507">
        <v>0.25</v>
      </c>
      <c r="W507">
        <v>0</v>
      </c>
      <c r="X507" t="s">
        <v>464</v>
      </c>
      <c r="AE507">
        <f t="shared" si="147"/>
        <v>17.89607559515084</v>
      </c>
    </row>
    <row r="508" spans="1:31" x14ac:dyDescent="0.25">
      <c r="A508" t="s">
        <v>121</v>
      </c>
      <c r="B508" t="s">
        <v>122</v>
      </c>
      <c r="C508">
        <v>7</v>
      </c>
      <c r="D508">
        <v>7</v>
      </c>
      <c r="E508">
        <f t="shared" si="145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>
        <f t="shared" si="131"/>
        <v>39456.739210312153</v>
      </c>
      <c r="P508">
        <f t="shared" si="132"/>
        <v>1029.8218438115475</v>
      </c>
      <c r="Q508" s="2">
        <f t="shared" si="142"/>
        <v>2615.7474832813305</v>
      </c>
      <c r="R508" s="2">
        <f t="shared" si="133"/>
        <v>17897297.135248773</v>
      </c>
      <c r="S508" s="2">
        <f t="shared" si="134"/>
        <v>43012009.457459204</v>
      </c>
      <c r="T508" s="2">
        <f t="shared" si="135"/>
        <v>113981825.06226689</v>
      </c>
      <c r="U508">
        <f t="shared" si="146"/>
        <v>2615.7600000000002</v>
      </c>
      <c r="V508">
        <v>0.25</v>
      </c>
      <c r="W508">
        <v>0</v>
      </c>
      <c r="X508" t="s">
        <v>434</v>
      </c>
      <c r="Y508" s="7" t="s">
        <v>746</v>
      </c>
      <c r="AE508">
        <f t="shared" si="147"/>
        <v>17.89729713524877</v>
      </c>
    </row>
    <row r="509" spans="1:31" x14ac:dyDescent="0.25">
      <c r="A509" t="s">
        <v>121</v>
      </c>
      <c r="B509" t="s">
        <v>122</v>
      </c>
      <c r="C509">
        <v>8</v>
      </c>
      <c r="D509">
        <v>7</v>
      </c>
      <c r="E509">
        <f t="shared" si="145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f t="shared" si="131"/>
        <v>39457.207201553443</v>
      </c>
      <c r="P509">
        <f t="shared" si="132"/>
        <v>1029.8259153230072</v>
      </c>
      <c r="Q509" s="2">
        <f t="shared" si="142"/>
        <v>2615.757824920438</v>
      </c>
      <c r="R509" s="2">
        <f t="shared" si="133"/>
        <v>17897509.412757501</v>
      </c>
      <c r="S509" s="2">
        <f t="shared" si="134"/>
        <v>43012519.61729753</v>
      </c>
      <c r="T509" s="2">
        <f t="shared" si="135"/>
        <v>113983176.98583846</v>
      </c>
      <c r="U509">
        <f t="shared" si="146"/>
        <v>2615.7600000000002</v>
      </c>
      <c r="V509">
        <v>0.25</v>
      </c>
      <c r="W509">
        <v>0</v>
      </c>
      <c r="X509" t="s">
        <v>469</v>
      </c>
      <c r="Y509">
        <v>15</v>
      </c>
      <c r="AA509">
        <v>15</v>
      </c>
    </row>
    <row r="510" spans="1:31" x14ac:dyDescent="0.25">
      <c r="A510" t="s">
        <v>121</v>
      </c>
      <c r="B510" t="s">
        <v>122</v>
      </c>
      <c r="C510">
        <v>9</v>
      </c>
      <c r="D510">
        <v>7</v>
      </c>
      <c r="E510">
        <f t="shared" si="145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f t="shared" si="131"/>
        <v>39457.288526614335</v>
      </c>
      <c r="P510">
        <f t="shared" si="132"/>
        <v>1029.8266228456091</v>
      </c>
      <c r="Q510" s="2">
        <f t="shared" si="142"/>
        <v>2615.7596220278474</v>
      </c>
      <c r="R510" s="2">
        <f t="shared" si="133"/>
        <v>17897546.301228482</v>
      </c>
      <c r="S510" s="2">
        <f t="shared" si="134"/>
        <v>43012608.270195827</v>
      </c>
      <c r="T510" s="2">
        <f t="shared" si="135"/>
        <v>113983411.91601893</v>
      </c>
      <c r="U510">
        <f t="shared" si="146"/>
        <v>2615.7600000000002</v>
      </c>
      <c r="V510">
        <v>0.25</v>
      </c>
      <c r="W510">
        <v>0</v>
      </c>
      <c r="X510" t="s">
        <v>470</v>
      </c>
      <c r="Y510">
        <v>9</v>
      </c>
      <c r="AA510">
        <v>10</v>
      </c>
    </row>
    <row r="511" spans="1:31" x14ac:dyDescent="0.25">
      <c r="A511" t="s">
        <v>121</v>
      </c>
      <c r="B511" t="s">
        <v>122</v>
      </c>
      <c r="C511">
        <v>10</v>
      </c>
      <c r="D511">
        <v>7</v>
      </c>
      <c r="E511">
        <f t="shared" si="145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f t="shared" si="131"/>
        <v>39457.302658802262</v>
      </c>
      <c r="P511">
        <f t="shared" si="132"/>
        <v>1029.8267457946019</v>
      </c>
      <c r="Q511" s="2">
        <f t="shared" si="142"/>
        <v>2615.7599343182887</v>
      </c>
      <c r="R511" s="2">
        <f t="shared" si="133"/>
        <v>17897552.71148872</v>
      </c>
      <c r="S511" s="2">
        <f t="shared" si="134"/>
        <v>43012623.675771981</v>
      </c>
      <c r="T511" s="2">
        <f t="shared" si="135"/>
        <v>113983452.74079575</v>
      </c>
      <c r="U511">
        <f t="shared" si="146"/>
        <v>2615.7600000000002</v>
      </c>
      <c r="V511">
        <v>0.25</v>
      </c>
      <c r="W511">
        <v>0</v>
      </c>
      <c r="X511" t="s">
        <v>471</v>
      </c>
      <c r="Y511">
        <v>1</v>
      </c>
      <c r="AA511">
        <v>2</v>
      </c>
    </row>
    <row r="512" spans="1:31" x14ac:dyDescent="0.25">
      <c r="A512" t="s">
        <v>123</v>
      </c>
      <c r="B512" t="s">
        <v>124</v>
      </c>
      <c r="C512">
        <v>1</v>
      </c>
      <c r="D512">
        <v>2</v>
      </c>
      <c r="E512">
        <f t="shared" si="145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f t="shared" si="131"/>
        <v>0.34539732900927694</v>
      </c>
      <c r="P512">
        <f t="shared" si="132"/>
        <v>9.0276197853989171</v>
      </c>
      <c r="Q512">
        <f t="shared" ref="Q512:Q521" si="148">111*(1-EXP(-0.13*(E512-0.22)))</f>
        <v>22.930154254913251</v>
      </c>
      <c r="R512">
        <f t="shared" si="133"/>
        <v>156.66977937661682</v>
      </c>
      <c r="S512">
        <f t="shared" si="134"/>
        <v>376.51953707430141</v>
      </c>
      <c r="T512">
        <f t="shared" si="135"/>
        <v>997.77677324689876</v>
      </c>
      <c r="U512">
        <v>111</v>
      </c>
      <c r="V512">
        <v>0.13</v>
      </c>
      <c r="W512">
        <v>0.22</v>
      </c>
      <c r="Y512" t="s">
        <v>747</v>
      </c>
    </row>
    <row r="513" spans="1:25" x14ac:dyDescent="0.25">
      <c r="A513" t="s">
        <v>123</v>
      </c>
      <c r="B513" t="s">
        <v>124</v>
      </c>
      <c r="C513">
        <v>2</v>
      </c>
      <c r="D513">
        <v>2</v>
      </c>
      <c r="E513">
        <f t="shared" si="145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f t="shared" si="131"/>
        <v>2.4419520664382528</v>
      </c>
      <c r="P513">
        <f t="shared" si="132"/>
        <v>16.965986526289527</v>
      </c>
      <c r="Q513">
        <f t="shared" si="148"/>
        <v>43.093605776775398</v>
      </c>
      <c r="R513">
        <f t="shared" si="133"/>
        <v>1107.6521425180997</v>
      </c>
      <c r="S513">
        <f t="shared" si="134"/>
        <v>2661.9854422448925</v>
      </c>
      <c r="T513">
        <f t="shared" si="135"/>
        <v>7054.2614219489651</v>
      </c>
      <c r="U513">
        <v>111</v>
      </c>
      <c r="V513">
        <v>0.13</v>
      </c>
      <c r="W513">
        <v>0.22</v>
      </c>
    </row>
    <row r="514" spans="1:25" x14ac:dyDescent="0.25">
      <c r="A514" t="s">
        <v>123</v>
      </c>
      <c r="B514" t="s">
        <v>124</v>
      </c>
      <c r="C514">
        <v>3</v>
      </c>
      <c r="D514">
        <v>2</v>
      </c>
      <c r="E514">
        <f t="shared" si="145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f t="shared" ref="O514:O577" si="149">R514*0.00220462</f>
        <v>6.3456182847985039</v>
      </c>
      <c r="P514">
        <f t="shared" ref="P514:P577" si="150">Q514/2.54</f>
        <v>23.086876790543517</v>
      </c>
      <c r="Q514">
        <f t="shared" si="148"/>
        <v>58.640667047980536</v>
      </c>
      <c r="R514">
        <f t="shared" ref="R514:R577" si="151">L514*(Q514^M514)</f>
        <v>2878.327459969747</v>
      </c>
      <c r="S514">
        <f t="shared" ref="S514:S577" si="152">R514/20/5.7/3.65*1000</f>
        <v>6917.3935591678619</v>
      </c>
      <c r="T514">
        <f t="shared" ref="T514:T577" si="153">S514*2.65</f>
        <v>18331.092931794832</v>
      </c>
      <c r="U514">
        <v>111</v>
      </c>
      <c r="V514">
        <v>0.13</v>
      </c>
      <c r="W514">
        <v>0.22</v>
      </c>
    </row>
    <row r="515" spans="1:25" x14ac:dyDescent="0.25">
      <c r="A515" t="s">
        <v>123</v>
      </c>
      <c r="B515" t="s">
        <v>124</v>
      </c>
      <c r="C515">
        <v>4</v>
      </c>
      <c r="D515">
        <v>2</v>
      </c>
      <c r="E515">
        <f t="shared" si="145"/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f t="shared" si="149"/>
        <v>11.295113320542761</v>
      </c>
      <c r="P515">
        <f t="shared" si="150"/>
        <v>27.806398935326168</v>
      </c>
      <c r="Q515">
        <f t="shared" si="148"/>
        <v>70.62825329572847</v>
      </c>
      <c r="R515">
        <f t="shared" si="151"/>
        <v>5123.38331347024</v>
      </c>
      <c r="S515">
        <f t="shared" si="152"/>
        <v>12312.865449339677</v>
      </c>
      <c r="T515">
        <f t="shared" si="153"/>
        <v>32629.093440750145</v>
      </c>
      <c r="U515">
        <v>111</v>
      </c>
      <c r="V515">
        <v>0.13</v>
      </c>
      <c r="W515">
        <v>0.22</v>
      </c>
    </row>
    <row r="516" spans="1:25" x14ac:dyDescent="0.25">
      <c r="A516" t="s">
        <v>123</v>
      </c>
      <c r="B516" t="s">
        <v>124</v>
      </c>
      <c r="C516">
        <v>5</v>
      </c>
      <c r="D516">
        <v>2</v>
      </c>
      <c r="E516">
        <f t="shared" si="145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f t="shared" si="149"/>
        <v>16.537455725548487</v>
      </c>
      <c r="P516">
        <f t="shared" si="150"/>
        <v>31.445393969295882</v>
      </c>
      <c r="Q516">
        <f t="shared" si="148"/>
        <v>79.871300682011537</v>
      </c>
      <c r="R516">
        <f t="shared" si="151"/>
        <v>7501.2726572146157</v>
      </c>
      <c r="S516">
        <f t="shared" si="152"/>
        <v>18027.571875065165</v>
      </c>
      <c r="T516">
        <f t="shared" si="153"/>
        <v>47773.065468922687</v>
      </c>
      <c r="U516">
        <v>111</v>
      </c>
      <c r="V516">
        <v>0.13</v>
      </c>
      <c r="W516">
        <v>0.22</v>
      </c>
    </row>
    <row r="517" spans="1:25" x14ac:dyDescent="0.25">
      <c r="A517" t="s">
        <v>123</v>
      </c>
      <c r="B517" t="s">
        <v>124</v>
      </c>
      <c r="C517">
        <v>6</v>
      </c>
      <c r="D517">
        <v>2</v>
      </c>
      <c r="E517">
        <f t="shared" si="145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f t="shared" si="149"/>
        <v>21.554535391180867</v>
      </c>
      <c r="P517">
        <f t="shared" si="150"/>
        <v>34.25124686096953</v>
      </c>
      <c r="Q517">
        <f t="shared" si="148"/>
        <v>86.998167026862603</v>
      </c>
      <c r="R517">
        <f t="shared" si="151"/>
        <v>9776.9844196191934</v>
      </c>
      <c r="S517">
        <f t="shared" si="152"/>
        <v>23496.71814376158</v>
      </c>
      <c r="T517">
        <f t="shared" si="153"/>
        <v>62266.303080968188</v>
      </c>
      <c r="U517">
        <v>111</v>
      </c>
      <c r="V517">
        <v>0.13</v>
      </c>
      <c r="W517">
        <v>0.22</v>
      </c>
    </row>
    <row r="518" spans="1:25" x14ac:dyDescent="0.25">
      <c r="A518" t="s">
        <v>123</v>
      </c>
      <c r="B518" t="s">
        <v>124</v>
      </c>
      <c r="C518">
        <v>7</v>
      </c>
      <c r="D518">
        <v>2</v>
      </c>
      <c r="E518">
        <f t="shared" si="145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f t="shared" si="149"/>
        <v>26.061529933700164</v>
      </c>
      <c r="P518">
        <f t="shared" si="150"/>
        <v>36.414704182626018</v>
      </c>
      <c r="Q518">
        <f t="shared" si="148"/>
        <v>92.493348623870091</v>
      </c>
      <c r="R518">
        <f t="shared" si="151"/>
        <v>11821.325186971071</v>
      </c>
      <c r="S518">
        <f t="shared" si="152"/>
        <v>28409.817800939851</v>
      </c>
      <c r="T518">
        <f t="shared" si="153"/>
        <v>75286.017172490596</v>
      </c>
      <c r="U518">
        <v>111</v>
      </c>
      <c r="V518">
        <v>0.13</v>
      </c>
      <c r="W518">
        <v>0.22</v>
      </c>
    </row>
    <row r="519" spans="1:25" x14ac:dyDescent="0.25">
      <c r="A519" t="s">
        <v>123</v>
      </c>
      <c r="B519" t="s">
        <v>124</v>
      </c>
      <c r="C519">
        <v>8</v>
      </c>
      <c r="D519">
        <v>2</v>
      </c>
      <c r="E519">
        <f t="shared" si="145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f t="shared" si="149"/>
        <v>29.943518855926555</v>
      </c>
      <c r="P519">
        <f t="shared" si="150"/>
        <v>38.082841381307588</v>
      </c>
      <c r="Q519">
        <f t="shared" si="148"/>
        <v>96.73041710852128</v>
      </c>
      <c r="R519">
        <f t="shared" si="151"/>
        <v>13582.167836600664</v>
      </c>
      <c r="S519">
        <f t="shared" si="152"/>
        <v>32641.595377555062</v>
      </c>
      <c r="T519">
        <f t="shared" si="153"/>
        <v>86500.227750520906</v>
      </c>
      <c r="U519">
        <v>111</v>
      </c>
      <c r="V519">
        <v>0.13</v>
      </c>
      <c r="W519">
        <v>0.22</v>
      </c>
    </row>
    <row r="520" spans="1:25" x14ac:dyDescent="0.25">
      <c r="A520" t="s">
        <v>123</v>
      </c>
      <c r="B520" t="s">
        <v>124</v>
      </c>
      <c r="C520">
        <v>9</v>
      </c>
      <c r="D520">
        <v>2</v>
      </c>
      <c r="E520">
        <f t="shared" si="145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f t="shared" si="149"/>
        <v>33.191169266138274</v>
      </c>
      <c r="P520">
        <f t="shared" si="150"/>
        <v>39.369061213688937</v>
      </c>
      <c r="Q520">
        <f t="shared" si="148"/>
        <v>99.997415482769895</v>
      </c>
      <c r="R520">
        <f t="shared" si="151"/>
        <v>15055.279034998446</v>
      </c>
      <c r="S520">
        <f t="shared" si="152"/>
        <v>36181.877036766273</v>
      </c>
      <c r="T520">
        <f t="shared" si="153"/>
        <v>95881.974147430621</v>
      </c>
      <c r="U520">
        <v>111</v>
      </c>
      <c r="V520">
        <v>0.13</v>
      </c>
      <c r="W520">
        <v>0.22</v>
      </c>
    </row>
    <row r="521" spans="1:25" x14ac:dyDescent="0.25">
      <c r="A521" t="s">
        <v>123</v>
      </c>
      <c r="B521" t="s">
        <v>124</v>
      </c>
      <c r="C521">
        <v>10</v>
      </c>
      <c r="D521">
        <v>2</v>
      </c>
      <c r="E521">
        <f t="shared" si="145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f t="shared" si="149"/>
        <v>35.852318504040518</v>
      </c>
      <c r="P521">
        <f t="shared" si="150"/>
        <v>40.360803055138561</v>
      </c>
      <c r="Q521">
        <f t="shared" si="148"/>
        <v>102.51643976005195</v>
      </c>
      <c r="R521">
        <f t="shared" si="151"/>
        <v>16262.357460260959</v>
      </c>
      <c r="S521">
        <f t="shared" si="152"/>
        <v>39082.810526942943</v>
      </c>
      <c r="T521">
        <f t="shared" si="153"/>
        <v>103569.44789639879</v>
      </c>
      <c r="U521">
        <v>111</v>
      </c>
      <c r="V521">
        <v>0.13</v>
      </c>
      <c r="W521">
        <v>0.22</v>
      </c>
    </row>
    <row r="522" spans="1:25" x14ac:dyDescent="0.25">
      <c r="A522" t="s">
        <v>125</v>
      </c>
      <c r="B522" t="s">
        <v>126</v>
      </c>
      <c r="C522">
        <v>1</v>
      </c>
      <c r="D522">
        <v>1</v>
      </c>
      <c r="E522">
        <f t="shared" si="145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f t="shared" si="149"/>
        <v>5.5493212288959877E-2</v>
      </c>
      <c r="P522">
        <f t="shared" si="150"/>
        <v>5.0953193492557105</v>
      </c>
      <c r="Q522">
        <f t="shared" ref="Q522:Q531" si="154">136*(1-EXP(-0.1*(E522)))</f>
        <v>12.942111147109506</v>
      </c>
      <c r="R522">
        <f t="shared" si="151"/>
        <v>25.171327616078905</v>
      </c>
      <c r="S522">
        <f t="shared" si="152"/>
        <v>60.493457380627028</v>
      </c>
      <c r="T522">
        <f t="shared" si="153"/>
        <v>160.30766205866161</v>
      </c>
      <c r="U522">
        <v>136</v>
      </c>
      <c r="V522">
        <v>0.1</v>
      </c>
      <c r="W522">
        <v>0</v>
      </c>
      <c r="Y522" t="s">
        <v>728</v>
      </c>
    </row>
    <row r="523" spans="1:25" x14ac:dyDescent="0.25">
      <c r="A523" t="s">
        <v>125</v>
      </c>
      <c r="B523" t="s">
        <v>126</v>
      </c>
      <c r="C523">
        <v>2</v>
      </c>
      <c r="D523">
        <v>1</v>
      </c>
      <c r="E523">
        <f t="shared" si="145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f t="shared" si="149"/>
        <v>0.35960673313758373</v>
      </c>
      <c r="P523">
        <f t="shared" si="150"/>
        <v>9.7057549533049112</v>
      </c>
      <c r="Q523">
        <f t="shared" si="154"/>
        <v>24.652617581394473</v>
      </c>
      <c r="R523">
        <f t="shared" si="151"/>
        <v>163.11506433652227</v>
      </c>
      <c r="S523">
        <f t="shared" si="152"/>
        <v>392.00928703802515</v>
      </c>
      <c r="T523">
        <f t="shared" si="153"/>
        <v>1038.8246106507665</v>
      </c>
      <c r="U523">
        <v>136</v>
      </c>
      <c r="V523">
        <v>0.1</v>
      </c>
      <c r="W523">
        <v>0</v>
      </c>
    </row>
    <row r="524" spans="1:25" x14ac:dyDescent="0.25">
      <c r="A524" t="s">
        <v>125</v>
      </c>
      <c r="B524" t="s">
        <v>126</v>
      </c>
      <c r="C524">
        <v>3</v>
      </c>
      <c r="D524">
        <v>1</v>
      </c>
      <c r="E524">
        <f t="shared" si="145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f t="shared" si="149"/>
        <v>1.0142401313462461</v>
      </c>
      <c r="P524">
        <f t="shared" si="150"/>
        <v>13.877449601293845</v>
      </c>
      <c r="Q524">
        <f t="shared" si="154"/>
        <v>35.248721987286366</v>
      </c>
      <c r="R524">
        <f t="shared" si="151"/>
        <v>460.05213204372916</v>
      </c>
      <c r="S524">
        <f t="shared" si="152"/>
        <v>1105.6287720349176</v>
      </c>
      <c r="T524">
        <f t="shared" si="153"/>
        <v>2929.9162458925316</v>
      </c>
      <c r="U524">
        <v>136</v>
      </c>
      <c r="V524">
        <v>0.1</v>
      </c>
      <c r="W524">
        <v>0</v>
      </c>
    </row>
    <row r="525" spans="1:25" x14ac:dyDescent="0.25">
      <c r="A525" t="s">
        <v>125</v>
      </c>
      <c r="B525" t="s">
        <v>126</v>
      </c>
      <c r="C525">
        <v>4</v>
      </c>
      <c r="D525">
        <v>1</v>
      </c>
      <c r="E525">
        <f t="shared" si="145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f t="shared" si="149"/>
        <v>2.0377748823399293</v>
      </c>
      <c r="P525">
        <f t="shared" si="150"/>
        <v>17.652155015414586</v>
      </c>
      <c r="Q525">
        <f t="shared" si="154"/>
        <v>44.83647373915305</v>
      </c>
      <c r="R525">
        <f t="shared" si="151"/>
        <v>924.32023765543681</v>
      </c>
      <c r="S525">
        <f t="shared" si="152"/>
        <v>2221.3896603110716</v>
      </c>
      <c r="T525">
        <f t="shared" si="153"/>
        <v>5886.6825998243394</v>
      </c>
      <c r="U525">
        <v>136</v>
      </c>
      <c r="V525">
        <v>0.1</v>
      </c>
      <c r="W525">
        <v>0</v>
      </c>
    </row>
    <row r="526" spans="1:25" x14ac:dyDescent="0.25">
      <c r="A526" t="s">
        <v>125</v>
      </c>
      <c r="B526" t="s">
        <v>126</v>
      </c>
      <c r="C526">
        <v>5</v>
      </c>
      <c r="D526">
        <v>1</v>
      </c>
      <c r="E526">
        <f t="shared" si="145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f t="shared" si="149"/>
        <v>3.4035288637362187</v>
      </c>
      <c r="P526">
        <f t="shared" si="150"/>
        <v>21.06764971617396</v>
      </c>
      <c r="Q526">
        <f t="shared" si="154"/>
        <v>53.511830279081856</v>
      </c>
      <c r="R526">
        <f t="shared" si="151"/>
        <v>1543.8165596502884</v>
      </c>
      <c r="S526">
        <f t="shared" si="152"/>
        <v>3710.2056228077104</v>
      </c>
      <c r="T526">
        <f t="shared" si="153"/>
        <v>9832.0449004404327</v>
      </c>
      <c r="U526">
        <v>136</v>
      </c>
      <c r="V526">
        <v>0.1</v>
      </c>
      <c r="W526">
        <v>0</v>
      </c>
    </row>
    <row r="527" spans="1:25" x14ac:dyDescent="0.25">
      <c r="A527" t="s">
        <v>125</v>
      </c>
      <c r="B527" t="s">
        <v>126</v>
      </c>
      <c r="C527">
        <v>6</v>
      </c>
      <c r="D527">
        <v>1</v>
      </c>
      <c r="E527">
        <f t="shared" si="145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f t="shared" si="149"/>
        <v>5.0620417105033466</v>
      </c>
      <c r="P527">
        <f t="shared" si="150"/>
        <v>24.158117122524573</v>
      </c>
      <c r="Q527">
        <f t="shared" si="154"/>
        <v>61.361617491212414</v>
      </c>
      <c r="R527">
        <f t="shared" si="151"/>
        <v>2296.1062271517753</v>
      </c>
      <c r="S527">
        <f t="shared" si="152"/>
        <v>5518.1596422777584</v>
      </c>
      <c r="T527">
        <f t="shared" si="153"/>
        <v>14623.123052036059</v>
      </c>
      <c r="U527">
        <v>136</v>
      </c>
      <c r="V527">
        <v>0.1</v>
      </c>
      <c r="W527">
        <v>0</v>
      </c>
    </row>
    <row r="528" spans="1:25" x14ac:dyDescent="0.25">
      <c r="A528" t="s">
        <v>125</v>
      </c>
      <c r="B528" t="s">
        <v>126</v>
      </c>
      <c r="C528">
        <v>7</v>
      </c>
      <c r="D528">
        <v>1</v>
      </c>
      <c r="E528">
        <f t="shared" si="145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f t="shared" si="149"/>
        <v>6.9546121770560472</v>
      </c>
      <c r="P528">
        <f t="shared" si="150"/>
        <v>26.954487671011147</v>
      </c>
      <c r="Q528">
        <f t="shared" si="154"/>
        <v>68.464398684368319</v>
      </c>
      <c r="R528">
        <f t="shared" si="151"/>
        <v>3154.5627713873805</v>
      </c>
      <c r="S528">
        <f t="shared" si="152"/>
        <v>7581.2611665161767</v>
      </c>
      <c r="T528">
        <f t="shared" si="153"/>
        <v>20090.342091267867</v>
      </c>
      <c r="U528">
        <v>136</v>
      </c>
      <c r="V528">
        <v>0.1</v>
      </c>
      <c r="W528">
        <v>0</v>
      </c>
    </row>
    <row r="529" spans="1:25" x14ac:dyDescent="0.25">
      <c r="A529" t="s">
        <v>125</v>
      </c>
      <c r="B529" t="s">
        <v>126</v>
      </c>
      <c r="C529">
        <v>8</v>
      </c>
      <c r="D529">
        <v>1</v>
      </c>
      <c r="E529">
        <f t="shared" si="145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f t="shared" si="149"/>
        <v>9.0214285789135484</v>
      </c>
      <c r="P529">
        <f t="shared" si="150"/>
        <v>29.484748377975539</v>
      </c>
      <c r="Q529">
        <f t="shared" si="154"/>
        <v>74.891260880057871</v>
      </c>
      <c r="R529">
        <f t="shared" si="151"/>
        <v>4092.0560363752252</v>
      </c>
      <c r="S529">
        <f t="shared" si="152"/>
        <v>9834.3091477414673</v>
      </c>
      <c r="T529">
        <f t="shared" si="153"/>
        <v>26060.919241514886</v>
      </c>
      <c r="U529">
        <v>136</v>
      </c>
      <c r="V529">
        <v>0.1</v>
      </c>
      <c r="W529">
        <v>0</v>
      </c>
    </row>
    <row r="530" spans="1:25" x14ac:dyDescent="0.25">
      <c r="A530" t="s">
        <v>125</v>
      </c>
      <c r="B530" t="s">
        <v>126</v>
      </c>
      <c r="C530">
        <v>9</v>
      </c>
      <c r="D530">
        <v>1</v>
      </c>
      <c r="E530">
        <f t="shared" si="145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f t="shared" si="149"/>
        <v>11.206244704065377</v>
      </c>
      <c r="P530">
        <f t="shared" si="150"/>
        <v>31.774222943023037</v>
      </c>
      <c r="Q530">
        <f t="shared" si="154"/>
        <v>80.70652627527852</v>
      </c>
      <c r="R530">
        <f t="shared" si="151"/>
        <v>5083.0731391647432</v>
      </c>
      <c r="S530">
        <f t="shared" si="152"/>
        <v>12215.989279415388</v>
      </c>
      <c r="T530">
        <f t="shared" si="153"/>
        <v>32372.371590450777</v>
      </c>
      <c r="U530">
        <v>136</v>
      </c>
      <c r="V530">
        <v>0.1</v>
      </c>
      <c r="W530">
        <v>0</v>
      </c>
    </row>
    <row r="531" spans="1:25" x14ac:dyDescent="0.25">
      <c r="A531" t="s">
        <v>125</v>
      </c>
      <c r="B531" t="s">
        <v>126</v>
      </c>
      <c r="C531">
        <v>10</v>
      </c>
      <c r="D531">
        <v>1</v>
      </c>
      <c r="E531">
        <f t="shared" si="145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f t="shared" si="149"/>
        <v>13.458838780245086</v>
      </c>
      <c r="P531">
        <f t="shared" si="150"/>
        <v>33.845825197119623</v>
      </c>
      <c r="Q531">
        <f t="shared" si="154"/>
        <v>85.968396000683839</v>
      </c>
      <c r="R531">
        <f t="shared" si="151"/>
        <v>6104.8338399565846</v>
      </c>
      <c r="S531">
        <f t="shared" si="152"/>
        <v>14671.554530056677</v>
      </c>
      <c r="T531">
        <f t="shared" si="153"/>
        <v>38879.619504650196</v>
      </c>
      <c r="U531">
        <v>136</v>
      </c>
      <c r="V531">
        <v>0.1</v>
      </c>
      <c r="W531">
        <v>0</v>
      </c>
    </row>
    <row r="532" spans="1:25" x14ac:dyDescent="0.25">
      <c r="A532" t="s">
        <v>127</v>
      </c>
      <c r="B532" t="s">
        <v>128</v>
      </c>
      <c r="C532">
        <v>1</v>
      </c>
      <c r="D532">
        <v>2</v>
      </c>
      <c r="E532">
        <f t="shared" si="145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f t="shared" si="149"/>
        <v>0.77275059917875455</v>
      </c>
      <c r="P532">
        <f t="shared" si="150"/>
        <v>11.517515551485086</v>
      </c>
      <c r="Q532">
        <f t="shared" ref="Q532:Q541" si="155">62.2*(1-EXP(-0.31*(E532+0.05)))</f>
        <v>29.25448950077212</v>
      </c>
      <c r="R532">
        <f t="shared" si="151"/>
        <v>350.51419254962514</v>
      </c>
      <c r="S532">
        <f t="shared" si="152"/>
        <v>842.37969850907257</v>
      </c>
      <c r="T532">
        <f t="shared" si="153"/>
        <v>2232.3062010490421</v>
      </c>
      <c r="U532">
        <v>62.2</v>
      </c>
      <c r="V532">
        <v>0.31</v>
      </c>
      <c r="W532">
        <v>-0.05</v>
      </c>
      <c r="Y532" t="s">
        <v>748</v>
      </c>
    </row>
    <row r="533" spans="1:25" x14ac:dyDescent="0.25">
      <c r="A533" t="s">
        <v>127</v>
      </c>
      <c r="B533" t="s">
        <v>128</v>
      </c>
      <c r="C533">
        <v>2</v>
      </c>
      <c r="D533">
        <v>2</v>
      </c>
      <c r="E533">
        <f t="shared" si="145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f t="shared" si="149"/>
        <v>2.7156419601989099</v>
      </c>
      <c r="P533">
        <f t="shared" si="150"/>
        <v>17.510687355599771</v>
      </c>
      <c r="Q533">
        <f t="shared" si="155"/>
        <v>44.477145883223415</v>
      </c>
      <c r="R533">
        <f t="shared" si="151"/>
        <v>1231.7959377121272</v>
      </c>
      <c r="S533">
        <f t="shared" si="152"/>
        <v>2960.3363078878328</v>
      </c>
      <c r="T533">
        <f t="shared" si="153"/>
        <v>7844.8912159027568</v>
      </c>
      <c r="U533">
        <v>62.2</v>
      </c>
      <c r="V533">
        <v>0.31</v>
      </c>
      <c r="W533">
        <v>-0.05</v>
      </c>
    </row>
    <row r="534" spans="1:25" x14ac:dyDescent="0.25">
      <c r="A534" t="s">
        <v>127</v>
      </c>
      <c r="B534" t="s">
        <v>128</v>
      </c>
      <c r="C534">
        <v>3</v>
      </c>
      <c r="D534">
        <v>2</v>
      </c>
      <c r="E534">
        <f t="shared" si="145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f t="shared" si="149"/>
        <v>4.5087379013840909</v>
      </c>
      <c r="P534">
        <f t="shared" si="150"/>
        <v>20.734680791172504</v>
      </c>
      <c r="Q534">
        <f t="shared" si="155"/>
        <v>52.666089209578161</v>
      </c>
      <c r="R534">
        <f t="shared" si="151"/>
        <v>2045.1315425715502</v>
      </c>
      <c r="S534">
        <f t="shared" si="152"/>
        <v>4915.0001023108625</v>
      </c>
      <c r="T534">
        <f t="shared" si="153"/>
        <v>13024.750271123785</v>
      </c>
      <c r="U534">
        <v>62.2</v>
      </c>
      <c r="V534">
        <v>0.31</v>
      </c>
      <c r="W534">
        <v>-0.05</v>
      </c>
    </row>
    <row r="535" spans="1:25" x14ac:dyDescent="0.25">
      <c r="A535" t="s">
        <v>127</v>
      </c>
      <c r="B535" t="s">
        <v>128</v>
      </c>
      <c r="C535">
        <v>4</v>
      </c>
      <c r="D535">
        <v>2</v>
      </c>
      <c r="E535">
        <f t="shared" si="145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f t="shared" si="149"/>
        <v>5.7373949712100849</v>
      </c>
      <c r="P535">
        <f t="shared" si="150"/>
        <v>22.469010126680601</v>
      </c>
      <c r="Q535">
        <f t="shared" si="155"/>
        <v>57.071285721768724</v>
      </c>
      <c r="R535">
        <f t="shared" si="151"/>
        <v>2602.4416775725908</v>
      </c>
      <c r="S535">
        <f t="shared" si="152"/>
        <v>6254.3659638851022</v>
      </c>
      <c r="T535">
        <f t="shared" si="153"/>
        <v>16574.069804295519</v>
      </c>
      <c r="U535">
        <v>62.2</v>
      </c>
      <c r="V535">
        <v>0.31</v>
      </c>
      <c r="W535">
        <v>-0.05</v>
      </c>
    </row>
    <row r="536" spans="1:25" x14ac:dyDescent="0.25">
      <c r="A536" t="s">
        <v>127</v>
      </c>
      <c r="B536" t="s">
        <v>128</v>
      </c>
      <c r="C536">
        <v>5</v>
      </c>
      <c r="D536">
        <v>2</v>
      </c>
      <c r="E536">
        <f t="shared" si="145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f t="shared" si="149"/>
        <v>6.482177276008799</v>
      </c>
      <c r="P536">
        <f t="shared" si="150"/>
        <v>23.401982945674451</v>
      </c>
      <c r="Q536">
        <f t="shared" si="155"/>
        <v>59.441036682013106</v>
      </c>
      <c r="R536">
        <f t="shared" si="151"/>
        <v>2940.2696501024207</v>
      </c>
      <c r="S536">
        <f t="shared" si="152"/>
        <v>7066.257270133191</v>
      </c>
      <c r="T536">
        <f t="shared" si="153"/>
        <v>18725.581765852956</v>
      </c>
      <c r="U536">
        <v>62.2</v>
      </c>
      <c r="V536">
        <v>0.31</v>
      </c>
      <c r="W536">
        <v>-0.05</v>
      </c>
    </row>
    <row r="537" spans="1:25" x14ac:dyDescent="0.25">
      <c r="A537" t="s">
        <v>127</v>
      </c>
      <c r="B537" t="s">
        <v>128</v>
      </c>
      <c r="C537">
        <v>6</v>
      </c>
      <c r="D537">
        <v>2</v>
      </c>
      <c r="E537">
        <f t="shared" si="145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f t="shared" si="149"/>
        <v>6.9082430636609002</v>
      </c>
      <c r="P537">
        <f t="shared" si="150"/>
        <v>23.903870484079214</v>
      </c>
      <c r="Q537">
        <f t="shared" si="155"/>
        <v>60.715831029561201</v>
      </c>
      <c r="R537">
        <f t="shared" si="151"/>
        <v>3133.5300703345247</v>
      </c>
      <c r="S537">
        <f t="shared" si="152"/>
        <v>7530.7139397609344</v>
      </c>
      <c r="T537">
        <f t="shared" si="153"/>
        <v>19956.391940366477</v>
      </c>
      <c r="U537">
        <v>62.2</v>
      </c>
      <c r="V537">
        <v>0.31</v>
      </c>
      <c r="W537">
        <v>-0.05</v>
      </c>
    </row>
    <row r="538" spans="1:25" x14ac:dyDescent="0.25">
      <c r="A538" t="s">
        <v>127</v>
      </c>
      <c r="B538" t="s">
        <v>128</v>
      </c>
      <c r="C538">
        <v>7</v>
      </c>
      <c r="D538">
        <v>2</v>
      </c>
      <c r="E538">
        <f t="shared" si="145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f t="shared" si="149"/>
        <v>7.1449769749297847</v>
      </c>
      <c r="P538">
        <f t="shared" si="150"/>
        <v>24.173858093662137</v>
      </c>
      <c r="Q538">
        <f t="shared" si="155"/>
        <v>61.401599557901832</v>
      </c>
      <c r="R538">
        <f t="shared" si="151"/>
        <v>3240.9108939090565</v>
      </c>
      <c r="S538">
        <f t="shared" si="152"/>
        <v>7788.7788846648809</v>
      </c>
      <c r="T538">
        <f t="shared" si="153"/>
        <v>20640.264044361935</v>
      </c>
      <c r="U538">
        <v>62.2</v>
      </c>
      <c r="V538">
        <v>0.31</v>
      </c>
      <c r="W538">
        <v>-0.05</v>
      </c>
    </row>
    <row r="539" spans="1:25" x14ac:dyDescent="0.25">
      <c r="A539" t="s">
        <v>127</v>
      </c>
      <c r="B539" t="s">
        <v>128</v>
      </c>
      <c r="C539">
        <v>8</v>
      </c>
      <c r="D539">
        <v>2</v>
      </c>
      <c r="E539">
        <f t="shared" si="145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f t="shared" si="149"/>
        <v>7.2745349154031826</v>
      </c>
      <c r="P539">
        <f t="shared" si="150"/>
        <v>24.319096426456756</v>
      </c>
      <c r="Q539">
        <f t="shared" si="155"/>
        <v>61.770504923200164</v>
      </c>
      <c r="R539">
        <f t="shared" si="151"/>
        <v>3299.6774570688749</v>
      </c>
      <c r="S539">
        <f t="shared" si="152"/>
        <v>7930.0107115329847</v>
      </c>
      <c r="T539">
        <f t="shared" si="153"/>
        <v>21014.528385562407</v>
      </c>
      <c r="U539">
        <v>62.2</v>
      </c>
      <c r="V539">
        <v>0.31</v>
      </c>
      <c r="W539">
        <v>-0.05</v>
      </c>
    </row>
    <row r="540" spans="1:25" x14ac:dyDescent="0.25">
      <c r="A540" t="s">
        <v>127</v>
      </c>
      <c r="B540" t="s">
        <v>128</v>
      </c>
      <c r="C540">
        <v>9</v>
      </c>
      <c r="D540">
        <v>2</v>
      </c>
      <c r="E540">
        <f t="shared" si="145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f t="shared" si="149"/>
        <v>7.344873276202005</v>
      </c>
      <c r="P540">
        <f t="shared" si="150"/>
        <v>24.397226579709145</v>
      </c>
      <c r="Q540">
        <f t="shared" si="155"/>
        <v>61.968955512461228</v>
      </c>
      <c r="R540">
        <f t="shared" si="151"/>
        <v>3331.5824387885464</v>
      </c>
      <c r="S540">
        <f t="shared" si="152"/>
        <v>8006.686947340896</v>
      </c>
      <c r="T540">
        <f t="shared" si="153"/>
        <v>21217.720410453374</v>
      </c>
      <c r="U540">
        <v>62.2</v>
      </c>
      <c r="V540">
        <v>0.31</v>
      </c>
      <c r="W540">
        <v>-0.05</v>
      </c>
    </row>
    <row r="541" spans="1:25" x14ac:dyDescent="0.25">
      <c r="A541" t="s">
        <v>127</v>
      </c>
      <c r="B541" t="s">
        <v>128</v>
      </c>
      <c r="C541">
        <v>10</v>
      </c>
      <c r="D541">
        <v>2</v>
      </c>
      <c r="E541">
        <f t="shared" si="145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f t="shared" si="149"/>
        <v>7.3828982702121877</v>
      </c>
      <c r="P541">
        <f t="shared" si="150"/>
        <v>24.43925626105969</v>
      </c>
      <c r="Q541">
        <f t="shared" si="155"/>
        <v>62.075710903091611</v>
      </c>
      <c r="R541">
        <f t="shared" si="151"/>
        <v>3348.8303064528977</v>
      </c>
      <c r="S541">
        <f t="shared" si="152"/>
        <v>8048.1382034436365</v>
      </c>
      <c r="T541">
        <f t="shared" si="153"/>
        <v>21327.566239125637</v>
      </c>
      <c r="U541">
        <v>62.2</v>
      </c>
      <c r="V541">
        <v>0.31</v>
      </c>
      <c r="W541">
        <v>-0.05</v>
      </c>
    </row>
    <row r="542" spans="1:25" x14ac:dyDescent="0.25">
      <c r="A542" t="s">
        <v>129</v>
      </c>
      <c r="B542" t="s">
        <v>130</v>
      </c>
      <c r="C542">
        <v>1</v>
      </c>
      <c r="D542">
        <v>2</v>
      </c>
      <c r="E542">
        <f t="shared" si="145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f t="shared" si="149"/>
        <v>4.4702735380298265E-2</v>
      </c>
      <c r="P542">
        <f t="shared" si="150"/>
        <v>5.1260281366992722</v>
      </c>
      <c r="Q542">
        <f t="shared" ref="Q542:Q551" si="156">158*(1-EXP(-0.043*(E542)))</f>
        <v>13.020111467216152</v>
      </c>
      <c r="R542">
        <f t="shared" si="151"/>
        <v>20.276843800880997</v>
      </c>
      <c r="S542">
        <f t="shared" si="152"/>
        <v>48.730698872581094</v>
      </c>
      <c r="T542">
        <f t="shared" si="153"/>
        <v>129.1363520123399</v>
      </c>
      <c r="U542">
        <v>158</v>
      </c>
      <c r="V542">
        <v>4.2999999999999997E-2</v>
      </c>
      <c r="W542">
        <v>0</v>
      </c>
      <c r="Y542" t="s">
        <v>749</v>
      </c>
    </row>
    <row r="543" spans="1:25" x14ac:dyDescent="0.25">
      <c r="A543" t="s">
        <v>129</v>
      </c>
      <c r="B543" t="s">
        <v>130</v>
      </c>
      <c r="C543">
        <v>2</v>
      </c>
      <c r="D543">
        <v>2</v>
      </c>
      <c r="E543">
        <f t="shared" si="145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f t="shared" si="149"/>
        <v>0.2915234107370489</v>
      </c>
      <c r="P543">
        <f t="shared" si="150"/>
        <v>9.8296419840066989</v>
      </c>
      <c r="Q543">
        <f t="shared" si="156"/>
        <v>24.967290639377016</v>
      </c>
      <c r="R543">
        <f t="shared" si="151"/>
        <v>132.23295204481903</v>
      </c>
      <c r="S543">
        <f t="shared" si="152"/>
        <v>317.79128104979344</v>
      </c>
      <c r="T543">
        <f t="shared" si="153"/>
        <v>842.1468947819526</v>
      </c>
      <c r="U543">
        <v>158</v>
      </c>
      <c r="V543">
        <v>4.2999999999999997E-2</v>
      </c>
      <c r="W543">
        <v>0</v>
      </c>
    </row>
    <row r="544" spans="1:25" x14ac:dyDescent="0.25">
      <c r="A544" t="s">
        <v>129</v>
      </c>
      <c r="B544" t="s">
        <v>130</v>
      </c>
      <c r="C544">
        <v>3</v>
      </c>
      <c r="D544">
        <v>2</v>
      </c>
      <c r="E544">
        <f t="shared" si="145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f t="shared" si="149"/>
        <v>0.83168509193668805</v>
      </c>
      <c r="P544">
        <f t="shared" si="150"/>
        <v>14.145650916183214</v>
      </c>
      <c r="Q544">
        <f t="shared" si="156"/>
        <v>35.929953327105366</v>
      </c>
      <c r="R544">
        <f t="shared" si="151"/>
        <v>377.24646058580981</v>
      </c>
      <c r="S544">
        <f t="shared" si="152"/>
        <v>906.624514745998</v>
      </c>
      <c r="T544">
        <f t="shared" si="153"/>
        <v>2402.5549640768945</v>
      </c>
      <c r="U544">
        <v>158</v>
      </c>
      <c r="V544">
        <v>4.2999999999999997E-2</v>
      </c>
      <c r="W544">
        <v>0</v>
      </c>
    </row>
    <row r="545" spans="1:25" x14ac:dyDescent="0.25">
      <c r="A545" t="s">
        <v>129</v>
      </c>
      <c r="B545" t="s">
        <v>130</v>
      </c>
      <c r="C545">
        <v>4</v>
      </c>
      <c r="D545">
        <v>2</v>
      </c>
      <c r="E545">
        <f t="shared" si="145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f t="shared" si="149"/>
        <v>1.6931421322324676</v>
      </c>
      <c r="P545">
        <f t="shared" si="150"/>
        <v>18.105995814243027</v>
      </c>
      <c r="Q545">
        <f t="shared" si="156"/>
        <v>45.989229368177291</v>
      </c>
      <c r="R545">
        <f t="shared" si="151"/>
        <v>767.99726584738755</v>
      </c>
      <c r="S545">
        <f t="shared" si="152"/>
        <v>1845.703594922825</v>
      </c>
      <c r="T545">
        <f t="shared" si="153"/>
        <v>4891.1145265454861</v>
      </c>
      <c r="U545">
        <v>158</v>
      </c>
      <c r="V545">
        <v>4.2999999999999997E-2</v>
      </c>
      <c r="W545">
        <v>0</v>
      </c>
    </row>
    <row r="546" spans="1:25" x14ac:dyDescent="0.25">
      <c r="A546" t="s">
        <v>129</v>
      </c>
      <c r="B546" t="s">
        <v>130</v>
      </c>
      <c r="C546">
        <v>5</v>
      </c>
      <c r="D546">
        <v>2</v>
      </c>
      <c r="E546">
        <f t="shared" si="145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f t="shared" si="149"/>
        <v>2.8672891874892144</v>
      </c>
      <c r="P546">
        <f t="shared" si="150"/>
        <v>21.739985446344871</v>
      </c>
      <c r="Q546">
        <f t="shared" si="156"/>
        <v>55.219563033715971</v>
      </c>
      <c r="R546">
        <f t="shared" si="151"/>
        <v>1300.5820447465842</v>
      </c>
      <c r="S546">
        <f t="shared" si="152"/>
        <v>3125.6477883840048</v>
      </c>
      <c r="T546">
        <f t="shared" si="153"/>
        <v>8282.9666392176132</v>
      </c>
      <c r="U546">
        <v>158</v>
      </c>
      <c r="V546">
        <v>4.2999999999999997E-2</v>
      </c>
      <c r="W546">
        <v>0</v>
      </c>
    </row>
    <row r="547" spans="1:25" x14ac:dyDescent="0.25">
      <c r="A547" t="s">
        <v>129</v>
      </c>
      <c r="B547" t="s">
        <v>130</v>
      </c>
      <c r="C547">
        <v>6</v>
      </c>
      <c r="D547">
        <v>2</v>
      </c>
      <c r="E547">
        <f t="shared" si="145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f t="shared" si="149"/>
        <v>4.3246851796066172</v>
      </c>
      <c r="P547">
        <f t="shared" si="150"/>
        <v>25.074513369075369</v>
      </c>
      <c r="Q547">
        <f t="shared" si="156"/>
        <v>63.689263957451438</v>
      </c>
      <c r="R547">
        <f t="shared" si="151"/>
        <v>1961.6465330109577</v>
      </c>
      <c r="S547">
        <f t="shared" si="152"/>
        <v>4714.3632131962449</v>
      </c>
      <c r="T547">
        <f t="shared" si="153"/>
        <v>12493.062514970048</v>
      </c>
      <c r="U547">
        <v>158</v>
      </c>
      <c r="V547">
        <v>4.2999999999999997E-2</v>
      </c>
      <c r="W547">
        <v>0</v>
      </c>
    </row>
    <row r="548" spans="1:25" x14ac:dyDescent="0.25">
      <c r="A548" t="s">
        <v>129</v>
      </c>
      <c r="B548" t="s">
        <v>130</v>
      </c>
      <c r="C548">
        <v>7</v>
      </c>
      <c r="D548">
        <v>2</v>
      </c>
      <c r="E548">
        <f t="shared" si="145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f t="shared" si="149"/>
        <v>6.0250819002095559</v>
      </c>
      <c r="P548">
        <f t="shared" si="150"/>
        <v>28.134256954815374</v>
      </c>
      <c r="Q548">
        <f t="shared" si="156"/>
        <v>71.461012665231053</v>
      </c>
      <c r="R548">
        <f t="shared" si="151"/>
        <v>2732.9344287040649</v>
      </c>
      <c r="S548">
        <f t="shared" si="152"/>
        <v>6567.9750749917439</v>
      </c>
      <c r="T548">
        <f t="shared" si="153"/>
        <v>17405.133948728122</v>
      </c>
      <c r="U548">
        <v>158</v>
      </c>
      <c r="V548">
        <v>4.2999999999999997E-2</v>
      </c>
      <c r="W548">
        <v>0</v>
      </c>
    </row>
    <row r="549" spans="1:25" x14ac:dyDescent="0.25">
      <c r="A549" t="s">
        <v>129</v>
      </c>
      <c r="B549" t="s">
        <v>130</v>
      </c>
      <c r="C549">
        <v>8</v>
      </c>
      <c r="D549">
        <v>2</v>
      </c>
      <c r="E549">
        <f t="shared" si="145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f t="shared" si="149"/>
        <v>7.9238918771271942</v>
      </c>
      <c r="P549">
        <f t="shared" si="150"/>
        <v>30.941860018103274</v>
      </c>
      <c r="Q549">
        <f t="shared" si="156"/>
        <v>78.592324445982314</v>
      </c>
      <c r="R549">
        <f t="shared" si="151"/>
        <v>3594.2211705995564</v>
      </c>
      <c r="S549">
        <f t="shared" si="152"/>
        <v>8637.8783239595214</v>
      </c>
      <c r="T549">
        <f t="shared" si="153"/>
        <v>22890.377558492732</v>
      </c>
      <c r="U549">
        <v>158</v>
      </c>
      <c r="V549">
        <v>4.2999999999999997E-2</v>
      </c>
      <c r="W549">
        <v>0</v>
      </c>
    </row>
    <row r="550" spans="1:25" x14ac:dyDescent="0.25">
      <c r="A550" t="s">
        <v>129</v>
      </c>
      <c r="B550" t="s">
        <v>130</v>
      </c>
      <c r="C550">
        <v>9</v>
      </c>
      <c r="D550">
        <v>2</v>
      </c>
      <c r="E550">
        <f t="shared" si="145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f t="shared" si="149"/>
        <v>9.9763005497434492</v>
      </c>
      <c r="P550">
        <f t="shared" si="150"/>
        <v>33.518100392532268</v>
      </c>
      <c r="Q550">
        <f t="shared" si="156"/>
        <v>85.135974997031965</v>
      </c>
      <c r="R550">
        <f t="shared" si="151"/>
        <v>4525.1791917625033</v>
      </c>
      <c r="S550">
        <f t="shared" si="152"/>
        <v>10875.220359919498</v>
      </c>
      <c r="T550">
        <f t="shared" si="153"/>
        <v>28819.33395378667</v>
      </c>
      <c r="U550">
        <v>158</v>
      </c>
      <c r="V550">
        <v>4.2999999999999997E-2</v>
      </c>
      <c r="W550">
        <v>0</v>
      </c>
    </row>
    <row r="551" spans="1:25" x14ac:dyDescent="0.25">
      <c r="A551" t="s">
        <v>129</v>
      </c>
      <c r="B551" t="s">
        <v>130</v>
      </c>
      <c r="C551">
        <v>10</v>
      </c>
      <c r="D551">
        <v>2</v>
      </c>
      <c r="E551">
        <f t="shared" si="145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f t="shared" si="149"/>
        <v>12.139788251601704</v>
      </c>
      <c r="P551">
        <f t="shared" si="150"/>
        <v>35.882043698344752</v>
      </c>
      <c r="Q551">
        <f t="shared" si="156"/>
        <v>91.140390993795677</v>
      </c>
      <c r="R551">
        <f t="shared" si="151"/>
        <v>5506.5218729766148</v>
      </c>
      <c r="S551">
        <f t="shared" si="152"/>
        <v>13233.650259496793</v>
      </c>
      <c r="T551">
        <f t="shared" si="153"/>
        <v>35069.1731876665</v>
      </c>
      <c r="U551">
        <v>158</v>
      </c>
      <c r="V551">
        <v>4.2999999999999997E-2</v>
      </c>
      <c r="W551">
        <v>0</v>
      </c>
    </row>
    <row r="552" spans="1:25" x14ac:dyDescent="0.25">
      <c r="A552" t="s">
        <v>131</v>
      </c>
      <c r="B552" t="s">
        <v>132</v>
      </c>
      <c r="C552">
        <v>1</v>
      </c>
      <c r="D552">
        <v>2</v>
      </c>
      <c r="E552">
        <f t="shared" si="145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f t="shared" si="149"/>
        <v>8.0479844273819684E-2</v>
      </c>
      <c r="P552">
        <f t="shared" si="150"/>
        <v>5.9316432662091669</v>
      </c>
      <c r="Q552">
        <f t="shared" ref="Q552:Q561" si="157">45.7*(1-EXP(-0.2*(E552)))</f>
        <v>15.066373896171283</v>
      </c>
      <c r="R552">
        <f t="shared" si="151"/>
        <v>36.505086715089078</v>
      </c>
      <c r="S552">
        <f t="shared" si="152"/>
        <v>87.731522987476765</v>
      </c>
      <c r="T552">
        <f t="shared" si="153"/>
        <v>232.48853591681342</v>
      </c>
      <c r="U552">
        <v>45.7</v>
      </c>
      <c r="V552">
        <v>0.2</v>
      </c>
      <c r="W552">
        <v>0</v>
      </c>
      <c r="Y552" t="s">
        <v>728</v>
      </c>
    </row>
    <row r="553" spans="1:25" x14ac:dyDescent="0.25">
      <c r="A553" t="s">
        <v>131</v>
      </c>
      <c r="B553" t="s">
        <v>132</v>
      </c>
      <c r="C553">
        <v>2</v>
      </c>
      <c r="D553">
        <v>2</v>
      </c>
      <c r="E553">
        <f t="shared" si="145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f t="shared" si="149"/>
        <v>0.35629213680593108</v>
      </c>
      <c r="P553">
        <f t="shared" si="150"/>
        <v>9.9077426534814865</v>
      </c>
      <c r="Q553">
        <f t="shared" si="157"/>
        <v>25.165666339842975</v>
      </c>
      <c r="R553">
        <f t="shared" si="151"/>
        <v>161.61158694284325</v>
      </c>
      <c r="S553">
        <f t="shared" si="152"/>
        <v>388.39602725989727</v>
      </c>
      <c r="T553">
        <f t="shared" si="153"/>
        <v>1029.2494722387278</v>
      </c>
      <c r="U553">
        <v>45.7</v>
      </c>
      <c r="V553">
        <v>0.2</v>
      </c>
      <c r="W553">
        <v>0</v>
      </c>
    </row>
    <row r="554" spans="1:25" x14ac:dyDescent="0.25">
      <c r="A554" t="s">
        <v>131</v>
      </c>
      <c r="B554" t="s">
        <v>132</v>
      </c>
      <c r="C554">
        <v>3</v>
      </c>
      <c r="D554">
        <v>2</v>
      </c>
      <c r="E554">
        <f t="shared" si="145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f t="shared" si="149"/>
        <v>0.71097215166475058</v>
      </c>
      <c r="P554">
        <f t="shared" si="150"/>
        <v>12.573001777800146</v>
      </c>
      <c r="Q554">
        <f t="shared" si="157"/>
        <v>31.935424515612372</v>
      </c>
      <c r="R554">
        <f t="shared" si="151"/>
        <v>322.49192680133109</v>
      </c>
      <c r="S554">
        <f t="shared" si="152"/>
        <v>775.03467147640254</v>
      </c>
      <c r="T554">
        <f t="shared" si="153"/>
        <v>2053.8418794124668</v>
      </c>
      <c r="U554">
        <v>45.7</v>
      </c>
      <c r="V554">
        <v>0.2</v>
      </c>
      <c r="W554">
        <v>0</v>
      </c>
    </row>
    <row r="555" spans="1:25" x14ac:dyDescent="0.25">
      <c r="A555" t="s">
        <v>131</v>
      </c>
      <c r="B555" t="s">
        <v>132</v>
      </c>
      <c r="C555">
        <v>4</v>
      </c>
      <c r="D555">
        <v>2</v>
      </c>
      <c r="E555">
        <f t="shared" si="145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f t="shared" si="149"/>
        <v>1.0451784700884894</v>
      </c>
      <c r="P555">
        <f t="shared" si="150"/>
        <v>14.359578396710337</v>
      </c>
      <c r="Q555">
        <f t="shared" si="157"/>
        <v>36.473329127644256</v>
      </c>
      <c r="R555">
        <f t="shared" si="151"/>
        <v>474.0855431269286</v>
      </c>
      <c r="S555">
        <f t="shared" si="152"/>
        <v>1139.3548260680811</v>
      </c>
      <c r="T555">
        <f t="shared" si="153"/>
        <v>3019.2902890804148</v>
      </c>
      <c r="U555">
        <v>45.7</v>
      </c>
      <c r="V555">
        <v>0.2</v>
      </c>
      <c r="W555">
        <v>0</v>
      </c>
    </row>
    <row r="556" spans="1:25" x14ac:dyDescent="0.25">
      <c r="A556" t="s">
        <v>131</v>
      </c>
      <c r="B556" t="s">
        <v>132</v>
      </c>
      <c r="C556">
        <v>5</v>
      </c>
      <c r="D556">
        <v>2</v>
      </c>
      <c r="E556">
        <f t="shared" si="145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f t="shared" si="149"/>
        <v>1.3184910861486607</v>
      </c>
      <c r="P556">
        <f t="shared" si="150"/>
        <v>15.557156518144412</v>
      </c>
      <c r="Q556">
        <f t="shared" si="157"/>
        <v>39.515177556086805</v>
      </c>
      <c r="R556">
        <f t="shared" si="151"/>
        <v>598.05820783112767</v>
      </c>
      <c r="S556">
        <f t="shared" si="152"/>
        <v>1437.2944192048249</v>
      </c>
      <c r="T556">
        <f t="shared" si="153"/>
        <v>3808.8302108927855</v>
      </c>
      <c r="U556">
        <v>45.7</v>
      </c>
      <c r="V556">
        <v>0.2</v>
      </c>
      <c r="W556">
        <v>0</v>
      </c>
    </row>
    <row r="557" spans="1:25" x14ac:dyDescent="0.25">
      <c r="A557" t="s">
        <v>131</v>
      </c>
      <c r="B557" t="s">
        <v>132</v>
      </c>
      <c r="C557">
        <v>6</v>
      </c>
      <c r="D557">
        <v>2</v>
      </c>
      <c r="E557">
        <f t="shared" si="145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f t="shared" si="149"/>
        <v>1.5256142830221278</v>
      </c>
      <c r="P557">
        <f t="shared" si="150"/>
        <v>16.359917139635375</v>
      </c>
      <c r="Q557">
        <f t="shared" si="157"/>
        <v>41.554189534673853</v>
      </c>
      <c r="R557">
        <f t="shared" si="151"/>
        <v>692.00782131257438</v>
      </c>
      <c r="S557">
        <f t="shared" si="152"/>
        <v>1663.0805607127479</v>
      </c>
      <c r="T557">
        <f t="shared" si="153"/>
        <v>4407.1634858887819</v>
      </c>
      <c r="U557">
        <v>45.7</v>
      </c>
      <c r="V557">
        <v>0.2</v>
      </c>
      <c r="W557">
        <v>0</v>
      </c>
    </row>
    <row r="558" spans="1:25" x14ac:dyDescent="0.25">
      <c r="A558" t="s">
        <v>131</v>
      </c>
      <c r="B558" t="s">
        <v>132</v>
      </c>
      <c r="C558">
        <v>7</v>
      </c>
      <c r="D558">
        <v>2</v>
      </c>
      <c r="E558">
        <f t="shared" si="145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f t="shared" si="149"/>
        <v>1.6757287015856983</v>
      </c>
      <c r="P558">
        <f t="shared" si="150"/>
        <v>16.898023676388796</v>
      </c>
      <c r="Q558">
        <f t="shared" si="157"/>
        <v>42.920980138027545</v>
      </c>
      <c r="R558">
        <f t="shared" si="151"/>
        <v>760.09865717706373</v>
      </c>
      <c r="S558">
        <f t="shared" si="152"/>
        <v>1826.7211179453586</v>
      </c>
      <c r="T558">
        <f t="shared" si="153"/>
        <v>4840.8109625552006</v>
      </c>
      <c r="U558">
        <v>45.7</v>
      </c>
      <c r="V558">
        <v>0.2</v>
      </c>
      <c r="W558">
        <v>0</v>
      </c>
    </row>
    <row r="559" spans="1:25" x14ac:dyDescent="0.25">
      <c r="A559" t="s">
        <v>131</v>
      </c>
      <c r="B559" t="s">
        <v>132</v>
      </c>
      <c r="C559">
        <v>8</v>
      </c>
      <c r="D559">
        <v>2</v>
      </c>
      <c r="E559">
        <f t="shared" si="145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f t="shared" si="149"/>
        <v>1.7815785625344518</v>
      </c>
      <c r="P559">
        <f t="shared" si="150"/>
        <v>17.258727274877426</v>
      </c>
      <c r="Q559">
        <f t="shared" si="157"/>
        <v>43.837167278188666</v>
      </c>
      <c r="R559">
        <f t="shared" si="151"/>
        <v>808.11140356816679</v>
      </c>
      <c r="S559">
        <f t="shared" si="152"/>
        <v>1942.1086363089805</v>
      </c>
      <c r="T559">
        <f t="shared" si="153"/>
        <v>5146.5878862187983</v>
      </c>
      <c r="U559">
        <v>45.7</v>
      </c>
      <c r="V559">
        <v>0.2</v>
      </c>
      <c r="W559">
        <v>0</v>
      </c>
    </row>
    <row r="560" spans="1:25" x14ac:dyDescent="0.25">
      <c r="A560" t="s">
        <v>131</v>
      </c>
      <c r="B560" t="s">
        <v>132</v>
      </c>
      <c r="C560">
        <v>9</v>
      </c>
      <c r="D560">
        <v>2</v>
      </c>
      <c r="E560">
        <f t="shared" si="145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f t="shared" si="149"/>
        <v>1.8549273239369155</v>
      </c>
      <c r="P560">
        <f t="shared" si="150"/>
        <v>17.50051412762155</v>
      </c>
      <c r="Q560">
        <f t="shared" si="157"/>
        <v>44.451305884158735</v>
      </c>
      <c r="R560">
        <f t="shared" si="151"/>
        <v>841.38188165621079</v>
      </c>
      <c r="S560">
        <f t="shared" si="152"/>
        <v>2022.0665264508791</v>
      </c>
      <c r="T560">
        <f t="shared" si="153"/>
        <v>5358.4762950948298</v>
      </c>
      <c r="U560">
        <v>45.7</v>
      </c>
      <c r="V560">
        <v>0.2</v>
      </c>
      <c r="W560">
        <v>0</v>
      </c>
    </row>
    <row r="561" spans="1:25" x14ac:dyDescent="0.25">
      <c r="A561" t="s">
        <v>131</v>
      </c>
      <c r="B561" t="s">
        <v>132</v>
      </c>
      <c r="C561">
        <v>10</v>
      </c>
      <c r="D561">
        <v>2</v>
      </c>
      <c r="E561">
        <f t="shared" si="145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f t="shared" si="149"/>
        <v>1.9051851552504522</v>
      </c>
      <c r="P561">
        <f t="shared" si="150"/>
        <v>17.662588701883799</v>
      </c>
      <c r="Q561">
        <f t="shared" si="157"/>
        <v>44.862975302784847</v>
      </c>
      <c r="R561">
        <f t="shared" si="151"/>
        <v>864.17847758364348</v>
      </c>
      <c r="S561">
        <f t="shared" si="152"/>
        <v>2076.8528660986385</v>
      </c>
      <c r="T561">
        <f t="shared" si="153"/>
        <v>5503.6600951613918</v>
      </c>
      <c r="U561">
        <v>45.7</v>
      </c>
      <c r="V561">
        <v>0.2</v>
      </c>
      <c r="W561">
        <v>0</v>
      </c>
    </row>
    <row r="562" spans="1:25" x14ac:dyDescent="0.25">
      <c r="A562" t="s">
        <v>133</v>
      </c>
      <c r="B562" t="s">
        <v>134</v>
      </c>
      <c r="C562">
        <v>1</v>
      </c>
      <c r="D562">
        <v>3</v>
      </c>
      <c r="E562">
        <f t="shared" si="145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f t="shared" si="149"/>
        <v>1.0132493897372563</v>
      </c>
      <c r="P562">
        <f t="shared" si="150"/>
        <v>11.632568048143371</v>
      </c>
      <c r="Q562">
        <f t="shared" ref="Q562:Q571" si="158">114*(1-EXP(-0.1*(E562)))</f>
        <v>29.546722842284161</v>
      </c>
      <c r="R562">
        <f t="shared" si="151"/>
        <v>459.60273867480845</v>
      </c>
      <c r="S562">
        <f t="shared" si="152"/>
        <v>1104.5487591319595</v>
      </c>
      <c r="T562">
        <f t="shared" si="153"/>
        <v>2927.0542116996926</v>
      </c>
      <c r="U562">
        <v>114</v>
      </c>
      <c r="V562">
        <v>0.1</v>
      </c>
      <c r="W562">
        <v>0</v>
      </c>
      <c r="Y562" t="s">
        <v>728</v>
      </c>
    </row>
    <row r="563" spans="1:25" x14ac:dyDescent="0.25">
      <c r="A563" t="s">
        <v>133</v>
      </c>
      <c r="B563" t="s">
        <v>134</v>
      </c>
      <c r="C563">
        <v>2</v>
      </c>
      <c r="D563">
        <v>3</v>
      </c>
      <c r="E563">
        <f t="shared" si="145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f t="shared" si="149"/>
        <v>5.650045747883131</v>
      </c>
      <c r="P563">
        <f t="shared" si="150"/>
        <v>20.250186411527949</v>
      </c>
      <c r="Q563">
        <f t="shared" si="158"/>
        <v>51.435473485280994</v>
      </c>
      <c r="R563">
        <f t="shared" si="151"/>
        <v>2562.820689226774</v>
      </c>
      <c r="S563">
        <f t="shared" si="152"/>
        <v>6159.1460928305069</v>
      </c>
      <c r="T563">
        <f t="shared" si="153"/>
        <v>16321.737146000843</v>
      </c>
      <c r="U563">
        <v>114</v>
      </c>
      <c r="V563">
        <v>0.1</v>
      </c>
      <c r="W563">
        <v>0</v>
      </c>
    </row>
    <row r="564" spans="1:25" x14ac:dyDescent="0.25">
      <c r="A564" t="s">
        <v>133</v>
      </c>
      <c r="B564" t="s">
        <v>134</v>
      </c>
      <c r="C564">
        <v>3</v>
      </c>
      <c r="D564">
        <v>3</v>
      </c>
      <c r="E564">
        <f t="shared" si="145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f t="shared" si="149"/>
        <v>13.212613096263208</v>
      </c>
      <c r="P564">
        <f t="shared" si="150"/>
        <v>26.634275114004609</v>
      </c>
      <c r="Q564">
        <f t="shared" si="158"/>
        <v>67.651058789571707</v>
      </c>
      <c r="R564">
        <f t="shared" si="151"/>
        <v>5993.1476155814644</v>
      </c>
      <c r="S564">
        <f t="shared" si="152"/>
        <v>14403.142551265233</v>
      </c>
      <c r="T564">
        <f t="shared" si="153"/>
        <v>38168.327760852866</v>
      </c>
      <c r="U564">
        <v>114</v>
      </c>
      <c r="V564">
        <v>0.1</v>
      </c>
      <c r="W564">
        <v>0</v>
      </c>
    </row>
    <row r="565" spans="1:25" x14ac:dyDescent="0.25">
      <c r="A565" t="s">
        <v>133</v>
      </c>
      <c r="B565" t="s">
        <v>134</v>
      </c>
      <c r="C565">
        <v>4</v>
      </c>
      <c r="D565">
        <v>3</v>
      </c>
      <c r="E565">
        <f t="shared" ref="E565:E591" si="159">C565*D565</f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f t="shared" si="149"/>
        <v>21.930454529672875</v>
      </c>
      <c r="P565">
        <f t="shared" si="150"/>
        <v>31.363724347247629</v>
      </c>
      <c r="Q565">
        <f t="shared" si="158"/>
        <v>79.663859842008975</v>
      </c>
      <c r="R565">
        <f t="shared" si="151"/>
        <v>9947.4986753603225</v>
      </c>
      <c r="S565">
        <f t="shared" si="152"/>
        <v>23906.509674021447</v>
      </c>
      <c r="T565">
        <f t="shared" si="153"/>
        <v>63352.25063615683</v>
      </c>
      <c r="U565">
        <v>114</v>
      </c>
      <c r="V565">
        <v>0.1</v>
      </c>
      <c r="W565">
        <v>0</v>
      </c>
    </row>
    <row r="566" spans="1:25" x14ac:dyDescent="0.25">
      <c r="A566" t="s">
        <v>133</v>
      </c>
      <c r="B566" t="s">
        <v>134</v>
      </c>
      <c r="C566">
        <v>5</v>
      </c>
      <c r="D566">
        <v>3</v>
      </c>
      <c r="E566">
        <f t="shared" si="159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f t="shared" si="149"/>
        <v>30.452441187409729</v>
      </c>
      <c r="P566">
        <f t="shared" si="150"/>
        <v>34.867386513023227</v>
      </c>
      <c r="Q566">
        <f t="shared" si="158"/>
        <v>88.563161743079007</v>
      </c>
      <c r="R566">
        <f t="shared" si="151"/>
        <v>13813.011397614886</v>
      </c>
      <c r="S566">
        <f t="shared" si="152"/>
        <v>33196.374423491674</v>
      </c>
      <c r="T566">
        <f t="shared" si="153"/>
        <v>87970.392222252936</v>
      </c>
      <c r="U566">
        <v>114</v>
      </c>
      <c r="V566">
        <v>0.1</v>
      </c>
      <c r="W566">
        <v>0</v>
      </c>
    </row>
    <row r="567" spans="1:25" x14ac:dyDescent="0.25">
      <c r="A567" t="s">
        <v>133</v>
      </c>
      <c r="B567" t="s">
        <v>134</v>
      </c>
      <c r="C567">
        <v>6</v>
      </c>
      <c r="D567">
        <v>3</v>
      </c>
      <c r="E567">
        <f t="shared" si="159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f t="shared" si="149"/>
        <v>38.044210688328377</v>
      </c>
      <c r="P567">
        <f t="shared" si="150"/>
        <v>37.462963284542965</v>
      </c>
      <c r="Q567">
        <f t="shared" si="158"/>
        <v>95.155926742739126</v>
      </c>
      <c r="R567">
        <f t="shared" si="151"/>
        <v>17256.584213301328</v>
      </c>
      <c r="S567">
        <f t="shared" si="152"/>
        <v>41472.204309784494</v>
      </c>
      <c r="T567">
        <f t="shared" si="153"/>
        <v>109901.3414209289</v>
      </c>
      <c r="U567">
        <v>114</v>
      </c>
      <c r="V567">
        <v>0.1</v>
      </c>
      <c r="W567">
        <v>0</v>
      </c>
    </row>
    <row r="568" spans="1:25" x14ac:dyDescent="0.25">
      <c r="A568" t="s">
        <v>133</v>
      </c>
      <c r="B568" t="s">
        <v>134</v>
      </c>
      <c r="C568">
        <v>7</v>
      </c>
      <c r="D568">
        <v>3</v>
      </c>
      <c r="E568">
        <f t="shared" si="159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f t="shared" si="149"/>
        <v>44.429910633084837</v>
      </c>
      <c r="P568">
        <f t="shared" si="150"/>
        <v>39.385813850063023</v>
      </c>
      <c r="Q568">
        <f t="shared" si="158"/>
        <v>100.03996717916007</v>
      </c>
      <c r="R568">
        <f t="shared" si="151"/>
        <v>20153.092430026416</v>
      </c>
      <c r="S568">
        <f t="shared" si="152"/>
        <v>48433.291107970232</v>
      </c>
      <c r="T568">
        <f t="shared" si="153"/>
        <v>128348.22143612111</v>
      </c>
      <c r="U568">
        <v>114</v>
      </c>
      <c r="V568">
        <v>0.1</v>
      </c>
      <c r="W568">
        <v>0</v>
      </c>
    </row>
    <row r="569" spans="1:25" x14ac:dyDescent="0.25">
      <c r="A569" t="s">
        <v>133</v>
      </c>
      <c r="B569" t="s">
        <v>134</v>
      </c>
      <c r="C569">
        <v>8</v>
      </c>
      <c r="D569">
        <v>3</v>
      </c>
      <c r="E569">
        <f t="shared" si="159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f t="shared" si="149"/>
        <v>49.603030832113362</v>
      </c>
      <c r="P569">
        <f t="shared" si="150"/>
        <v>40.81029658464842</v>
      </c>
      <c r="Q569">
        <f t="shared" si="158"/>
        <v>103.65815332500698</v>
      </c>
      <c r="R569">
        <f t="shared" si="151"/>
        <v>22499.58307196404</v>
      </c>
      <c r="S569">
        <f t="shared" si="152"/>
        <v>54072.538024426911</v>
      </c>
      <c r="T569">
        <f t="shared" si="153"/>
        <v>143292.22576473129</v>
      </c>
      <c r="U569">
        <v>114</v>
      </c>
      <c r="V569">
        <v>0.1</v>
      </c>
      <c r="W569">
        <v>0</v>
      </c>
    </row>
    <row r="570" spans="1:25" x14ac:dyDescent="0.25">
      <c r="A570" t="s">
        <v>133</v>
      </c>
      <c r="B570" t="s">
        <v>134</v>
      </c>
      <c r="C570">
        <v>9</v>
      </c>
      <c r="D570">
        <v>3</v>
      </c>
      <c r="E570">
        <f t="shared" si="159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f t="shared" si="149"/>
        <v>53.688220868751316</v>
      </c>
      <c r="P570">
        <f t="shared" si="150"/>
        <v>41.865579349475802</v>
      </c>
      <c r="Q570">
        <f t="shared" si="158"/>
        <v>106.33857154766854</v>
      </c>
      <c r="R570">
        <f t="shared" si="151"/>
        <v>24352.596306280138</v>
      </c>
      <c r="S570">
        <f t="shared" si="152"/>
        <v>58525.826258784276</v>
      </c>
      <c r="T570">
        <f t="shared" si="153"/>
        <v>155093.43958577834</v>
      </c>
      <c r="U570">
        <v>114</v>
      </c>
      <c r="V570">
        <v>0.1</v>
      </c>
      <c r="W570">
        <v>0</v>
      </c>
    </row>
    <row r="571" spans="1:25" x14ac:dyDescent="0.25">
      <c r="A571" t="s">
        <v>133</v>
      </c>
      <c r="B571" t="s">
        <v>134</v>
      </c>
      <c r="C571">
        <v>10</v>
      </c>
      <c r="D571">
        <v>3</v>
      </c>
      <c r="E571">
        <f t="shared" si="159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f t="shared" si="149"/>
        <v>56.857453685651627</v>
      </c>
      <c r="P571">
        <f t="shared" si="150"/>
        <v>42.647352049631301</v>
      </c>
      <c r="Q571">
        <f t="shared" si="158"/>
        <v>108.32427420606351</v>
      </c>
      <c r="R571">
        <f t="shared" si="151"/>
        <v>25790.137840376858</v>
      </c>
      <c r="S571">
        <f t="shared" si="152"/>
        <v>61980.624466178459</v>
      </c>
      <c r="T571">
        <f t="shared" si="153"/>
        <v>164248.6548353729</v>
      </c>
      <c r="U571">
        <v>114</v>
      </c>
      <c r="V571">
        <v>0.1</v>
      </c>
      <c r="W571">
        <v>0</v>
      </c>
    </row>
    <row r="572" spans="1:25" x14ac:dyDescent="0.25">
      <c r="A572" t="s">
        <v>135</v>
      </c>
      <c r="B572" t="s">
        <v>136</v>
      </c>
      <c r="C572">
        <v>1</v>
      </c>
      <c r="D572">
        <v>2</v>
      </c>
      <c r="E572">
        <f t="shared" si="159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f t="shared" si="149"/>
        <v>3.3956176932488723E-2</v>
      </c>
      <c r="P572">
        <f t="shared" si="150"/>
        <v>4.2785920807721345</v>
      </c>
      <c r="Q572">
        <f t="shared" ref="Q572:Q581" si="160">60.5*(1-EXP(-0.099*(E572)))</f>
        <v>10.867623885161221</v>
      </c>
      <c r="R572">
        <f t="shared" si="151"/>
        <v>15.402281088118915</v>
      </c>
      <c r="S572">
        <f t="shared" si="152"/>
        <v>37.015816121410516</v>
      </c>
      <c r="T572">
        <f t="shared" si="153"/>
        <v>98.09191272173787</v>
      </c>
      <c r="U572">
        <v>60.5</v>
      </c>
      <c r="V572">
        <v>9.9000000000000005E-2</v>
      </c>
      <c r="W572">
        <v>0</v>
      </c>
      <c r="Y572" t="s">
        <v>750</v>
      </c>
    </row>
    <row r="573" spans="1:25" x14ac:dyDescent="0.25">
      <c r="A573" t="s">
        <v>135</v>
      </c>
      <c r="B573" t="s">
        <v>136</v>
      </c>
      <c r="C573">
        <v>2</v>
      </c>
      <c r="D573">
        <v>2</v>
      </c>
      <c r="E573">
        <f t="shared" si="159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f t="shared" si="149"/>
        <v>0.20483194631379331</v>
      </c>
      <c r="P573">
        <f t="shared" si="150"/>
        <v>7.7886200377118602</v>
      </c>
      <c r="Q573">
        <f t="shared" si="160"/>
        <v>19.783094895788125</v>
      </c>
      <c r="R573">
        <f t="shared" si="151"/>
        <v>92.910318473838259</v>
      </c>
      <c r="S573">
        <f t="shared" si="152"/>
        <v>223.28843661100279</v>
      </c>
      <c r="T573">
        <f t="shared" si="153"/>
        <v>591.71435701915743</v>
      </c>
      <c r="U573">
        <v>60.5</v>
      </c>
      <c r="V573">
        <v>9.9000000000000005E-2</v>
      </c>
      <c r="W573">
        <v>0</v>
      </c>
    </row>
    <row r="574" spans="1:25" x14ac:dyDescent="0.25">
      <c r="A574" t="s">
        <v>135</v>
      </c>
      <c r="B574" t="s">
        <v>136</v>
      </c>
      <c r="C574">
        <v>3</v>
      </c>
      <c r="D574">
        <v>2</v>
      </c>
      <c r="E574">
        <f t="shared" si="159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f t="shared" si="149"/>
        <v>0.52635941956984167</v>
      </c>
      <c r="P574">
        <f t="shared" si="150"/>
        <v>10.66814115725618</v>
      </c>
      <c r="Q574">
        <f t="shared" si="160"/>
        <v>27.097078539430697</v>
      </c>
      <c r="R574">
        <f t="shared" si="151"/>
        <v>238.75290053153907</v>
      </c>
      <c r="S574">
        <f t="shared" si="152"/>
        <v>573.7873120200411</v>
      </c>
      <c r="T574">
        <f t="shared" si="153"/>
        <v>1520.5363768531088</v>
      </c>
      <c r="U574">
        <v>60.5</v>
      </c>
      <c r="V574">
        <v>9.9000000000000005E-2</v>
      </c>
      <c r="W574">
        <v>0</v>
      </c>
    </row>
    <row r="575" spans="1:25" x14ac:dyDescent="0.25">
      <c r="A575" t="s">
        <v>135</v>
      </c>
      <c r="B575" t="s">
        <v>136</v>
      </c>
      <c r="C575">
        <v>4</v>
      </c>
      <c r="D575">
        <v>2</v>
      </c>
      <c r="E575">
        <f t="shared" si="159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f t="shared" si="149"/>
        <v>0.95915927150425351</v>
      </c>
      <c r="P575">
        <f t="shared" si="150"/>
        <v>13.030413475204041</v>
      </c>
      <c r="Q575">
        <f t="shared" si="160"/>
        <v>33.097250227018264</v>
      </c>
      <c r="R575">
        <f t="shared" si="151"/>
        <v>435.06784457378302</v>
      </c>
      <c r="S575">
        <f t="shared" si="152"/>
        <v>1045.5848223354553</v>
      </c>
      <c r="T575">
        <f t="shared" si="153"/>
        <v>2770.7997791889566</v>
      </c>
      <c r="U575">
        <v>60.5</v>
      </c>
      <c r="V575">
        <v>9.9000000000000005E-2</v>
      </c>
      <c r="W575">
        <v>0</v>
      </c>
    </row>
    <row r="576" spans="1:25" x14ac:dyDescent="0.25">
      <c r="A576" t="s">
        <v>135</v>
      </c>
      <c r="B576" t="s">
        <v>136</v>
      </c>
      <c r="C576">
        <v>5</v>
      </c>
      <c r="D576">
        <v>2</v>
      </c>
      <c r="E576">
        <f t="shared" si="159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f t="shared" si="149"/>
        <v>1.4539114892034266</v>
      </c>
      <c r="P576">
        <f t="shared" si="150"/>
        <v>14.968350469750487</v>
      </c>
      <c r="Q576">
        <f t="shared" si="160"/>
        <v>38.019610193166237</v>
      </c>
      <c r="R576">
        <f t="shared" si="151"/>
        <v>659.48394244968597</v>
      </c>
      <c r="S576">
        <f t="shared" si="152"/>
        <v>1584.916948929791</v>
      </c>
      <c r="T576">
        <f t="shared" si="153"/>
        <v>4200.0299146639463</v>
      </c>
      <c r="U576">
        <v>60.5</v>
      </c>
      <c r="V576">
        <v>9.9000000000000005E-2</v>
      </c>
      <c r="W576">
        <v>0</v>
      </c>
    </row>
    <row r="577" spans="1:25" x14ac:dyDescent="0.25">
      <c r="A577" t="s">
        <v>135</v>
      </c>
      <c r="B577" t="s">
        <v>136</v>
      </c>
      <c r="C577">
        <v>6</v>
      </c>
      <c r="D577">
        <v>2</v>
      </c>
      <c r="E577">
        <f t="shared" si="159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f t="shared" si="149"/>
        <v>1.968129121612461</v>
      </c>
      <c r="P577">
        <f t="shared" si="150"/>
        <v>16.558175557356925</v>
      </c>
      <c r="Q577">
        <f t="shared" si="160"/>
        <v>42.057765915686595</v>
      </c>
      <c r="R577">
        <f t="shared" si="151"/>
        <v>892.72941441720616</v>
      </c>
      <c r="S577">
        <f t="shared" si="152"/>
        <v>2145.4684316683638</v>
      </c>
      <c r="T577">
        <f t="shared" si="153"/>
        <v>5685.4913439211641</v>
      </c>
      <c r="U577">
        <v>60.5</v>
      </c>
      <c r="V577">
        <v>9.9000000000000005E-2</v>
      </c>
      <c r="W577">
        <v>0</v>
      </c>
    </row>
    <row r="578" spans="1:25" x14ac:dyDescent="0.25">
      <c r="A578" t="s">
        <v>135</v>
      </c>
      <c r="B578" t="s">
        <v>136</v>
      </c>
      <c r="C578">
        <v>7</v>
      </c>
      <c r="D578">
        <v>2</v>
      </c>
      <c r="E578">
        <f t="shared" si="159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f t="shared" ref="O578:O591" si="161">R578*0.00220462</f>
        <v>2.4707968479792131</v>
      </c>
      <c r="P578">
        <f t="shared" ref="P578:P591" si="162">Q578/2.54</f>
        <v>17.86242013099146</v>
      </c>
      <c r="Q578">
        <f t="shared" si="160"/>
        <v>45.370547132718308</v>
      </c>
      <c r="R578">
        <f t="shared" ref="R578:R591" si="163">L578*(Q578^M578)</f>
        <v>1120.7359308992993</v>
      </c>
      <c r="S578">
        <f t="shared" ref="S578:S591" si="164">R578/20/5.7/3.65*1000</f>
        <v>2693.429298003603</v>
      </c>
      <c r="T578">
        <f t="shared" ref="T578:T591" si="165">S578*2.65</f>
        <v>7137.5876397095481</v>
      </c>
      <c r="U578">
        <v>60.5</v>
      </c>
      <c r="V578">
        <v>9.9000000000000005E-2</v>
      </c>
      <c r="W578">
        <v>0</v>
      </c>
    </row>
    <row r="579" spans="1:25" x14ac:dyDescent="0.25">
      <c r="A579" t="s">
        <v>135</v>
      </c>
      <c r="B579" t="s">
        <v>136</v>
      </c>
      <c r="C579">
        <v>8</v>
      </c>
      <c r="D579">
        <v>2</v>
      </c>
      <c r="E579">
        <f t="shared" si="159"/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f t="shared" si="161"/>
        <v>2.941927648731653</v>
      </c>
      <c r="P579">
        <f t="shared" si="162"/>
        <v>18.932383060319836</v>
      </c>
      <c r="Q579">
        <f t="shared" si="160"/>
        <v>48.088252973212384</v>
      </c>
      <c r="R579">
        <f t="shared" si="163"/>
        <v>1334.4375215373411</v>
      </c>
      <c r="S579">
        <f t="shared" si="164"/>
        <v>3207.0115874485491</v>
      </c>
      <c r="T579">
        <f t="shared" si="165"/>
        <v>8498.580706738654</v>
      </c>
      <c r="U579">
        <v>60.5</v>
      </c>
      <c r="V579">
        <v>9.9000000000000005E-2</v>
      </c>
      <c r="W579">
        <v>0</v>
      </c>
    </row>
    <row r="580" spans="1:25" x14ac:dyDescent="0.25">
      <c r="A580" t="s">
        <v>135</v>
      </c>
      <c r="B580" t="s">
        <v>136</v>
      </c>
      <c r="C580">
        <v>9</v>
      </c>
      <c r="D580">
        <v>2</v>
      </c>
      <c r="E580">
        <f t="shared" si="159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f t="shared" si="161"/>
        <v>3.3703835388024546</v>
      </c>
      <c r="P580">
        <f t="shared" si="162"/>
        <v>19.810148391515881</v>
      </c>
      <c r="Q580">
        <f t="shared" si="160"/>
        <v>50.317776914450334</v>
      </c>
      <c r="R580">
        <f t="shared" si="163"/>
        <v>1528.7820752793925</v>
      </c>
      <c r="S580">
        <f t="shared" si="164"/>
        <v>3674.0737209310082</v>
      </c>
      <c r="T580">
        <f t="shared" si="165"/>
        <v>9736.2953604671711</v>
      </c>
      <c r="U580">
        <v>60.5</v>
      </c>
      <c r="V580">
        <v>9.9000000000000005E-2</v>
      </c>
      <c r="W580">
        <v>0</v>
      </c>
    </row>
    <row r="581" spans="1:25" x14ac:dyDescent="0.25">
      <c r="A581" t="s">
        <v>135</v>
      </c>
      <c r="B581" t="s">
        <v>136</v>
      </c>
      <c r="C581">
        <v>10</v>
      </c>
      <c r="D581">
        <v>2</v>
      </c>
      <c r="E581">
        <f t="shared" si="159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f t="shared" si="161"/>
        <v>3.7514421734161894</v>
      </c>
      <c r="P581">
        <f t="shared" si="162"/>
        <v>20.530240607358657</v>
      </c>
      <c r="Q581">
        <f t="shared" si="160"/>
        <v>52.146811142690986</v>
      </c>
      <c r="R581">
        <f t="shared" si="163"/>
        <v>1701.6275700194089</v>
      </c>
      <c r="S581">
        <f t="shared" si="164"/>
        <v>4089.4678443148491</v>
      </c>
      <c r="T581">
        <f t="shared" si="165"/>
        <v>10837.08978743435</v>
      </c>
      <c r="U581">
        <v>60.5</v>
      </c>
      <c r="V581">
        <v>9.9000000000000005E-2</v>
      </c>
      <c r="W581">
        <v>0</v>
      </c>
    </row>
    <row r="582" spans="1:25" x14ac:dyDescent="0.25">
      <c r="A582" t="s">
        <v>137</v>
      </c>
      <c r="B582" t="s">
        <v>138</v>
      </c>
      <c r="C582">
        <v>1</v>
      </c>
      <c r="D582">
        <v>1</v>
      </c>
      <c r="E582">
        <f t="shared" si="159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f t="shared" si="161"/>
        <v>4.9266076436141004E-2</v>
      </c>
      <c r="P582">
        <f t="shared" si="162"/>
        <v>5.6035809773118128</v>
      </c>
      <c r="Q582">
        <f t="shared" ref="Q582:Q591" si="166">50*(1-EXP(-0.335*(E582)))</f>
        <v>14.233095682372005</v>
      </c>
      <c r="R582">
        <f t="shared" si="163"/>
        <v>22.34674294714781</v>
      </c>
      <c r="S582">
        <f t="shared" si="164"/>
        <v>53.705222175313168</v>
      </c>
      <c r="T582">
        <f t="shared" si="165"/>
        <v>142.31883876457988</v>
      </c>
      <c r="U582">
        <v>50</v>
      </c>
      <c r="V582">
        <v>0.33500000000000002</v>
      </c>
      <c r="W582">
        <v>0</v>
      </c>
      <c r="Y582" t="s">
        <v>751</v>
      </c>
    </row>
    <row r="583" spans="1:25" x14ac:dyDescent="0.25">
      <c r="A583" t="s">
        <v>137</v>
      </c>
      <c r="B583" t="s">
        <v>138</v>
      </c>
      <c r="C583">
        <v>2</v>
      </c>
      <c r="D583">
        <v>1</v>
      </c>
      <c r="E583">
        <f t="shared" si="159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f t="shared" si="161"/>
        <v>0.22563902603855754</v>
      </c>
      <c r="P583">
        <f t="shared" si="162"/>
        <v>9.6120358703436519</v>
      </c>
      <c r="Q583">
        <f t="shared" si="166"/>
        <v>24.414571110672878</v>
      </c>
      <c r="R583">
        <f t="shared" si="163"/>
        <v>102.34826230305337</v>
      </c>
      <c r="S583">
        <f t="shared" si="164"/>
        <v>245.97034920224314</v>
      </c>
      <c r="T583">
        <f t="shared" si="165"/>
        <v>651.82142538594428</v>
      </c>
      <c r="U583">
        <v>50</v>
      </c>
      <c r="V583">
        <v>0.33500000000000002</v>
      </c>
      <c r="W583">
        <v>0</v>
      </c>
    </row>
    <row r="584" spans="1:25" x14ac:dyDescent="0.25">
      <c r="A584" t="s">
        <v>137</v>
      </c>
      <c r="B584" t="s">
        <v>138</v>
      </c>
      <c r="C584">
        <v>3</v>
      </c>
      <c r="D584">
        <v>1</v>
      </c>
      <c r="E584">
        <f t="shared" si="159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f t="shared" si="161"/>
        <v>0.47113422091654195</v>
      </c>
      <c r="P584">
        <f t="shared" si="162"/>
        <v>12.479436322755602</v>
      </c>
      <c r="Q584">
        <f t="shared" si="166"/>
        <v>31.697768259799229</v>
      </c>
      <c r="R584">
        <f t="shared" si="163"/>
        <v>213.70314200022767</v>
      </c>
      <c r="S584">
        <f t="shared" si="164"/>
        <v>513.58601778473371</v>
      </c>
      <c r="T584">
        <f t="shared" si="165"/>
        <v>1361.0029471295443</v>
      </c>
      <c r="U584">
        <v>50</v>
      </c>
      <c r="V584">
        <v>0.33500000000000002</v>
      </c>
      <c r="W584">
        <v>0</v>
      </c>
    </row>
    <row r="585" spans="1:25" x14ac:dyDescent="0.25">
      <c r="A585" t="s">
        <v>137</v>
      </c>
      <c r="B585" t="s">
        <v>138</v>
      </c>
      <c r="C585">
        <v>4</v>
      </c>
      <c r="D585">
        <v>1</v>
      </c>
      <c r="E585">
        <f t="shared" si="159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f t="shared" si="161"/>
        <v>0.72362605313298989</v>
      </c>
      <c r="P585">
        <f t="shared" si="162"/>
        <v>14.530597075190434</v>
      </c>
      <c r="Q585">
        <f t="shared" si="166"/>
        <v>36.907716570983702</v>
      </c>
      <c r="R585">
        <f t="shared" si="163"/>
        <v>328.23164678402168</v>
      </c>
      <c r="S585">
        <f t="shared" si="164"/>
        <v>788.8287593944284</v>
      </c>
      <c r="T585">
        <f t="shared" si="165"/>
        <v>2090.3962123952351</v>
      </c>
      <c r="U585">
        <v>50</v>
      </c>
      <c r="V585">
        <v>0.33500000000000002</v>
      </c>
      <c r="W585">
        <v>0</v>
      </c>
    </row>
    <row r="586" spans="1:25" x14ac:dyDescent="0.25">
      <c r="A586" t="s">
        <v>137</v>
      </c>
      <c r="B586" t="s">
        <v>138</v>
      </c>
      <c r="C586">
        <v>5</v>
      </c>
      <c r="D586">
        <v>1</v>
      </c>
      <c r="E586">
        <f t="shared" si="159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f t="shared" si="161"/>
        <v>0.94913977708671626</v>
      </c>
      <c r="P586">
        <f t="shared" si="162"/>
        <v>15.997870482638643</v>
      </c>
      <c r="Q586">
        <f t="shared" si="166"/>
        <v>40.634591025902154</v>
      </c>
      <c r="R586">
        <f t="shared" si="163"/>
        <v>430.52307294985815</v>
      </c>
      <c r="S586">
        <f t="shared" si="164"/>
        <v>1034.6625161015577</v>
      </c>
      <c r="T586">
        <f t="shared" si="165"/>
        <v>2741.8556676691278</v>
      </c>
      <c r="U586">
        <v>50</v>
      </c>
      <c r="V586">
        <v>0.33500000000000002</v>
      </c>
      <c r="W586">
        <v>0</v>
      </c>
    </row>
    <row r="587" spans="1:25" x14ac:dyDescent="0.25">
      <c r="A587" t="s">
        <v>137</v>
      </c>
      <c r="B587" t="s">
        <v>138</v>
      </c>
      <c r="C587">
        <v>6</v>
      </c>
      <c r="D587">
        <v>1</v>
      </c>
      <c r="E587">
        <f t="shared" si="159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f t="shared" si="161"/>
        <v>1.1354176474011326</v>
      </c>
      <c r="P587">
        <f t="shared" si="162"/>
        <v>17.047467034078643</v>
      </c>
      <c r="Q587">
        <f t="shared" si="166"/>
        <v>43.300566266559755</v>
      </c>
      <c r="R587">
        <f t="shared" si="163"/>
        <v>515.01739410924904</v>
      </c>
      <c r="S587">
        <f t="shared" si="164"/>
        <v>1237.7250519328265</v>
      </c>
      <c r="T587">
        <f t="shared" si="165"/>
        <v>3279.9713876219903</v>
      </c>
      <c r="U587">
        <v>50</v>
      </c>
      <c r="V587">
        <v>0.33500000000000002</v>
      </c>
      <c r="W587">
        <v>0</v>
      </c>
    </row>
    <row r="588" spans="1:25" x14ac:dyDescent="0.25">
      <c r="A588" t="s">
        <v>137</v>
      </c>
      <c r="B588" t="s">
        <v>138</v>
      </c>
      <c r="C588">
        <v>7</v>
      </c>
      <c r="D588">
        <v>1</v>
      </c>
      <c r="E588">
        <f t="shared" si="159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f t="shared" si="161"/>
        <v>1.2821567714150832</v>
      </c>
      <c r="P588">
        <f t="shared" si="162"/>
        <v>17.798283422627978</v>
      </c>
      <c r="Q588">
        <f t="shared" si="166"/>
        <v>45.207639893475069</v>
      </c>
      <c r="R588">
        <f t="shared" si="163"/>
        <v>581.57722029877402</v>
      </c>
      <c r="S588">
        <f t="shared" si="164"/>
        <v>1397.686181924475</v>
      </c>
      <c r="T588">
        <f t="shared" si="165"/>
        <v>3703.8683820998585</v>
      </c>
      <c r="U588">
        <v>50</v>
      </c>
      <c r="V588">
        <v>0.33500000000000002</v>
      </c>
      <c r="W588">
        <v>0</v>
      </c>
    </row>
    <row r="589" spans="1:25" x14ac:dyDescent="0.25">
      <c r="A589" t="s">
        <v>137</v>
      </c>
      <c r="B589" t="s">
        <v>138</v>
      </c>
      <c r="C589">
        <v>8</v>
      </c>
      <c r="D589">
        <v>1</v>
      </c>
      <c r="E589">
        <f t="shared" si="159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f t="shared" si="161"/>
        <v>1.3942857702158813</v>
      </c>
      <c r="P589">
        <f t="shared" si="162"/>
        <v>18.335370981215004</v>
      </c>
      <c r="Q589">
        <f t="shared" si="166"/>
        <v>46.571842292286107</v>
      </c>
      <c r="R589">
        <f t="shared" si="163"/>
        <v>632.43813909693336</v>
      </c>
      <c r="S589">
        <f t="shared" si="164"/>
        <v>1519.9186231601377</v>
      </c>
      <c r="T589">
        <f t="shared" si="165"/>
        <v>4027.7843513743646</v>
      </c>
      <c r="U589">
        <v>50</v>
      </c>
      <c r="V589">
        <v>0.33500000000000002</v>
      </c>
      <c r="W589">
        <v>0</v>
      </c>
    </row>
    <row r="590" spans="1:25" x14ac:dyDescent="0.25">
      <c r="A590" t="s">
        <v>137</v>
      </c>
      <c r="B590" t="s">
        <v>138</v>
      </c>
      <c r="C590">
        <v>9</v>
      </c>
      <c r="D590">
        <v>1</v>
      </c>
      <c r="E590">
        <f t="shared" si="159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f t="shared" si="161"/>
        <v>1.4782544566298856</v>
      </c>
      <c r="P590">
        <f t="shared" si="162"/>
        <v>18.719570167578411</v>
      </c>
      <c r="Q590">
        <f t="shared" si="166"/>
        <v>47.547708225649167</v>
      </c>
      <c r="R590">
        <f t="shared" si="163"/>
        <v>670.5257398689505</v>
      </c>
      <c r="S590">
        <f t="shared" si="164"/>
        <v>1611.4533522445338</v>
      </c>
      <c r="T590">
        <f t="shared" si="165"/>
        <v>4270.3513834480145</v>
      </c>
      <c r="U590">
        <v>50</v>
      </c>
      <c r="V590">
        <v>0.33500000000000002</v>
      </c>
      <c r="W590">
        <v>0</v>
      </c>
    </row>
    <row r="591" spans="1:25" x14ac:dyDescent="0.25">
      <c r="A591" t="s">
        <v>137</v>
      </c>
      <c r="B591" t="s">
        <v>138</v>
      </c>
      <c r="C591">
        <v>10</v>
      </c>
      <c r="D591">
        <v>1</v>
      </c>
      <c r="E591">
        <f t="shared" si="159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f t="shared" si="161"/>
        <v>1.5402780654167569</v>
      </c>
      <c r="P591">
        <f t="shared" si="162"/>
        <v>18.994402478329821</v>
      </c>
      <c r="Q591">
        <f t="shared" si="166"/>
        <v>48.245782294957749</v>
      </c>
      <c r="R591">
        <f t="shared" si="163"/>
        <v>698.65920903228539</v>
      </c>
      <c r="S591">
        <f t="shared" si="164"/>
        <v>1679.0656309355575</v>
      </c>
      <c r="T591">
        <f t="shared" si="165"/>
        <v>4449.5239219792275</v>
      </c>
      <c r="U591">
        <v>50</v>
      </c>
      <c r="V591">
        <v>0.33500000000000002</v>
      </c>
      <c r="W591">
        <v>0</v>
      </c>
    </row>
  </sheetData>
  <conditionalFormatting sqref="W1:W1048576">
    <cfRule type="cellIs" dxfId="2" priority="1" operator="lessThan">
      <formula>0</formula>
    </cfRule>
  </conditionalFormatting>
  <hyperlinks>
    <hyperlink ref="Y58" r:id="rId1"/>
    <hyperlink ref="Z58" r:id="rId2"/>
    <hyperlink ref="AA58" r:id="rId3"/>
    <hyperlink ref="AB58" r:id="rId4"/>
    <hyperlink ref="AC58" r:id="rId5"/>
    <hyperlink ref="AD58" r:id="rId6"/>
    <hyperlink ref="AE58" r:id="rId7"/>
    <hyperlink ref="AF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88" r:id="rId19"/>
    <hyperlink ref="AA88" r:id="rId20"/>
    <hyperlink ref="AB88" r:id="rId21"/>
    <hyperlink ref="Y118" r:id="rId22"/>
    <hyperlink ref="Z118" r:id="rId23"/>
    <hyperlink ref="AA118" r:id="rId24"/>
    <hyperlink ref="Y128" r:id="rId25"/>
    <hyperlink ref="Z128" r:id="rId26"/>
    <hyperlink ref="AA128" r:id="rId27"/>
    <hyperlink ref="AB128" r:id="rId28"/>
    <hyperlink ref="AC128" r:id="rId29"/>
    <hyperlink ref="AD128" r:id="rId30"/>
    <hyperlink ref="AE128" r:id="rId31"/>
    <hyperlink ref="AF128" r:id="rId32"/>
    <hyperlink ref="AG128" r:id="rId33"/>
    <hyperlink ref="AH128" r:id="rId34"/>
    <hyperlink ref="AI128" r:id="rId35"/>
    <hyperlink ref="Y138" r:id="rId36"/>
    <hyperlink ref="Z138" r:id="rId37"/>
    <hyperlink ref="AA138" r:id="rId38"/>
    <hyperlink ref="AB138" r:id="rId39"/>
    <hyperlink ref="AC138" r:id="rId40"/>
    <hyperlink ref="AD138" r:id="rId41"/>
    <hyperlink ref="AE138" r:id="rId42"/>
    <hyperlink ref="AF138" r:id="rId43"/>
    <hyperlink ref="Y148" r:id="rId44"/>
    <hyperlink ref="Z148" r:id="rId45"/>
    <hyperlink ref="AA148" r:id="rId46"/>
    <hyperlink ref="AB148" r:id="rId47"/>
    <hyperlink ref="Y158" r:id="rId48"/>
    <hyperlink ref="Z158" r:id="rId49"/>
    <hyperlink ref="AA158" r:id="rId50"/>
    <hyperlink ref="Z258" r:id="rId51"/>
    <hyperlink ref="AA258" r:id="rId52"/>
    <hyperlink ref="AB258" r:id="rId53"/>
    <hyperlink ref="Y288" r:id="rId54"/>
    <hyperlink ref="Z288" r:id="rId55"/>
    <hyperlink ref="AA288" r:id="rId56"/>
    <hyperlink ref="Y328" r:id="rId57"/>
    <hyperlink ref="Z328" r:id="rId58"/>
    <hyperlink ref="AA328" r:id="rId59"/>
    <hyperlink ref="AB328" r:id="rId60"/>
    <hyperlink ref="AC328" r:id="rId61"/>
    <hyperlink ref="AD328" r:id="rId62"/>
    <hyperlink ref="AE328" r:id="rId63"/>
    <hyperlink ref="AF328" r:id="rId64"/>
    <hyperlink ref="AG328" r:id="rId65"/>
    <hyperlink ref="AH328" r:id="rId66"/>
    <hyperlink ref="Y348" r:id="rId67"/>
    <hyperlink ref="Z348" r:id="rId68"/>
    <hyperlink ref="AB348" r:id="rId69"/>
    <hyperlink ref="Y368" r:id="rId70"/>
    <hyperlink ref="X385" r:id="rId71"/>
    <hyperlink ref="Z385" r:id="rId72"/>
    <hyperlink ref="Y408" r:id="rId73"/>
    <hyperlink ref="AB408" r:id="rId74"/>
    <hyperlink ref="AC408" r:id="rId75"/>
    <hyperlink ref="AF408" r:id="rId76"/>
    <hyperlink ref="AA428" r:id="rId77"/>
    <hyperlink ref="AB428" r:id="rId78"/>
    <hyperlink ref="AC428" r:id="rId79"/>
    <hyperlink ref="AD428" r:id="rId80"/>
    <hyperlink ref="AE428" r:id="rId81"/>
    <hyperlink ref="AF428" r:id="rId82"/>
    <hyperlink ref="Y478" r:id="rId83"/>
    <hyperlink ref="Z478" r:id="rId84"/>
    <hyperlink ref="AA478" r:id="rId85"/>
    <hyperlink ref="Y498" r:id="rId86"/>
    <hyperlink ref="AA498" r:id="rId87"/>
    <hyperlink ref="AB498" r:id="rId88"/>
    <hyperlink ref="AD498" r:id="rId89"/>
    <hyperlink ref="AE498" r:id="rId90"/>
    <hyperlink ref="Y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activeCell="B1" sqref="B1:B1048576"/>
    </sheetView>
  </sheetViews>
  <sheetFormatPr defaultRowHeight="15" x14ac:dyDescent="0.25"/>
  <cols>
    <col min="1" max="1" width="13.7109375"/>
    <col min="2" max="2" width="5.140625"/>
    <col min="3" max="3" width="14.5703125"/>
    <col min="4" max="4" width="10"/>
    <col min="5" max="5" width="11.7109375"/>
    <col min="6" max="6" width="8.140625"/>
    <col min="7" max="1025" width="8.5703125"/>
  </cols>
  <sheetData>
    <row r="1" spans="1:9" x14ac:dyDescent="0.25">
      <c r="C1" s="5" t="s">
        <v>752</v>
      </c>
      <c r="D1" t="s">
        <v>753</v>
      </c>
      <c r="E1" t="s">
        <v>754</v>
      </c>
      <c r="F1" t="s">
        <v>755</v>
      </c>
    </row>
    <row r="2" spans="1:9" x14ac:dyDescent="0.25">
      <c r="A2" t="s">
        <v>756</v>
      </c>
      <c r="B2" t="s">
        <v>21</v>
      </c>
      <c r="C2">
        <v>3</v>
      </c>
      <c r="D2">
        <v>1</v>
      </c>
      <c r="E2">
        <v>10</v>
      </c>
      <c r="F2">
        <f t="shared" ref="F2:F33" si="0">E2*D2</f>
        <v>10</v>
      </c>
      <c r="H2" t="s">
        <v>779</v>
      </c>
      <c r="I2">
        <v>2</v>
      </c>
    </row>
    <row r="3" spans="1:9" x14ac:dyDescent="0.25">
      <c r="A3" t="s">
        <v>757</v>
      </c>
      <c r="B3" t="s">
        <v>23</v>
      </c>
      <c r="C3">
        <v>3</v>
      </c>
      <c r="D3">
        <v>3</v>
      </c>
      <c r="E3">
        <v>10</v>
      </c>
      <c r="F3">
        <f t="shared" si="0"/>
        <v>30</v>
      </c>
      <c r="H3" t="s">
        <v>776</v>
      </c>
      <c r="I3">
        <v>2</v>
      </c>
    </row>
    <row r="4" spans="1:9" x14ac:dyDescent="0.25">
      <c r="A4" t="s">
        <v>758</v>
      </c>
      <c r="B4" t="s">
        <v>25</v>
      </c>
      <c r="C4">
        <v>3</v>
      </c>
      <c r="D4">
        <v>3</v>
      </c>
      <c r="E4">
        <v>10</v>
      </c>
      <c r="F4">
        <f t="shared" si="0"/>
        <v>30</v>
      </c>
      <c r="H4" t="s">
        <v>808</v>
      </c>
      <c r="I4">
        <v>3</v>
      </c>
    </row>
    <row r="5" spans="1:9" x14ac:dyDescent="0.25">
      <c r="A5" t="s">
        <v>759</v>
      </c>
      <c r="B5" t="s">
        <v>27</v>
      </c>
      <c r="C5">
        <v>1</v>
      </c>
      <c r="D5">
        <v>1</v>
      </c>
      <c r="E5">
        <v>10</v>
      </c>
      <c r="F5">
        <f t="shared" si="0"/>
        <v>10</v>
      </c>
      <c r="H5" t="s">
        <v>759</v>
      </c>
      <c r="I5">
        <v>1</v>
      </c>
    </row>
    <row r="6" spans="1:9" x14ac:dyDescent="0.25">
      <c r="A6" t="s">
        <v>760</v>
      </c>
      <c r="B6" t="s">
        <v>29</v>
      </c>
      <c r="C6">
        <v>2</v>
      </c>
      <c r="D6">
        <v>7</v>
      </c>
      <c r="E6">
        <v>10</v>
      </c>
      <c r="F6">
        <f t="shared" si="0"/>
        <v>70</v>
      </c>
      <c r="H6" t="s">
        <v>811</v>
      </c>
      <c r="I6">
        <v>3</v>
      </c>
    </row>
    <row r="7" spans="1:9" x14ac:dyDescent="0.25">
      <c r="A7" t="s">
        <v>761</v>
      </c>
      <c r="B7" s="2" t="s">
        <v>31</v>
      </c>
      <c r="C7">
        <v>3</v>
      </c>
      <c r="D7">
        <v>1</v>
      </c>
      <c r="E7">
        <v>10</v>
      </c>
      <c r="F7">
        <f t="shared" si="0"/>
        <v>10</v>
      </c>
      <c r="H7" t="s">
        <v>802</v>
      </c>
      <c r="I7">
        <v>3</v>
      </c>
    </row>
    <row r="8" spans="1:9" x14ac:dyDescent="0.25">
      <c r="A8" t="s">
        <v>762</v>
      </c>
      <c r="B8" t="s">
        <v>33</v>
      </c>
      <c r="C8">
        <v>1</v>
      </c>
      <c r="D8">
        <v>2</v>
      </c>
      <c r="E8">
        <v>10</v>
      </c>
      <c r="F8">
        <f t="shared" si="0"/>
        <v>20</v>
      </c>
      <c r="H8" t="s">
        <v>809</v>
      </c>
      <c r="I8">
        <v>3</v>
      </c>
    </row>
    <row r="9" spans="1:9" x14ac:dyDescent="0.25">
      <c r="A9" t="s">
        <v>763</v>
      </c>
      <c r="B9" t="s">
        <v>35</v>
      </c>
      <c r="C9">
        <v>3</v>
      </c>
      <c r="D9">
        <v>1</v>
      </c>
      <c r="E9">
        <v>10</v>
      </c>
      <c r="F9">
        <f t="shared" si="0"/>
        <v>10</v>
      </c>
      <c r="H9" t="s">
        <v>813</v>
      </c>
      <c r="I9">
        <v>3</v>
      </c>
    </row>
    <row r="10" spans="1:9" x14ac:dyDescent="0.25">
      <c r="A10" t="s">
        <v>764</v>
      </c>
      <c r="B10" t="s">
        <v>37</v>
      </c>
      <c r="C10">
        <v>3</v>
      </c>
      <c r="D10">
        <v>9</v>
      </c>
      <c r="E10">
        <v>10</v>
      </c>
      <c r="F10">
        <f t="shared" si="0"/>
        <v>90</v>
      </c>
      <c r="H10" t="s">
        <v>775</v>
      </c>
      <c r="I10">
        <v>3</v>
      </c>
    </row>
    <row r="11" spans="1:9" x14ac:dyDescent="0.25">
      <c r="A11" t="s">
        <v>765</v>
      </c>
      <c r="B11" t="s">
        <v>39</v>
      </c>
      <c r="C11">
        <v>2</v>
      </c>
      <c r="D11">
        <v>2</v>
      </c>
      <c r="E11">
        <v>10</v>
      </c>
      <c r="F11">
        <f t="shared" si="0"/>
        <v>20</v>
      </c>
      <c r="H11" t="s">
        <v>785</v>
      </c>
      <c r="I11">
        <v>3</v>
      </c>
    </row>
    <row r="12" spans="1:9" x14ac:dyDescent="0.25">
      <c r="A12" t="s">
        <v>766</v>
      </c>
      <c r="B12" t="s">
        <v>41</v>
      </c>
      <c r="C12">
        <v>3</v>
      </c>
      <c r="D12">
        <v>4</v>
      </c>
      <c r="E12">
        <v>10</v>
      </c>
      <c r="F12">
        <f t="shared" si="0"/>
        <v>40</v>
      </c>
      <c r="H12" t="s">
        <v>772</v>
      </c>
      <c r="I12">
        <v>3</v>
      </c>
    </row>
    <row r="13" spans="1:9" x14ac:dyDescent="0.25">
      <c r="A13" t="s">
        <v>767</v>
      </c>
      <c r="B13" t="s">
        <v>43</v>
      </c>
      <c r="C13">
        <v>1</v>
      </c>
      <c r="D13">
        <v>2</v>
      </c>
      <c r="E13">
        <v>10</v>
      </c>
      <c r="F13">
        <f t="shared" si="0"/>
        <v>20</v>
      </c>
      <c r="H13" t="s">
        <v>771</v>
      </c>
      <c r="I13">
        <v>3</v>
      </c>
    </row>
    <row r="14" spans="1:9" x14ac:dyDescent="0.25">
      <c r="A14" t="s">
        <v>768</v>
      </c>
      <c r="B14" t="s">
        <v>45</v>
      </c>
      <c r="C14">
        <v>2</v>
      </c>
      <c r="D14">
        <v>5</v>
      </c>
      <c r="E14">
        <v>10</v>
      </c>
      <c r="F14">
        <f t="shared" si="0"/>
        <v>50</v>
      </c>
      <c r="H14" t="s">
        <v>757</v>
      </c>
      <c r="I14">
        <v>3</v>
      </c>
    </row>
    <row r="15" spans="1:9" x14ac:dyDescent="0.25">
      <c r="A15" t="s">
        <v>769</v>
      </c>
      <c r="B15" s="2" t="s">
        <v>47</v>
      </c>
      <c r="C15">
        <v>2</v>
      </c>
      <c r="D15">
        <v>1</v>
      </c>
      <c r="E15">
        <v>10</v>
      </c>
      <c r="F15">
        <f t="shared" si="0"/>
        <v>10</v>
      </c>
      <c r="H15" t="s">
        <v>805</v>
      </c>
      <c r="I15">
        <v>3</v>
      </c>
    </row>
    <row r="16" spans="1:9" x14ac:dyDescent="0.25">
      <c r="A16" t="s">
        <v>770</v>
      </c>
      <c r="B16" s="2" t="s">
        <v>49</v>
      </c>
      <c r="C16">
        <v>1</v>
      </c>
      <c r="D16">
        <v>2</v>
      </c>
      <c r="E16">
        <v>10</v>
      </c>
      <c r="F16">
        <f t="shared" si="0"/>
        <v>20</v>
      </c>
      <c r="H16" t="s">
        <v>758</v>
      </c>
      <c r="I16">
        <v>3</v>
      </c>
    </row>
    <row r="17" spans="1:9" x14ac:dyDescent="0.25">
      <c r="A17" t="s">
        <v>771</v>
      </c>
      <c r="B17" s="2" t="s">
        <v>51</v>
      </c>
      <c r="C17">
        <v>3</v>
      </c>
      <c r="D17">
        <v>2</v>
      </c>
      <c r="E17">
        <v>10</v>
      </c>
      <c r="F17">
        <f t="shared" si="0"/>
        <v>20</v>
      </c>
      <c r="H17" t="s">
        <v>781</v>
      </c>
      <c r="I17">
        <v>2</v>
      </c>
    </row>
    <row r="18" spans="1:9" x14ac:dyDescent="0.25">
      <c r="A18" t="s">
        <v>772</v>
      </c>
      <c r="B18" t="s">
        <v>53</v>
      </c>
      <c r="C18">
        <v>3</v>
      </c>
      <c r="D18">
        <v>2</v>
      </c>
      <c r="E18">
        <v>10</v>
      </c>
      <c r="F18">
        <f t="shared" si="0"/>
        <v>20</v>
      </c>
      <c r="H18" t="s">
        <v>763</v>
      </c>
      <c r="I18">
        <v>3</v>
      </c>
    </row>
    <row r="19" spans="1:9" x14ac:dyDescent="0.25">
      <c r="A19" t="s">
        <v>773</v>
      </c>
      <c r="B19" t="s">
        <v>55</v>
      </c>
      <c r="C19">
        <v>3</v>
      </c>
      <c r="D19">
        <v>1</v>
      </c>
      <c r="E19">
        <v>10</v>
      </c>
      <c r="F19">
        <f t="shared" si="0"/>
        <v>10</v>
      </c>
      <c r="H19" t="s">
        <v>756</v>
      </c>
      <c r="I19">
        <v>3</v>
      </c>
    </row>
    <row r="20" spans="1:9" x14ac:dyDescent="0.25">
      <c r="A20" t="s">
        <v>774</v>
      </c>
      <c r="B20" t="s">
        <v>57</v>
      </c>
      <c r="C20">
        <v>1</v>
      </c>
      <c r="D20">
        <v>2</v>
      </c>
      <c r="E20">
        <v>10</v>
      </c>
      <c r="F20">
        <f t="shared" si="0"/>
        <v>20</v>
      </c>
      <c r="H20" t="s">
        <v>761</v>
      </c>
      <c r="I20">
        <v>3</v>
      </c>
    </row>
    <row r="21" spans="1:9" x14ac:dyDescent="0.25">
      <c r="A21" t="s">
        <v>775</v>
      </c>
      <c r="B21" t="s">
        <v>59</v>
      </c>
      <c r="C21">
        <v>3</v>
      </c>
      <c r="D21">
        <v>2</v>
      </c>
      <c r="E21">
        <v>10</v>
      </c>
      <c r="F21">
        <f t="shared" si="0"/>
        <v>20</v>
      </c>
      <c r="H21" t="s">
        <v>773</v>
      </c>
      <c r="I21">
        <v>3</v>
      </c>
    </row>
    <row r="22" spans="1:9" x14ac:dyDescent="0.25">
      <c r="A22" t="s">
        <v>776</v>
      </c>
      <c r="B22" t="s">
        <v>61</v>
      </c>
      <c r="C22">
        <v>2</v>
      </c>
      <c r="D22">
        <v>1</v>
      </c>
      <c r="E22">
        <v>10</v>
      </c>
      <c r="F22">
        <f t="shared" si="0"/>
        <v>10</v>
      </c>
      <c r="H22" t="s">
        <v>780</v>
      </c>
      <c r="I22">
        <v>2</v>
      </c>
    </row>
    <row r="23" spans="1:9" x14ac:dyDescent="0.25">
      <c r="A23" t="s">
        <v>777</v>
      </c>
      <c r="B23" t="s">
        <v>63</v>
      </c>
      <c r="C23">
        <v>1</v>
      </c>
      <c r="D23">
        <v>2</v>
      </c>
      <c r="E23">
        <v>10</v>
      </c>
      <c r="F23">
        <f t="shared" si="0"/>
        <v>20</v>
      </c>
      <c r="H23" t="s">
        <v>769</v>
      </c>
      <c r="I23">
        <v>2</v>
      </c>
    </row>
    <row r="24" spans="1:9" x14ac:dyDescent="0.25">
      <c r="A24" t="s">
        <v>778</v>
      </c>
      <c r="B24" t="s">
        <v>65</v>
      </c>
      <c r="C24">
        <v>2</v>
      </c>
      <c r="D24">
        <v>3</v>
      </c>
      <c r="E24">
        <v>10</v>
      </c>
      <c r="F24">
        <f t="shared" si="0"/>
        <v>30</v>
      </c>
      <c r="H24" t="s">
        <v>765</v>
      </c>
      <c r="I24">
        <v>2</v>
      </c>
    </row>
    <row r="25" spans="1:9" x14ac:dyDescent="0.25">
      <c r="A25" t="s">
        <v>779</v>
      </c>
      <c r="B25" t="s">
        <v>67</v>
      </c>
      <c r="C25">
        <v>2</v>
      </c>
      <c r="D25">
        <v>1</v>
      </c>
      <c r="E25">
        <v>10</v>
      </c>
      <c r="F25">
        <f t="shared" si="0"/>
        <v>10</v>
      </c>
      <c r="H25" t="s">
        <v>797</v>
      </c>
      <c r="I25">
        <v>3</v>
      </c>
    </row>
    <row r="26" spans="1:9" x14ac:dyDescent="0.25">
      <c r="A26" t="s">
        <v>780</v>
      </c>
      <c r="B26" t="s">
        <v>69</v>
      </c>
      <c r="C26">
        <v>2</v>
      </c>
      <c r="D26">
        <v>1</v>
      </c>
      <c r="E26">
        <v>10</v>
      </c>
      <c r="F26">
        <f t="shared" si="0"/>
        <v>10</v>
      </c>
      <c r="H26" t="s">
        <v>782</v>
      </c>
      <c r="I26">
        <v>1</v>
      </c>
    </row>
    <row r="27" spans="1:9" x14ac:dyDescent="0.25">
      <c r="A27" t="s">
        <v>781</v>
      </c>
      <c r="B27" s="2" t="s">
        <v>71</v>
      </c>
      <c r="C27">
        <v>2</v>
      </c>
      <c r="D27">
        <v>1</v>
      </c>
      <c r="E27">
        <v>10</v>
      </c>
      <c r="F27">
        <f t="shared" si="0"/>
        <v>10</v>
      </c>
      <c r="H27" t="s">
        <v>786</v>
      </c>
      <c r="I27">
        <v>1</v>
      </c>
    </row>
    <row r="28" spans="1:9" x14ac:dyDescent="0.25">
      <c r="A28" t="s">
        <v>782</v>
      </c>
      <c r="B28" t="s">
        <v>73</v>
      </c>
      <c r="C28">
        <v>1</v>
      </c>
      <c r="D28">
        <v>2</v>
      </c>
      <c r="E28">
        <v>10</v>
      </c>
      <c r="F28">
        <f t="shared" si="0"/>
        <v>20</v>
      </c>
      <c r="H28" t="s">
        <v>791</v>
      </c>
      <c r="I28">
        <v>1</v>
      </c>
    </row>
    <row r="29" spans="1:9" x14ac:dyDescent="0.25">
      <c r="A29" t="s">
        <v>783</v>
      </c>
      <c r="B29" t="s">
        <v>75</v>
      </c>
      <c r="C29">
        <v>1</v>
      </c>
      <c r="D29">
        <v>2</v>
      </c>
      <c r="E29">
        <v>10</v>
      </c>
      <c r="F29">
        <f t="shared" si="0"/>
        <v>20</v>
      </c>
      <c r="H29" t="s">
        <v>762</v>
      </c>
      <c r="I29">
        <v>1</v>
      </c>
    </row>
    <row r="30" spans="1:9" x14ac:dyDescent="0.25">
      <c r="A30" t="s">
        <v>784</v>
      </c>
      <c r="B30" t="s">
        <v>77</v>
      </c>
      <c r="C30">
        <v>3</v>
      </c>
      <c r="D30">
        <v>3</v>
      </c>
      <c r="E30">
        <v>10</v>
      </c>
      <c r="F30">
        <f t="shared" si="0"/>
        <v>30</v>
      </c>
      <c r="H30" t="s">
        <v>795</v>
      </c>
      <c r="I30">
        <v>1</v>
      </c>
    </row>
    <row r="31" spans="1:9" x14ac:dyDescent="0.25">
      <c r="A31" t="s">
        <v>785</v>
      </c>
      <c r="B31" t="s">
        <v>79</v>
      </c>
      <c r="C31">
        <v>3</v>
      </c>
      <c r="D31">
        <v>2</v>
      </c>
      <c r="E31">
        <v>10</v>
      </c>
      <c r="F31">
        <f t="shared" si="0"/>
        <v>20</v>
      </c>
      <c r="H31" t="s">
        <v>807</v>
      </c>
      <c r="I31">
        <v>1</v>
      </c>
    </row>
    <row r="32" spans="1:9" x14ac:dyDescent="0.25">
      <c r="A32" t="s">
        <v>786</v>
      </c>
      <c r="B32" t="s">
        <v>81</v>
      </c>
      <c r="C32">
        <v>1</v>
      </c>
      <c r="D32">
        <v>2</v>
      </c>
      <c r="E32">
        <v>10</v>
      </c>
      <c r="F32">
        <f t="shared" si="0"/>
        <v>20</v>
      </c>
      <c r="H32" t="s">
        <v>789</v>
      </c>
      <c r="I32">
        <v>1</v>
      </c>
    </row>
    <row r="33" spans="1:9" x14ac:dyDescent="0.25">
      <c r="A33" t="s">
        <v>787</v>
      </c>
      <c r="B33" t="s">
        <v>83</v>
      </c>
      <c r="C33">
        <v>2</v>
      </c>
      <c r="D33">
        <v>7</v>
      </c>
      <c r="E33">
        <v>10</v>
      </c>
      <c r="F33">
        <f t="shared" si="0"/>
        <v>70</v>
      </c>
      <c r="H33" t="s">
        <v>783</v>
      </c>
      <c r="I33">
        <v>1</v>
      </c>
    </row>
    <row r="34" spans="1:9" x14ac:dyDescent="0.25">
      <c r="A34" t="s">
        <v>788</v>
      </c>
      <c r="B34" t="s">
        <v>85</v>
      </c>
      <c r="C34">
        <v>2</v>
      </c>
      <c r="D34">
        <v>7</v>
      </c>
      <c r="E34">
        <v>10</v>
      </c>
      <c r="F34">
        <f t="shared" ref="F34:F60" si="1">E34*D34</f>
        <v>70</v>
      </c>
      <c r="H34" t="s">
        <v>793</v>
      </c>
      <c r="I34">
        <v>1</v>
      </c>
    </row>
    <row r="35" spans="1:9" x14ac:dyDescent="0.25">
      <c r="A35" t="s">
        <v>789</v>
      </c>
      <c r="B35" t="s">
        <v>87</v>
      </c>
      <c r="C35">
        <v>1</v>
      </c>
      <c r="D35">
        <v>2</v>
      </c>
      <c r="E35">
        <v>10</v>
      </c>
      <c r="F35">
        <f t="shared" si="1"/>
        <v>20</v>
      </c>
      <c r="H35" t="s">
        <v>767</v>
      </c>
      <c r="I35">
        <v>1</v>
      </c>
    </row>
    <row r="36" spans="1:9" x14ac:dyDescent="0.25">
      <c r="A36" t="s">
        <v>790</v>
      </c>
      <c r="B36" t="s">
        <v>89</v>
      </c>
      <c r="C36">
        <v>2</v>
      </c>
      <c r="D36">
        <v>8</v>
      </c>
      <c r="E36">
        <v>10</v>
      </c>
      <c r="F36">
        <f t="shared" si="1"/>
        <v>80</v>
      </c>
      <c r="H36" t="s">
        <v>801</v>
      </c>
      <c r="I36">
        <v>1</v>
      </c>
    </row>
    <row r="37" spans="1:9" x14ac:dyDescent="0.25">
      <c r="A37" t="s">
        <v>791</v>
      </c>
      <c r="B37" t="s">
        <v>91</v>
      </c>
      <c r="C37">
        <v>1</v>
      </c>
      <c r="D37">
        <v>2</v>
      </c>
      <c r="E37">
        <v>10</v>
      </c>
      <c r="F37">
        <f t="shared" si="1"/>
        <v>20</v>
      </c>
      <c r="H37" t="s">
        <v>804</v>
      </c>
      <c r="I37">
        <v>1</v>
      </c>
    </row>
    <row r="38" spans="1:9" x14ac:dyDescent="0.25">
      <c r="A38" t="s">
        <v>792</v>
      </c>
      <c r="B38" t="s">
        <v>93</v>
      </c>
      <c r="C38">
        <v>3</v>
      </c>
      <c r="D38">
        <v>9</v>
      </c>
      <c r="E38">
        <v>10</v>
      </c>
      <c r="F38">
        <f t="shared" si="1"/>
        <v>90</v>
      </c>
      <c r="H38" t="s">
        <v>810</v>
      </c>
      <c r="I38">
        <v>1</v>
      </c>
    </row>
    <row r="39" spans="1:9" x14ac:dyDescent="0.25">
      <c r="A39" t="s">
        <v>793</v>
      </c>
      <c r="B39" t="s">
        <v>95</v>
      </c>
      <c r="C39">
        <v>1</v>
      </c>
      <c r="D39">
        <v>2</v>
      </c>
      <c r="E39">
        <v>10</v>
      </c>
      <c r="F39">
        <f t="shared" si="1"/>
        <v>20</v>
      </c>
      <c r="H39" t="s">
        <v>796</v>
      </c>
      <c r="I39">
        <v>1</v>
      </c>
    </row>
    <row r="40" spans="1:9" x14ac:dyDescent="0.25">
      <c r="A40" t="s">
        <v>794</v>
      </c>
      <c r="B40" t="s">
        <v>97</v>
      </c>
      <c r="C40">
        <v>1</v>
      </c>
      <c r="D40">
        <v>2</v>
      </c>
      <c r="E40">
        <v>10</v>
      </c>
      <c r="F40">
        <f t="shared" si="1"/>
        <v>20</v>
      </c>
      <c r="H40" t="s">
        <v>770</v>
      </c>
      <c r="I40">
        <v>1</v>
      </c>
    </row>
    <row r="41" spans="1:9" x14ac:dyDescent="0.25">
      <c r="A41" t="s">
        <v>795</v>
      </c>
      <c r="B41" t="s">
        <v>99</v>
      </c>
      <c r="C41">
        <v>1</v>
      </c>
      <c r="D41">
        <v>2</v>
      </c>
      <c r="E41">
        <v>10</v>
      </c>
      <c r="F41">
        <f t="shared" si="1"/>
        <v>20</v>
      </c>
      <c r="H41" t="s">
        <v>774</v>
      </c>
      <c r="I41">
        <v>1</v>
      </c>
    </row>
    <row r="42" spans="1:9" x14ac:dyDescent="0.25">
      <c r="A42" t="s">
        <v>796</v>
      </c>
      <c r="B42" t="s">
        <v>101</v>
      </c>
      <c r="C42">
        <v>1</v>
      </c>
      <c r="D42">
        <v>2</v>
      </c>
      <c r="E42">
        <v>10</v>
      </c>
      <c r="F42">
        <f t="shared" si="1"/>
        <v>20</v>
      </c>
      <c r="H42" t="s">
        <v>814</v>
      </c>
      <c r="I42">
        <v>2</v>
      </c>
    </row>
    <row r="43" spans="1:9" x14ac:dyDescent="0.25">
      <c r="A43" t="s">
        <v>797</v>
      </c>
      <c r="B43" t="s">
        <v>103</v>
      </c>
      <c r="C43">
        <v>3</v>
      </c>
      <c r="D43">
        <v>1</v>
      </c>
      <c r="E43">
        <v>10</v>
      </c>
      <c r="F43">
        <f t="shared" si="1"/>
        <v>10</v>
      </c>
      <c r="H43" t="s">
        <v>766</v>
      </c>
      <c r="I43">
        <v>3</v>
      </c>
    </row>
    <row r="44" spans="1:9" x14ac:dyDescent="0.25">
      <c r="A44" t="s">
        <v>798</v>
      </c>
      <c r="B44" s="2" t="s">
        <v>105</v>
      </c>
      <c r="C44">
        <v>2</v>
      </c>
      <c r="D44">
        <v>3</v>
      </c>
      <c r="E44">
        <v>10</v>
      </c>
      <c r="F44">
        <f t="shared" si="1"/>
        <v>30</v>
      </c>
      <c r="H44" t="s">
        <v>799</v>
      </c>
      <c r="I44">
        <v>2</v>
      </c>
    </row>
    <row r="45" spans="1:9" x14ac:dyDescent="0.25">
      <c r="A45" t="s">
        <v>799</v>
      </c>
      <c r="B45" t="s">
        <v>107</v>
      </c>
      <c r="C45">
        <v>2</v>
      </c>
      <c r="D45">
        <v>5</v>
      </c>
      <c r="E45">
        <v>10</v>
      </c>
      <c r="F45">
        <f t="shared" si="1"/>
        <v>50</v>
      </c>
      <c r="H45" t="s">
        <v>800</v>
      </c>
      <c r="I45">
        <v>2</v>
      </c>
    </row>
    <row r="46" spans="1:9" x14ac:dyDescent="0.25">
      <c r="A46" t="s">
        <v>800</v>
      </c>
      <c r="B46" t="s">
        <v>109</v>
      </c>
      <c r="C46">
        <v>2</v>
      </c>
      <c r="D46">
        <v>5</v>
      </c>
      <c r="E46">
        <v>10</v>
      </c>
      <c r="F46">
        <f t="shared" si="1"/>
        <v>50</v>
      </c>
      <c r="H46" t="s">
        <v>768</v>
      </c>
      <c r="I46">
        <v>2</v>
      </c>
    </row>
    <row r="47" spans="1:9" x14ac:dyDescent="0.25">
      <c r="A47" t="s">
        <v>801</v>
      </c>
      <c r="B47" t="s">
        <v>111</v>
      </c>
      <c r="C47">
        <v>1</v>
      </c>
      <c r="D47">
        <v>2</v>
      </c>
      <c r="E47">
        <v>10</v>
      </c>
      <c r="F47">
        <f t="shared" si="1"/>
        <v>20</v>
      </c>
      <c r="H47" t="s">
        <v>760</v>
      </c>
      <c r="I47">
        <v>2</v>
      </c>
    </row>
    <row r="48" spans="1:9" x14ac:dyDescent="0.25">
      <c r="A48" t="s">
        <v>802</v>
      </c>
      <c r="B48" t="s">
        <v>113</v>
      </c>
      <c r="C48">
        <v>3</v>
      </c>
      <c r="D48">
        <v>2</v>
      </c>
      <c r="E48">
        <v>10</v>
      </c>
      <c r="F48">
        <f t="shared" si="1"/>
        <v>20</v>
      </c>
      <c r="H48" t="s">
        <v>787</v>
      </c>
      <c r="I48">
        <v>2</v>
      </c>
    </row>
    <row r="49" spans="1:9" x14ac:dyDescent="0.25">
      <c r="A49" t="s">
        <v>803</v>
      </c>
      <c r="B49" t="s">
        <v>115</v>
      </c>
      <c r="C49">
        <v>3</v>
      </c>
      <c r="D49">
        <v>7</v>
      </c>
      <c r="E49">
        <v>10</v>
      </c>
      <c r="F49">
        <f t="shared" si="1"/>
        <v>70</v>
      </c>
      <c r="H49" t="s">
        <v>788</v>
      </c>
      <c r="I49">
        <v>2</v>
      </c>
    </row>
    <row r="50" spans="1:9" x14ac:dyDescent="0.25">
      <c r="A50" t="s">
        <v>804</v>
      </c>
      <c r="B50" t="s">
        <v>117</v>
      </c>
      <c r="C50">
        <v>1</v>
      </c>
      <c r="D50">
        <v>2</v>
      </c>
      <c r="E50">
        <v>10</v>
      </c>
      <c r="F50">
        <f t="shared" si="1"/>
        <v>20</v>
      </c>
      <c r="H50" t="s">
        <v>812</v>
      </c>
      <c r="I50">
        <v>2</v>
      </c>
    </row>
    <row r="51" spans="1:9" x14ac:dyDescent="0.25">
      <c r="A51" t="s">
        <v>805</v>
      </c>
      <c r="B51" t="s">
        <v>119</v>
      </c>
      <c r="C51">
        <v>3</v>
      </c>
      <c r="D51">
        <v>3</v>
      </c>
      <c r="E51">
        <v>10</v>
      </c>
      <c r="F51">
        <f t="shared" si="1"/>
        <v>30</v>
      </c>
      <c r="H51" t="s">
        <v>778</v>
      </c>
      <c r="I51">
        <v>2</v>
      </c>
    </row>
    <row r="52" spans="1:9" x14ac:dyDescent="0.25">
      <c r="A52" t="s">
        <v>806</v>
      </c>
      <c r="B52" t="s">
        <v>121</v>
      </c>
      <c r="C52">
        <v>3</v>
      </c>
      <c r="D52">
        <v>7</v>
      </c>
      <c r="E52">
        <v>10</v>
      </c>
      <c r="F52">
        <f t="shared" si="1"/>
        <v>70</v>
      </c>
      <c r="H52" t="s">
        <v>798</v>
      </c>
      <c r="I52">
        <v>2</v>
      </c>
    </row>
    <row r="53" spans="1:9" x14ac:dyDescent="0.25">
      <c r="A53" t="s">
        <v>807</v>
      </c>
      <c r="B53" t="s">
        <v>123</v>
      </c>
      <c r="C53">
        <v>1</v>
      </c>
      <c r="D53">
        <v>2</v>
      </c>
      <c r="E53">
        <v>10</v>
      </c>
      <c r="F53">
        <f t="shared" si="1"/>
        <v>20</v>
      </c>
      <c r="H53" t="s">
        <v>794</v>
      </c>
      <c r="I53">
        <v>1</v>
      </c>
    </row>
    <row r="54" spans="1:9" x14ac:dyDescent="0.25">
      <c r="A54" t="s">
        <v>808</v>
      </c>
      <c r="B54" t="s">
        <v>125</v>
      </c>
      <c r="C54">
        <v>3</v>
      </c>
      <c r="D54">
        <v>1</v>
      </c>
      <c r="E54">
        <v>10</v>
      </c>
      <c r="F54">
        <f t="shared" si="1"/>
        <v>10</v>
      </c>
      <c r="H54" t="s">
        <v>784</v>
      </c>
      <c r="I54">
        <v>3</v>
      </c>
    </row>
    <row r="55" spans="1:9" x14ac:dyDescent="0.25">
      <c r="A55" t="s">
        <v>809</v>
      </c>
      <c r="B55" t="s">
        <v>127</v>
      </c>
      <c r="C55">
        <v>3</v>
      </c>
      <c r="D55">
        <v>2</v>
      </c>
      <c r="E55">
        <v>10</v>
      </c>
      <c r="F55">
        <f t="shared" si="1"/>
        <v>20</v>
      </c>
      <c r="H55" t="s">
        <v>790</v>
      </c>
      <c r="I55">
        <v>2</v>
      </c>
    </row>
    <row r="56" spans="1:9" x14ac:dyDescent="0.25">
      <c r="A56" t="s">
        <v>810</v>
      </c>
      <c r="B56" t="s">
        <v>129</v>
      </c>
      <c r="C56">
        <v>1</v>
      </c>
      <c r="D56">
        <v>2</v>
      </c>
      <c r="E56">
        <v>10</v>
      </c>
      <c r="F56">
        <f t="shared" si="1"/>
        <v>20</v>
      </c>
      <c r="H56" t="s">
        <v>792</v>
      </c>
      <c r="I56">
        <v>3</v>
      </c>
    </row>
    <row r="57" spans="1:9" x14ac:dyDescent="0.25">
      <c r="A57" t="s">
        <v>811</v>
      </c>
      <c r="B57" t="s">
        <v>131</v>
      </c>
      <c r="C57">
        <v>3</v>
      </c>
      <c r="D57">
        <v>2</v>
      </c>
      <c r="E57">
        <v>10</v>
      </c>
      <c r="F57">
        <f t="shared" si="1"/>
        <v>20</v>
      </c>
      <c r="H57" t="s">
        <v>764</v>
      </c>
      <c r="I57">
        <v>3</v>
      </c>
    </row>
    <row r="58" spans="1:9" x14ac:dyDescent="0.25">
      <c r="A58" t="s">
        <v>812</v>
      </c>
      <c r="B58" t="s">
        <v>133</v>
      </c>
      <c r="C58">
        <v>2</v>
      </c>
      <c r="D58">
        <v>3</v>
      </c>
      <c r="E58">
        <v>10</v>
      </c>
      <c r="F58">
        <f t="shared" si="1"/>
        <v>30</v>
      </c>
      <c r="H58" t="s">
        <v>803</v>
      </c>
      <c r="I58">
        <v>3</v>
      </c>
    </row>
    <row r="59" spans="1:9" x14ac:dyDescent="0.25">
      <c r="A59" t="s">
        <v>813</v>
      </c>
      <c r="B59" t="s">
        <v>135</v>
      </c>
      <c r="C59">
        <v>3</v>
      </c>
      <c r="D59">
        <v>2</v>
      </c>
      <c r="E59">
        <v>10</v>
      </c>
      <c r="F59">
        <f t="shared" si="1"/>
        <v>20</v>
      </c>
      <c r="H59" t="s">
        <v>806</v>
      </c>
      <c r="I59">
        <v>3</v>
      </c>
    </row>
    <row r="60" spans="1:9" x14ac:dyDescent="0.25">
      <c r="A60" t="s">
        <v>814</v>
      </c>
      <c r="B60" t="s">
        <v>137</v>
      </c>
      <c r="C60">
        <v>2</v>
      </c>
      <c r="D60">
        <v>1</v>
      </c>
      <c r="E60">
        <v>10</v>
      </c>
      <c r="F60">
        <f t="shared" si="1"/>
        <v>10</v>
      </c>
      <c r="H60" t="s">
        <v>777</v>
      </c>
      <c r="I6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34" workbookViewId="0">
      <selection activeCell="B42" sqref="B42"/>
    </sheetView>
  </sheetViews>
  <sheetFormatPr defaultRowHeight="15" x14ac:dyDescent="0.25"/>
  <cols>
    <col min="1" max="1" width="17.5703125" bestFit="1" customWidth="1"/>
    <col min="2" max="2" width="6.42578125" style="10" bestFit="1" customWidth="1"/>
    <col min="3" max="3" width="10.5703125" style="10" bestFit="1" customWidth="1"/>
    <col min="4" max="4" width="9.140625" style="10"/>
  </cols>
  <sheetData>
    <row r="1" spans="1:3" x14ac:dyDescent="0.25">
      <c r="A1" s="11" t="s">
        <v>934</v>
      </c>
      <c r="B1" s="11" t="s">
        <v>938</v>
      </c>
      <c r="C1" s="11" t="s">
        <v>933</v>
      </c>
    </row>
    <row r="2" spans="1:3" x14ac:dyDescent="0.25">
      <c r="A2" s="4">
        <v>1</v>
      </c>
      <c r="B2" s="10" t="s">
        <v>21</v>
      </c>
      <c r="C2" s="4">
        <v>18</v>
      </c>
    </row>
    <row r="3" spans="1:3" x14ac:dyDescent="0.25">
      <c r="A3" s="4">
        <v>2</v>
      </c>
      <c r="B3" s="10" t="s">
        <v>23</v>
      </c>
      <c r="C3" s="4">
        <v>13</v>
      </c>
    </row>
    <row r="4" spans="1:3" x14ac:dyDescent="0.25">
      <c r="A4" s="4">
        <v>3</v>
      </c>
      <c r="B4" s="10" t="s">
        <v>25</v>
      </c>
      <c r="C4" s="4">
        <v>15</v>
      </c>
    </row>
    <row r="5" spans="1:3" x14ac:dyDescent="0.25">
      <c r="A5" s="4">
        <v>4</v>
      </c>
      <c r="B5" s="10" t="s">
        <v>27</v>
      </c>
      <c r="C5" s="4">
        <v>4</v>
      </c>
    </row>
    <row r="6" spans="1:3" x14ac:dyDescent="0.25">
      <c r="A6" s="4">
        <v>5</v>
      </c>
      <c r="B6" s="10" t="s">
        <v>29</v>
      </c>
      <c r="C6" s="4">
        <v>46</v>
      </c>
    </row>
    <row r="7" spans="1:3" x14ac:dyDescent="0.25">
      <c r="A7" s="4">
        <v>6</v>
      </c>
      <c r="B7" s="10" t="s">
        <v>31</v>
      </c>
      <c r="C7" s="4">
        <v>19</v>
      </c>
    </row>
    <row r="8" spans="1:3" x14ac:dyDescent="0.25">
      <c r="A8" s="4">
        <v>7</v>
      </c>
      <c r="B8" s="10" t="s">
        <v>33</v>
      </c>
      <c r="C8" s="4">
        <v>28</v>
      </c>
    </row>
    <row r="9" spans="1:3" x14ac:dyDescent="0.25">
      <c r="A9" s="4">
        <v>8</v>
      </c>
      <c r="B9" s="10" t="s">
        <v>35</v>
      </c>
      <c r="C9" s="4">
        <v>17</v>
      </c>
    </row>
    <row r="10" spans="1:3" x14ac:dyDescent="0.25">
      <c r="A10" s="4">
        <v>9</v>
      </c>
      <c r="B10" s="10" t="s">
        <v>37</v>
      </c>
      <c r="C10" s="4">
        <v>56</v>
      </c>
    </row>
    <row r="11" spans="1:3" x14ac:dyDescent="0.25">
      <c r="A11" s="4">
        <v>10</v>
      </c>
      <c r="B11" s="10" t="s">
        <v>39</v>
      </c>
      <c r="C11" s="4">
        <v>23</v>
      </c>
    </row>
    <row r="12" spans="1:3" x14ac:dyDescent="0.25">
      <c r="A12" s="4">
        <v>11</v>
      </c>
      <c r="B12" s="10" t="s">
        <v>41</v>
      </c>
      <c r="C12" s="4">
        <v>42</v>
      </c>
    </row>
    <row r="13" spans="1:3" x14ac:dyDescent="0.25">
      <c r="A13" s="4">
        <v>12</v>
      </c>
      <c r="B13" s="10" t="s">
        <v>43</v>
      </c>
      <c r="C13" s="4">
        <v>34</v>
      </c>
    </row>
    <row r="14" spans="1:3" x14ac:dyDescent="0.25">
      <c r="A14" s="4">
        <v>13</v>
      </c>
      <c r="B14" s="10" t="s">
        <v>45</v>
      </c>
      <c r="C14" s="4">
        <v>45</v>
      </c>
    </row>
    <row r="15" spans="1:3" x14ac:dyDescent="0.25">
      <c r="A15" s="4">
        <v>14</v>
      </c>
      <c r="B15" s="10" t="s">
        <v>47</v>
      </c>
      <c r="C15" s="4">
        <v>22</v>
      </c>
    </row>
    <row r="16" spans="1:3" x14ac:dyDescent="0.25">
      <c r="A16" s="4">
        <v>15</v>
      </c>
      <c r="B16" s="10" t="s">
        <v>49</v>
      </c>
      <c r="C16" s="4">
        <v>39</v>
      </c>
    </row>
    <row r="17" spans="1:3" x14ac:dyDescent="0.25">
      <c r="A17" s="4">
        <v>16</v>
      </c>
      <c r="B17" s="10" t="s">
        <v>51</v>
      </c>
      <c r="C17" s="4">
        <v>12</v>
      </c>
    </row>
    <row r="18" spans="1:3" x14ac:dyDescent="0.25">
      <c r="A18" s="4">
        <v>17</v>
      </c>
      <c r="B18" s="10" t="s">
        <v>53</v>
      </c>
      <c r="C18" s="4">
        <v>11</v>
      </c>
    </row>
    <row r="19" spans="1:3" x14ac:dyDescent="0.25">
      <c r="A19" s="4">
        <v>18</v>
      </c>
      <c r="B19" s="10" t="s">
        <v>55</v>
      </c>
      <c r="C19" s="4">
        <v>20</v>
      </c>
    </row>
    <row r="20" spans="1:3" x14ac:dyDescent="0.25">
      <c r="A20" s="4">
        <v>19</v>
      </c>
      <c r="B20" s="10" t="s">
        <v>57</v>
      </c>
      <c r="C20" s="4">
        <v>40</v>
      </c>
    </row>
    <row r="21" spans="1:3" x14ac:dyDescent="0.25">
      <c r="A21" s="4">
        <v>20</v>
      </c>
      <c r="B21" s="10" t="s">
        <v>59</v>
      </c>
      <c r="C21" s="4">
        <v>9</v>
      </c>
    </row>
    <row r="22" spans="1:3" x14ac:dyDescent="0.25">
      <c r="A22" s="4">
        <v>21</v>
      </c>
      <c r="B22" s="10" t="s">
        <v>61</v>
      </c>
      <c r="C22" s="4">
        <v>2</v>
      </c>
    </row>
    <row r="23" spans="1:3" x14ac:dyDescent="0.25">
      <c r="A23" s="4">
        <v>22</v>
      </c>
      <c r="B23" s="10" t="s">
        <v>63</v>
      </c>
      <c r="C23" s="4">
        <v>59</v>
      </c>
    </row>
    <row r="24" spans="1:3" x14ac:dyDescent="0.25">
      <c r="A24" s="4">
        <v>23</v>
      </c>
      <c r="B24" s="10" t="s">
        <v>65</v>
      </c>
      <c r="C24" s="4">
        <v>50</v>
      </c>
    </row>
    <row r="25" spans="1:3" x14ac:dyDescent="0.25">
      <c r="A25" s="4">
        <v>24</v>
      </c>
      <c r="B25" s="10" t="s">
        <v>67</v>
      </c>
      <c r="C25" s="4">
        <v>1</v>
      </c>
    </row>
    <row r="26" spans="1:3" x14ac:dyDescent="0.25">
      <c r="A26" s="4">
        <v>25</v>
      </c>
      <c r="B26" s="10" t="s">
        <v>69</v>
      </c>
      <c r="C26" s="4">
        <v>21</v>
      </c>
    </row>
    <row r="27" spans="1:3" x14ac:dyDescent="0.25">
      <c r="A27" s="4">
        <v>26</v>
      </c>
      <c r="B27" s="10" t="s">
        <v>71</v>
      </c>
      <c r="C27" s="4">
        <v>16</v>
      </c>
    </row>
    <row r="28" spans="1:3" x14ac:dyDescent="0.25">
      <c r="A28" s="4">
        <v>27</v>
      </c>
      <c r="B28" s="10" t="s">
        <v>73</v>
      </c>
      <c r="C28" s="4">
        <v>25</v>
      </c>
    </row>
    <row r="29" spans="1:3" x14ac:dyDescent="0.25">
      <c r="A29" s="4">
        <v>28</v>
      </c>
      <c r="B29" s="10" t="s">
        <v>75</v>
      </c>
      <c r="C29" s="4">
        <v>32</v>
      </c>
    </row>
    <row r="30" spans="1:3" x14ac:dyDescent="0.25">
      <c r="A30" s="4">
        <v>29</v>
      </c>
      <c r="B30" s="10" t="s">
        <v>77</v>
      </c>
      <c r="C30" s="4">
        <v>53</v>
      </c>
    </row>
    <row r="31" spans="1:3" x14ac:dyDescent="0.25">
      <c r="A31" s="4">
        <v>30</v>
      </c>
      <c r="B31" s="10" t="s">
        <v>79</v>
      </c>
      <c r="C31" s="4">
        <v>10</v>
      </c>
    </row>
    <row r="32" spans="1:3" x14ac:dyDescent="0.25">
      <c r="A32" s="4">
        <v>31</v>
      </c>
      <c r="B32" s="10" t="s">
        <v>81</v>
      </c>
      <c r="C32" s="4">
        <v>26</v>
      </c>
    </row>
    <row r="33" spans="1:3" x14ac:dyDescent="0.25">
      <c r="A33" s="4">
        <v>32</v>
      </c>
      <c r="B33" s="10" t="s">
        <v>83</v>
      </c>
      <c r="C33" s="4">
        <v>47</v>
      </c>
    </row>
    <row r="34" spans="1:3" x14ac:dyDescent="0.25">
      <c r="A34" s="4">
        <v>33</v>
      </c>
      <c r="B34" s="10" t="s">
        <v>85</v>
      </c>
      <c r="C34" s="4">
        <v>48</v>
      </c>
    </row>
    <row r="35" spans="1:3" x14ac:dyDescent="0.25">
      <c r="A35" s="4">
        <v>34</v>
      </c>
      <c r="B35" s="10" t="s">
        <v>87</v>
      </c>
      <c r="C35" s="4">
        <v>31</v>
      </c>
    </row>
    <row r="36" spans="1:3" x14ac:dyDescent="0.25">
      <c r="A36" s="4">
        <v>35</v>
      </c>
      <c r="B36" s="10" t="s">
        <v>89</v>
      </c>
      <c r="C36" s="4">
        <v>54</v>
      </c>
    </row>
    <row r="37" spans="1:3" x14ac:dyDescent="0.25">
      <c r="A37" s="4">
        <v>36</v>
      </c>
      <c r="B37" s="10" t="s">
        <v>91</v>
      </c>
      <c r="C37" s="4">
        <v>27</v>
      </c>
    </row>
    <row r="38" spans="1:3" x14ac:dyDescent="0.25">
      <c r="A38" s="4">
        <v>37</v>
      </c>
      <c r="B38" s="10" t="s">
        <v>93</v>
      </c>
      <c r="C38" s="4">
        <v>55</v>
      </c>
    </row>
    <row r="39" spans="1:3" x14ac:dyDescent="0.25">
      <c r="A39" s="4">
        <v>38</v>
      </c>
      <c r="B39" s="10" t="s">
        <v>95</v>
      </c>
      <c r="C39" s="4">
        <v>33</v>
      </c>
    </row>
    <row r="40" spans="1:3" x14ac:dyDescent="0.25">
      <c r="A40" s="4">
        <v>39</v>
      </c>
      <c r="B40" s="10" t="s">
        <v>97</v>
      </c>
      <c r="C40" s="4">
        <v>52</v>
      </c>
    </row>
    <row r="41" spans="1:3" x14ac:dyDescent="0.25">
      <c r="A41" s="4">
        <v>40</v>
      </c>
      <c r="B41" s="10" t="s">
        <v>99</v>
      </c>
      <c r="C41" s="4">
        <v>29</v>
      </c>
    </row>
    <row r="42" spans="1:3" x14ac:dyDescent="0.25">
      <c r="A42" s="4">
        <v>41</v>
      </c>
      <c r="B42" s="10" t="s">
        <v>101</v>
      </c>
      <c r="C42" s="4">
        <v>38</v>
      </c>
    </row>
    <row r="43" spans="1:3" x14ac:dyDescent="0.25">
      <c r="A43" s="4">
        <v>42</v>
      </c>
      <c r="B43" s="10" t="s">
        <v>103</v>
      </c>
      <c r="C43" s="4">
        <v>24</v>
      </c>
    </row>
    <row r="44" spans="1:3" x14ac:dyDescent="0.25">
      <c r="A44" s="4">
        <v>43</v>
      </c>
      <c r="B44" s="10" t="s">
        <v>105</v>
      </c>
      <c r="C44" s="4">
        <v>51</v>
      </c>
    </row>
    <row r="45" spans="1:3" x14ac:dyDescent="0.25">
      <c r="A45" s="4">
        <v>44</v>
      </c>
      <c r="B45" s="10" t="s">
        <v>107</v>
      </c>
      <c r="C45" s="4">
        <v>43</v>
      </c>
    </row>
    <row r="46" spans="1:3" x14ac:dyDescent="0.25">
      <c r="A46" s="4">
        <v>45</v>
      </c>
      <c r="B46" s="10" t="s">
        <v>109</v>
      </c>
      <c r="C46" s="4">
        <v>44</v>
      </c>
    </row>
    <row r="47" spans="1:3" x14ac:dyDescent="0.25">
      <c r="A47" s="4">
        <v>46</v>
      </c>
      <c r="B47" s="10" t="s">
        <v>111</v>
      </c>
      <c r="C47" s="4">
        <v>35</v>
      </c>
    </row>
    <row r="48" spans="1:3" x14ac:dyDescent="0.25">
      <c r="A48" s="4">
        <v>47</v>
      </c>
      <c r="B48" s="10" t="s">
        <v>113</v>
      </c>
      <c r="C48" s="4">
        <v>6</v>
      </c>
    </row>
    <row r="49" spans="1:3" x14ac:dyDescent="0.25">
      <c r="A49" s="4">
        <v>48</v>
      </c>
      <c r="B49" s="10" t="s">
        <v>115</v>
      </c>
      <c r="C49" s="4">
        <v>57</v>
      </c>
    </row>
    <row r="50" spans="1:3" x14ac:dyDescent="0.25">
      <c r="A50" s="4">
        <v>49</v>
      </c>
      <c r="B50" s="10" t="s">
        <v>117</v>
      </c>
      <c r="C50" s="4">
        <v>36</v>
      </c>
    </row>
    <row r="51" spans="1:3" x14ac:dyDescent="0.25">
      <c r="A51" s="4">
        <v>50</v>
      </c>
      <c r="B51" s="10" t="s">
        <v>119</v>
      </c>
      <c r="C51" s="4">
        <v>14</v>
      </c>
    </row>
    <row r="52" spans="1:3" x14ac:dyDescent="0.25">
      <c r="A52" s="4">
        <v>51</v>
      </c>
      <c r="B52" s="10" t="s">
        <v>121</v>
      </c>
      <c r="C52" s="4">
        <v>58</v>
      </c>
    </row>
    <row r="53" spans="1:3" x14ac:dyDescent="0.25">
      <c r="A53" s="4">
        <v>52</v>
      </c>
      <c r="B53" s="10" t="s">
        <v>123</v>
      </c>
      <c r="C53" s="4">
        <v>30</v>
      </c>
    </row>
    <row r="54" spans="1:3" x14ac:dyDescent="0.25">
      <c r="A54" s="4">
        <v>53</v>
      </c>
      <c r="B54" s="10" t="s">
        <v>125</v>
      </c>
      <c r="C54" s="4">
        <v>3</v>
      </c>
    </row>
    <row r="55" spans="1:3" x14ac:dyDescent="0.25">
      <c r="A55" s="4">
        <v>54</v>
      </c>
      <c r="B55" s="10" t="s">
        <v>127</v>
      </c>
      <c r="C55" s="4">
        <v>7</v>
      </c>
    </row>
    <row r="56" spans="1:3" x14ac:dyDescent="0.25">
      <c r="A56" s="4">
        <v>55</v>
      </c>
      <c r="B56" s="10" t="s">
        <v>129</v>
      </c>
      <c r="C56" s="4">
        <v>37</v>
      </c>
    </row>
    <row r="57" spans="1:3" x14ac:dyDescent="0.25">
      <c r="A57" s="4">
        <v>56</v>
      </c>
      <c r="B57" s="10" t="s">
        <v>131</v>
      </c>
      <c r="C57" s="4">
        <v>5</v>
      </c>
    </row>
    <row r="58" spans="1:3" x14ac:dyDescent="0.25">
      <c r="A58" s="4">
        <v>57</v>
      </c>
      <c r="B58" s="10" t="s">
        <v>133</v>
      </c>
      <c r="C58" s="4">
        <v>49</v>
      </c>
    </row>
    <row r="59" spans="1:3" x14ac:dyDescent="0.25">
      <c r="A59" s="4">
        <v>58</v>
      </c>
      <c r="B59" s="10" t="s">
        <v>135</v>
      </c>
      <c r="C59" s="4">
        <v>8</v>
      </c>
    </row>
    <row r="60" spans="1:3" x14ac:dyDescent="0.25">
      <c r="A60" s="4">
        <v>59</v>
      </c>
      <c r="B60" s="10" t="s">
        <v>137</v>
      </c>
      <c r="C60" s="4">
        <v>41</v>
      </c>
    </row>
  </sheetData>
  <sortState ref="A2:C60">
    <sortCondition ref="A2:A6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Q12" sqref="Q12"/>
    </sheetView>
  </sheetViews>
  <sheetFormatPr defaultRowHeight="15" x14ac:dyDescent="0.25"/>
  <cols>
    <col min="1" max="11" width="9.140625" style="4"/>
  </cols>
  <sheetData>
    <row r="1" spans="1:11" x14ac:dyDescent="0.25">
      <c r="A1" s="11" t="s">
        <v>941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</row>
    <row r="2" spans="1:11" x14ac:dyDescent="0.25">
      <c r="A2" s="4" t="s">
        <v>21</v>
      </c>
      <c r="B2" s="4">
        <v>2.4605194854032701</v>
      </c>
      <c r="C2" s="4">
        <v>5.3868105799443802</v>
      </c>
      <c r="D2" s="4">
        <v>8.9938487101930509</v>
      </c>
      <c r="E2" s="4">
        <v>12.8848217588975</v>
      </c>
      <c r="F2" s="4">
        <v>16.757175219079901</v>
      </c>
      <c r="G2" s="4">
        <v>20.4122233421221</v>
      </c>
      <c r="H2" s="4">
        <v>23.737622253013601</v>
      </c>
      <c r="I2" s="4">
        <v>26.6839591327501</v>
      </c>
      <c r="J2" s="4">
        <v>29.243686140799799</v>
      </c>
      <c r="K2" s="4">
        <v>31.4347794283191</v>
      </c>
    </row>
    <row r="3" spans="1:11" x14ac:dyDescent="0.25">
      <c r="A3" s="4" t="s">
        <v>23</v>
      </c>
      <c r="B3" s="4">
        <v>97158.263750071506</v>
      </c>
      <c r="C3" s="4">
        <v>265770.13898294501</v>
      </c>
      <c r="D3" s="4">
        <v>444026.96017106599</v>
      </c>
      <c r="E3" s="4">
        <v>578498.25099946</v>
      </c>
      <c r="F3" s="4">
        <v>668697.38701546099</v>
      </c>
      <c r="G3" s="4">
        <v>725697.66938403097</v>
      </c>
      <c r="H3" s="4">
        <v>760573.84210905305</v>
      </c>
      <c r="I3" s="4">
        <v>781530.50263649097</v>
      </c>
      <c r="J3" s="4">
        <v>793993.60535234294</v>
      </c>
      <c r="K3" s="4">
        <v>801361.40424893796</v>
      </c>
    </row>
    <row r="4" spans="1:11" x14ac:dyDescent="0.25">
      <c r="A4" s="4" t="s">
        <v>25</v>
      </c>
      <c r="B4" s="4">
        <v>111281.79368465301</v>
      </c>
      <c r="C4" s="4">
        <v>298090.65349341999</v>
      </c>
      <c r="D4" s="4">
        <v>466124.89361831802</v>
      </c>
      <c r="E4" s="4">
        <v>586526.69888115895</v>
      </c>
      <c r="F4" s="4">
        <v>664377.50536620605</v>
      </c>
      <c r="G4" s="4">
        <v>712159.87072443299</v>
      </c>
      <c r="H4" s="4">
        <v>740677.68643732602</v>
      </c>
      <c r="I4" s="4">
        <v>757436.04781703698</v>
      </c>
      <c r="J4" s="4">
        <v>767198.38937080605</v>
      </c>
      <c r="K4" s="4">
        <v>772857.12905032095</v>
      </c>
    </row>
    <row r="5" spans="1:11" x14ac:dyDescent="0.25">
      <c r="A5" s="4" t="s">
        <v>27</v>
      </c>
      <c r="B5" s="4">
        <v>156.43329523840299</v>
      </c>
      <c r="C5" s="4">
        <v>544.18084001262105</v>
      </c>
      <c r="D5" s="4">
        <v>1054.6046955131501</v>
      </c>
      <c r="E5" s="4">
        <v>1580.14817967457</v>
      </c>
      <c r="F5" s="4">
        <v>2058.37121948809</v>
      </c>
      <c r="G5" s="4">
        <v>2463.4835460760701</v>
      </c>
      <c r="H5" s="4">
        <v>2791.6001798030702</v>
      </c>
      <c r="I5" s="4">
        <v>3049.61094600149</v>
      </c>
      <c r="J5" s="4">
        <v>3248.4530720549801</v>
      </c>
      <c r="K5" s="4">
        <v>3399.5660148577499</v>
      </c>
    </row>
    <row r="6" spans="1:11" x14ac:dyDescent="0.25">
      <c r="A6" s="4" t="s">
        <v>29</v>
      </c>
      <c r="B6" s="4">
        <v>71779.2418875851</v>
      </c>
      <c r="C6" s="4">
        <v>72876.559528140206</v>
      </c>
      <c r="D6" s="4">
        <v>72883.699475070607</v>
      </c>
      <c r="E6" s="4">
        <v>72883.745698809304</v>
      </c>
      <c r="F6" s="4">
        <v>72883.745998050203</v>
      </c>
      <c r="G6" s="4">
        <v>72883.745999987397</v>
      </c>
      <c r="H6" s="4">
        <v>72883.745999999897</v>
      </c>
      <c r="I6" s="4">
        <v>72883.745999999999</v>
      </c>
      <c r="J6" s="4">
        <v>72883.745999999999</v>
      </c>
      <c r="K6" s="4">
        <v>72883.745999999999</v>
      </c>
    </row>
    <row r="7" spans="1:11" x14ac:dyDescent="0.25">
      <c r="A7" s="4" t="s">
        <v>31</v>
      </c>
      <c r="B7" s="4">
        <v>63.475257401936098</v>
      </c>
      <c r="C7" s="4">
        <v>172.668973842546</v>
      </c>
      <c r="D7" s="4">
        <v>237.623661700111</v>
      </c>
      <c r="E7" s="4">
        <v>267.277750436031</v>
      </c>
      <c r="F7" s="4">
        <v>279.669162488918</v>
      </c>
      <c r="G7" s="4">
        <v>284.679472395858</v>
      </c>
      <c r="H7" s="4">
        <v>286.67972607794599</v>
      </c>
      <c r="I7" s="4">
        <v>287.47430922185703</v>
      </c>
      <c r="J7" s="4">
        <v>287.78932994100398</v>
      </c>
      <c r="K7" s="4">
        <v>287.91412605230602</v>
      </c>
    </row>
    <row r="8" spans="1:11" x14ac:dyDescent="0.25">
      <c r="A8" s="4" t="s">
        <v>33</v>
      </c>
      <c r="B8" s="4">
        <v>296.52792174413099</v>
      </c>
      <c r="C8" s="4">
        <v>1146.0168080164101</v>
      </c>
      <c r="D8" s="4">
        <v>1919.0828053769701</v>
      </c>
      <c r="E8" s="4">
        <v>2428.3107759137201</v>
      </c>
      <c r="F8" s="4">
        <v>2723.6245947008501</v>
      </c>
      <c r="G8" s="4">
        <v>2885.2276689179398</v>
      </c>
      <c r="H8" s="4">
        <v>2971.2023719539502</v>
      </c>
      <c r="I8" s="4">
        <v>3016.3004059797399</v>
      </c>
      <c r="J8" s="4">
        <v>3039.7872260233498</v>
      </c>
      <c r="K8" s="4">
        <v>3051.9740695276901</v>
      </c>
    </row>
    <row r="9" spans="1:11" x14ac:dyDescent="0.25">
      <c r="A9" s="4" t="s">
        <v>35</v>
      </c>
      <c r="B9" s="4">
        <v>42.456899759091002</v>
      </c>
      <c r="C9" s="4">
        <v>112.082623203737</v>
      </c>
      <c r="D9" s="4">
        <v>156.19853954116601</v>
      </c>
      <c r="E9" s="4">
        <v>177.89971342632899</v>
      </c>
      <c r="F9" s="4">
        <v>187.65693578924299</v>
      </c>
      <c r="G9" s="4">
        <v>191.890974886718</v>
      </c>
      <c r="H9" s="4">
        <v>193.70166695924499</v>
      </c>
      <c r="I9" s="4">
        <v>194.47130023424899</v>
      </c>
      <c r="J9" s="4">
        <v>194.797592753054</v>
      </c>
      <c r="K9" s="4">
        <v>194.93577720176</v>
      </c>
    </row>
    <row r="10" spans="1:11" x14ac:dyDescent="0.25">
      <c r="A10" s="4" t="s">
        <v>37</v>
      </c>
      <c r="B10" s="4">
        <v>55356700.1123842</v>
      </c>
      <c r="C10" s="4">
        <v>55356700.140481502</v>
      </c>
      <c r="D10" s="4">
        <v>55356700.140481502</v>
      </c>
      <c r="E10" s="4">
        <v>55356700.140481502</v>
      </c>
      <c r="F10" s="4">
        <v>55356700.140481502</v>
      </c>
      <c r="G10" s="4">
        <v>55356700.140481502</v>
      </c>
      <c r="H10" s="4">
        <v>55356700.140481502</v>
      </c>
      <c r="I10" s="4">
        <v>55356700.140481502</v>
      </c>
      <c r="J10" s="4">
        <v>55356700.140481502</v>
      </c>
      <c r="K10" s="4">
        <v>55356700.140481502</v>
      </c>
    </row>
    <row r="11" spans="1:11" x14ac:dyDescent="0.25">
      <c r="A11" s="4" t="s">
        <v>39</v>
      </c>
      <c r="B11" s="4">
        <v>818.61113000250498</v>
      </c>
      <c r="C11" s="4">
        <v>4441.4011070428996</v>
      </c>
      <c r="D11" s="4">
        <v>9979.79929910787</v>
      </c>
      <c r="E11" s="4">
        <v>15985.319518006399</v>
      </c>
      <c r="F11" s="4">
        <v>21537.408640398498</v>
      </c>
      <c r="G11" s="4">
        <v>26237.093874199702</v>
      </c>
      <c r="H11" s="4">
        <v>30007.854680300199</v>
      </c>
      <c r="I11" s="4">
        <v>32931.046963365399</v>
      </c>
      <c r="J11" s="4">
        <v>35145.922759331399</v>
      </c>
      <c r="K11" s="4">
        <v>36798.156554556699</v>
      </c>
    </row>
    <row r="12" spans="1:11" x14ac:dyDescent="0.25">
      <c r="A12" s="4" t="s">
        <v>41</v>
      </c>
      <c r="B12" s="4">
        <v>5796.4074227556002</v>
      </c>
      <c r="C12" s="4">
        <v>12493.3680838173</v>
      </c>
      <c r="D12" s="4">
        <v>15040.595090855</v>
      </c>
      <c r="E12" s="4">
        <v>15815.2594832019</v>
      </c>
      <c r="F12" s="4">
        <v>16037.794968403899</v>
      </c>
      <c r="G12" s="4">
        <v>16100.7322814855</v>
      </c>
      <c r="H12" s="4">
        <v>16118.454832494999</v>
      </c>
      <c r="I12" s="4">
        <v>16123.4392433016</v>
      </c>
      <c r="J12" s="4">
        <v>16124.8406119467</v>
      </c>
      <c r="K12" s="4">
        <v>16125.234569178299</v>
      </c>
    </row>
    <row r="13" spans="1:11" x14ac:dyDescent="0.25">
      <c r="A13" s="4" t="s">
        <v>43</v>
      </c>
      <c r="B13" s="4">
        <v>628.60904088355005</v>
      </c>
      <c r="C13" s="4">
        <v>1259.85224392177</v>
      </c>
      <c r="D13" s="4">
        <v>1474.9468148385599</v>
      </c>
      <c r="E13" s="4">
        <v>1534.8074966596801</v>
      </c>
      <c r="F13" s="4">
        <v>1550.68107464586</v>
      </c>
      <c r="G13" s="4">
        <v>1554.8388269591801</v>
      </c>
      <c r="H13" s="4">
        <v>1555.92439085305</v>
      </c>
      <c r="I13" s="4">
        <v>1556.20758937547</v>
      </c>
      <c r="J13" s="4">
        <v>1556.28145330642</v>
      </c>
      <c r="K13" s="4">
        <v>1556.30071743178</v>
      </c>
    </row>
    <row r="14" spans="1:11" x14ac:dyDescent="0.25">
      <c r="A14" s="4" t="s">
        <v>45</v>
      </c>
      <c r="B14" s="4">
        <v>308816.46377798897</v>
      </c>
      <c r="C14" s="4">
        <v>336359.79302631802</v>
      </c>
      <c r="D14" s="4">
        <v>337343.78105876799</v>
      </c>
      <c r="E14" s="4">
        <v>337377.92729430099</v>
      </c>
      <c r="F14" s="4">
        <v>337379.11104546097</v>
      </c>
      <c r="G14" s="4">
        <v>337379.15208126197</v>
      </c>
      <c r="H14" s="4">
        <v>337379.15350380301</v>
      </c>
      <c r="I14" s="4">
        <v>337379.15355311701</v>
      </c>
      <c r="J14" s="4">
        <v>337379.15355482599</v>
      </c>
      <c r="K14" s="4">
        <v>337379.15355488501</v>
      </c>
    </row>
    <row r="15" spans="1:11" x14ac:dyDescent="0.25">
      <c r="A15" s="4" t="s">
        <v>47</v>
      </c>
      <c r="B15" s="4">
        <v>114.24256959029501</v>
      </c>
      <c r="C15" s="4">
        <v>470.859058262416</v>
      </c>
      <c r="D15" s="4">
        <v>841.81330476331902</v>
      </c>
      <c r="E15" s="4">
        <v>1117.06466933811</v>
      </c>
      <c r="F15" s="4">
        <v>1294.33173211756</v>
      </c>
      <c r="G15" s="4">
        <v>1400.9444367063199</v>
      </c>
      <c r="H15" s="4">
        <v>1462.83651709122</v>
      </c>
      <c r="I15" s="4">
        <v>1498.0939513752</v>
      </c>
      <c r="J15" s="4">
        <v>1517.9729845881</v>
      </c>
      <c r="K15" s="4">
        <v>1529.1180047687201</v>
      </c>
    </row>
    <row r="16" spans="1:11" x14ac:dyDescent="0.25">
      <c r="A16" s="4" t="s">
        <v>49</v>
      </c>
      <c r="B16" s="4">
        <v>19.9620438384346</v>
      </c>
      <c r="C16" s="4">
        <v>123.151446299805</v>
      </c>
      <c r="D16" s="4">
        <v>315.48910976816597</v>
      </c>
      <c r="E16" s="4">
        <v>568.20746158456905</v>
      </c>
      <c r="F16" s="4">
        <v>848.38972898018005</v>
      </c>
      <c r="G16" s="4">
        <v>1129.9534835971399</v>
      </c>
      <c r="H16" s="4">
        <v>1395.7086685865499</v>
      </c>
      <c r="I16" s="4">
        <v>1636.08850313776</v>
      </c>
      <c r="J16" s="4">
        <v>1847.06175226286</v>
      </c>
      <c r="K16" s="4">
        <v>2028.2031629154401</v>
      </c>
    </row>
    <row r="17" spans="1:11" x14ac:dyDescent="0.25">
      <c r="A17" s="4" t="s">
        <v>51</v>
      </c>
      <c r="B17" s="4">
        <v>1.9237754539629399</v>
      </c>
      <c r="C17" s="4">
        <v>8.4553509376347797</v>
      </c>
      <c r="D17" s="4">
        <v>19.8080892334971</v>
      </c>
      <c r="E17" s="4">
        <v>34.7663934151836</v>
      </c>
      <c r="F17" s="4">
        <v>51.792812427196701</v>
      </c>
      <c r="G17" s="4">
        <v>69.523190031244795</v>
      </c>
      <c r="H17" s="4">
        <v>86.930928383652699</v>
      </c>
      <c r="I17" s="4">
        <v>103.33266183026301</v>
      </c>
      <c r="J17" s="4">
        <v>118.331284386763</v>
      </c>
      <c r="K17" s="4">
        <v>131.74396360654799</v>
      </c>
    </row>
    <row r="18" spans="1:11" x14ac:dyDescent="0.25">
      <c r="A18" s="4" t="s">
        <v>53</v>
      </c>
      <c r="B18" s="4">
        <v>45.854537087938297</v>
      </c>
      <c r="C18" s="4">
        <v>183.62551462282201</v>
      </c>
      <c r="D18" s="4">
        <v>334.38774432948998</v>
      </c>
      <c r="E18" s="4">
        <v>455.44206302122302</v>
      </c>
      <c r="F18" s="4">
        <v>540.42615093761901</v>
      </c>
      <c r="G18" s="4">
        <v>596.16798297115497</v>
      </c>
      <c r="H18" s="4">
        <v>631.39866836716396</v>
      </c>
      <c r="I18" s="4">
        <v>653.20138611210598</v>
      </c>
      <c r="J18" s="4">
        <v>666.52986983817596</v>
      </c>
      <c r="K18" s="4">
        <v>674.61928877807497</v>
      </c>
    </row>
    <row r="19" spans="1:11" x14ac:dyDescent="0.25">
      <c r="A19" s="4" t="s">
        <v>55</v>
      </c>
      <c r="B19" s="4">
        <v>26.724914311425199</v>
      </c>
      <c r="C19" s="4">
        <v>214.66647380591499</v>
      </c>
      <c r="D19" s="4">
        <v>661.01896891849594</v>
      </c>
      <c r="E19" s="4">
        <v>1399.3704826257199</v>
      </c>
      <c r="F19" s="4">
        <v>2423.86219369639</v>
      </c>
      <c r="G19" s="4">
        <v>3705.7526325367598</v>
      </c>
      <c r="H19" s="4">
        <v>5204.55140074882</v>
      </c>
      <c r="I19" s="4">
        <v>6875.3164990699797</v>
      </c>
      <c r="J19" s="4">
        <v>8673.2684272407605</v>
      </c>
      <c r="K19" s="4">
        <v>10556.5510262714</v>
      </c>
    </row>
    <row r="20" spans="1:11" x14ac:dyDescent="0.25">
      <c r="A20" s="4" t="s">
        <v>57</v>
      </c>
      <c r="B20" s="4">
        <v>783.466549902098</v>
      </c>
      <c r="C20" s="4">
        <v>1772.07067815858</v>
      </c>
      <c r="D20" s="4">
        <v>2183.8214816796899</v>
      </c>
      <c r="E20" s="4">
        <v>2319.474865916</v>
      </c>
      <c r="F20" s="4">
        <v>2361.4242034498202</v>
      </c>
      <c r="G20" s="4">
        <v>2374.1590811873398</v>
      </c>
      <c r="H20" s="4">
        <v>2378.0038493653701</v>
      </c>
      <c r="I20" s="4">
        <v>2379.16269725242</v>
      </c>
      <c r="J20" s="4">
        <v>2379.5118104783701</v>
      </c>
      <c r="K20" s="4">
        <v>2379.61696816117</v>
      </c>
    </row>
    <row r="21" spans="1:11" x14ac:dyDescent="0.25">
      <c r="A21" s="4" t="s">
        <v>59</v>
      </c>
      <c r="B21" s="4">
        <v>2363.2595956805699</v>
      </c>
      <c r="C21" s="4">
        <v>17269.847782593501</v>
      </c>
      <c r="D21" s="4">
        <v>47278.283338931396</v>
      </c>
      <c r="E21" s="4">
        <v>88655.309313820006</v>
      </c>
      <c r="F21" s="4">
        <v>136287.65659019101</v>
      </c>
      <c r="G21" s="4">
        <v>185723.206942566</v>
      </c>
      <c r="H21" s="4">
        <v>233752.101275989</v>
      </c>
      <c r="I21" s="4">
        <v>278365.57295652601</v>
      </c>
      <c r="J21" s="4">
        <v>318505.18285656301</v>
      </c>
      <c r="K21" s="4">
        <v>353784.79133121303</v>
      </c>
    </row>
    <row r="22" spans="1:11" x14ac:dyDescent="0.25">
      <c r="A22" s="4" t="s">
        <v>61</v>
      </c>
      <c r="B22" s="4">
        <v>1.1539980651435</v>
      </c>
      <c r="C22" s="4">
        <v>24.476624933083801</v>
      </c>
      <c r="D22" s="4">
        <v>76.774331086170307</v>
      </c>
      <c r="E22" s="4">
        <v>142.89649844085301</v>
      </c>
      <c r="F22" s="4">
        <v>209.38987401253701</v>
      </c>
      <c r="G22" s="4">
        <v>268.81050439210702</v>
      </c>
      <c r="H22" s="4">
        <v>318.36423278291602</v>
      </c>
      <c r="I22" s="4">
        <v>357.92938568447698</v>
      </c>
      <c r="J22" s="4">
        <v>388.626402273748</v>
      </c>
      <c r="K22" s="4">
        <v>411.98403596558398</v>
      </c>
    </row>
    <row r="23" spans="1:11" x14ac:dyDescent="0.25">
      <c r="A23" s="4" t="s">
        <v>63</v>
      </c>
      <c r="B23" s="4">
        <v>549.50179803689696</v>
      </c>
      <c r="C23" s="4">
        <v>1102.5972370213501</v>
      </c>
      <c r="D23" s="4">
        <v>1279.3167184189899</v>
      </c>
      <c r="E23" s="4">
        <v>1325.1986684665201</v>
      </c>
      <c r="F23" s="4">
        <v>1336.56728203489</v>
      </c>
      <c r="G23" s="4">
        <v>1339.3528514423399</v>
      </c>
      <c r="H23" s="4">
        <v>1340.0335262733599</v>
      </c>
      <c r="I23" s="4">
        <v>1340.1997440438499</v>
      </c>
      <c r="J23" s="4">
        <v>1340.2403271171499</v>
      </c>
      <c r="K23" s="4">
        <v>1340.2502353283301</v>
      </c>
    </row>
    <row r="24" spans="1:11" x14ac:dyDescent="0.25">
      <c r="A24" s="4" t="s">
        <v>65</v>
      </c>
      <c r="B24" s="4">
        <v>1974.14018262786</v>
      </c>
      <c r="C24" s="4">
        <v>2656.8159932613798</v>
      </c>
      <c r="D24" s="4">
        <v>2750.0442819121499</v>
      </c>
      <c r="E24" s="4">
        <v>2761.6107551957498</v>
      </c>
      <c r="F24" s="4">
        <v>2763.0294050072898</v>
      </c>
      <c r="G24" s="4">
        <v>2763.2031617173702</v>
      </c>
      <c r="H24" s="4">
        <v>2763.2244398521798</v>
      </c>
      <c r="I24" s="4">
        <v>2763.2270455041999</v>
      </c>
      <c r="J24" s="4">
        <v>2763.2273645831501</v>
      </c>
      <c r="K24" s="4">
        <v>2763.2274036564199</v>
      </c>
    </row>
    <row r="25" spans="1:11" x14ac:dyDescent="0.25">
      <c r="A25" s="4" t="s">
        <v>67</v>
      </c>
      <c r="B25" s="4">
        <v>134.09535696500299</v>
      </c>
      <c r="C25" s="4">
        <v>249.87710172442101</v>
      </c>
      <c r="D25" s="4">
        <v>373.55195768406401</v>
      </c>
      <c r="E25" s="4">
        <v>491.700434602352</v>
      </c>
      <c r="F25" s="4">
        <v>597.14531894962204</v>
      </c>
      <c r="G25" s="4">
        <v>687.16241425896806</v>
      </c>
      <c r="H25" s="4">
        <v>761.71181665508595</v>
      </c>
      <c r="I25" s="4">
        <v>822.14611713593297</v>
      </c>
      <c r="J25" s="4">
        <v>870.39069088429505</v>
      </c>
      <c r="K25" s="4">
        <v>908.47438830563499</v>
      </c>
    </row>
    <row r="26" spans="1:11" x14ac:dyDescent="0.25">
      <c r="A26" s="4" t="s">
        <v>69</v>
      </c>
      <c r="B26" s="4">
        <v>4.3165057367255804</v>
      </c>
      <c r="C26" s="4">
        <v>23.169827404021401</v>
      </c>
      <c r="D26" s="4">
        <v>54.759986342720097</v>
      </c>
      <c r="E26" s="4">
        <v>93.249563450422698</v>
      </c>
      <c r="F26" s="4">
        <v>133.47918712702</v>
      </c>
      <c r="G26" s="4">
        <v>171.98329262698999</v>
      </c>
      <c r="H26" s="4">
        <v>206.836120365917</v>
      </c>
      <c r="I26" s="4">
        <v>237.220336363055</v>
      </c>
      <c r="J26" s="4">
        <v>263.01956122966197</v>
      </c>
      <c r="K26" s="4">
        <v>284.51264145637299</v>
      </c>
    </row>
    <row r="27" spans="1:11" x14ac:dyDescent="0.25">
      <c r="A27" s="4" t="s">
        <v>71</v>
      </c>
      <c r="B27" s="4">
        <v>0.77780446133876502</v>
      </c>
      <c r="C27" s="4">
        <v>1.81439362626141</v>
      </c>
      <c r="D27" s="4">
        <v>2.9716598373956198</v>
      </c>
      <c r="E27" s="4">
        <v>4.0659556123430098</v>
      </c>
      <c r="F27" s="4">
        <v>5.0100628373165703</v>
      </c>
      <c r="G27" s="4">
        <v>5.78041911021106</v>
      </c>
      <c r="H27" s="4">
        <v>6.3868114122370603</v>
      </c>
      <c r="I27" s="4">
        <v>6.8528010659646004</v>
      </c>
      <c r="J27" s="4">
        <v>7.2050441633690196</v>
      </c>
      <c r="K27" s="4">
        <v>7.4682646853721302</v>
      </c>
    </row>
    <row r="28" spans="1:11" x14ac:dyDescent="0.25">
      <c r="A28" s="4" t="s">
        <v>73</v>
      </c>
      <c r="B28" s="4">
        <v>246.05010012118299</v>
      </c>
      <c r="C28" s="4">
        <v>446.25971797324098</v>
      </c>
      <c r="D28" s="4">
        <v>505.310373319456</v>
      </c>
      <c r="E28" s="4">
        <v>519.99819037492102</v>
      </c>
      <c r="F28" s="4">
        <v>523.517863834492</v>
      </c>
      <c r="G28" s="4">
        <v>524.35400980298004</v>
      </c>
      <c r="H28" s="4">
        <v>524.55224170602003</v>
      </c>
      <c r="I28" s="4">
        <v>524.59921540475204</v>
      </c>
      <c r="J28" s="4">
        <v>524.61034517413998</v>
      </c>
      <c r="K28" s="4">
        <v>524.61298214769897</v>
      </c>
    </row>
    <row r="29" spans="1:11" x14ac:dyDescent="0.25">
      <c r="A29" s="4" t="s">
        <v>75</v>
      </c>
      <c r="B29" s="4">
        <v>133.509797021552</v>
      </c>
      <c r="C29" s="4">
        <v>724.25189217385105</v>
      </c>
      <c r="D29" s="4">
        <v>1653.0010797919699</v>
      </c>
      <c r="E29" s="4">
        <v>2686.0830699582202</v>
      </c>
      <c r="F29" s="4">
        <v>3662.1538588981698</v>
      </c>
      <c r="G29" s="4">
        <v>4504.0223547646501</v>
      </c>
      <c r="H29" s="4">
        <v>5190.7434776979699</v>
      </c>
      <c r="I29" s="4">
        <v>5731.0559644743398</v>
      </c>
      <c r="J29" s="4">
        <v>6146.0156116599601</v>
      </c>
      <c r="K29" s="4">
        <v>6459.4582492931304</v>
      </c>
    </row>
    <row r="30" spans="1:11" x14ac:dyDescent="0.25">
      <c r="A30" s="4" t="s">
        <v>77</v>
      </c>
      <c r="B30" s="4">
        <v>160174.89061800399</v>
      </c>
      <c r="C30" s="4">
        <v>184411.487200932</v>
      </c>
      <c r="D30" s="4">
        <v>185677.073127838</v>
      </c>
      <c r="E30" s="4">
        <v>185740.23119995199</v>
      </c>
      <c r="F30" s="4">
        <v>185743.376022977</v>
      </c>
      <c r="G30" s="4">
        <v>185743.532595408</v>
      </c>
      <c r="H30" s="4">
        <v>185743.54039069201</v>
      </c>
      <c r="I30" s="4">
        <v>185743.540778797</v>
      </c>
      <c r="J30" s="4">
        <v>185743.54079811901</v>
      </c>
      <c r="K30" s="4">
        <v>185743.54079908101</v>
      </c>
    </row>
    <row r="31" spans="1:11" x14ac:dyDescent="0.25">
      <c r="A31" s="4" t="s">
        <v>79</v>
      </c>
      <c r="B31" s="4">
        <v>115.16604464359899</v>
      </c>
      <c r="C31" s="4">
        <v>539.88394685724495</v>
      </c>
      <c r="D31" s="4">
        <v>1052.3960247682601</v>
      </c>
      <c r="E31" s="4">
        <v>1484.5666206052799</v>
      </c>
      <c r="F31" s="4">
        <v>1796.1422664299</v>
      </c>
      <c r="G31" s="4">
        <v>2003.6152080982599</v>
      </c>
      <c r="H31" s="4">
        <v>2135.90009762405</v>
      </c>
      <c r="I31" s="4">
        <v>2218.1894031206398</v>
      </c>
      <c r="J31" s="4">
        <v>2268.64920084917</v>
      </c>
      <c r="K31" s="4">
        <v>2299.33069630303</v>
      </c>
    </row>
    <row r="32" spans="1:11" x14ac:dyDescent="0.25">
      <c r="A32" s="4" t="s">
        <v>81</v>
      </c>
      <c r="B32" s="4">
        <v>1139.1308785122999</v>
      </c>
      <c r="C32" s="4">
        <v>4670.2170051160701</v>
      </c>
      <c r="D32" s="4">
        <v>8591.4515374477196</v>
      </c>
      <c r="E32" s="4">
        <v>11763.149471421801</v>
      </c>
      <c r="F32" s="4">
        <v>13998.6517710894</v>
      </c>
      <c r="G32" s="4">
        <v>15468.246487307701</v>
      </c>
      <c r="H32" s="4">
        <v>16398.296106090402</v>
      </c>
      <c r="I32" s="4">
        <v>16974.306859406101</v>
      </c>
      <c r="J32" s="4">
        <v>17326.5962237311</v>
      </c>
      <c r="K32" s="4">
        <v>17540.468599570999</v>
      </c>
    </row>
    <row r="33" spans="1:11" x14ac:dyDescent="0.25">
      <c r="A33" s="4" t="s">
        <v>83</v>
      </c>
      <c r="B33" s="4">
        <v>105254.065283895</v>
      </c>
      <c r="C33" s="4">
        <v>118004.81030881401</v>
      </c>
      <c r="D33" s="4">
        <v>118519.94557561001</v>
      </c>
      <c r="E33" s="4">
        <v>118539.98972169599</v>
      </c>
      <c r="F33" s="4">
        <v>118540.76851913299</v>
      </c>
      <c r="G33" s="4">
        <v>118540.79877691</v>
      </c>
      <c r="H33" s="4">
        <v>118540.799952481</v>
      </c>
      <c r="I33" s="4">
        <v>118540.79999815401</v>
      </c>
      <c r="J33" s="4">
        <v>118540.799999928</v>
      </c>
      <c r="K33" s="4">
        <v>118540.79999999701</v>
      </c>
    </row>
    <row r="34" spans="1:11" x14ac:dyDescent="0.25">
      <c r="A34" s="4" t="s">
        <v>85</v>
      </c>
      <c r="B34" s="4">
        <v>324513.79159914202</v>
      </c>
      <c r="C34" s="4">
        <v>347234.46066853002</v>
      </c>
      <c r="D34" s="4">
        <v>347817.056685313</v>
      </c>
      <c r="E34" s="4">
        <v>347831.65753252403</v>
      </c>
      <c r="F34" s="4">
        <v>347832.02324575302</v>
      </c>
      <c r="G34" s="4">
        <v>347832.03240578697</v>
      </c>
      <c r="H34" s="4">
        <v>347832.03263521899</v>
      </c>
      <c r="I34" s="4">
        <v>347832.03264096502</v>
      </c>
      <c r="J34" s="4">
        <v>347832.03264110902</v>
      </c>
      <c r="K34" s="4">
        <v>347832.03264111298</v>
      </c>
    </row>
    <row r="35" spans="1:11" x14ac:dyDescent="0.25">
      <c r="A35" s="4" t="s">
        <v>87</v>
      </c>
      <c r="B35" s="4">
        <v>33.357667059212503</v>
      </c>
      <c r="C35" s="4">
        <v>96.872245124489197</v>
      </c>
      <c r="D35" s="4">
        <v>155.35052079330401</v>
      </c>
      <c r="E35" s="4">
        <v>197.16164515638499</v>
      </c>
      <c r="F35" s="4">
        <v>223.88190635305199</v>
      </c>
      <c r="G35" s="4">
        <v>240.02728929089099</v>
      </c>
      <c r="H35" s="4">
        <v>249.49798301841</v>
      </c>
      <c r="I35" s="4">
        <v>254.96433813407401</v>
      </c>
      <c r="J35" s="4">
        <v>258.09132437078398</v>
      </c>
      <c r="K35" s="4">
        <v>259.87116259853798</v>
      </c>
    </row>
    <row r="36" spans="1:11" x14ac:dyDescent="0.25">
      <c r="A36" s="4" t="s">
        <v>89</v>
      </c>
      <c r="B36" s="4">
        <v>191968.50260639799</v>
      </c>
      <c r="C36" s="4">
        <v>192626.640400681</v>
      </c>
      <c r="D36" s="4">
        <v>192627.34550580601</v>
      </c>
      <c r="E36" s="4">
        <v>192627.34626034199</v>
      </c>
      <c r="F36" s="4">
        <v>192627.34626114901</v>
      </c>
      <c r="G36" s="4">
        <v>192627.34626115</v>
      </c>
      <c r="H36" s="4">
        <v>192627.34626115</v>
      </c>
      <c r="I36" s="4">
        <v>192627.34626115</v>
      </c>
      <c r="J36" s="4">
        <v>192627.34626115</v>
      </c>
      <c r="K36" s="4">
        <v>192627.34626115</v>
      </c>
    </row>
    <row r="37" spans="1:11" x14ac:dyDescent="0.25">
      <c r="A37" s="4" t="s">
        <v>91</v>
      </c>
      <c r="B37" s="4">
        <v>232.608663621338</v>
      </c>
      <c r="C37" s="4">
        <v>892.49598935225401</v>
      </c>
      <c r="D37" s="4">
        <v>1558.8273391486</v>
      </c>
      <c r="E37" s="4">
        <v>2051.8680220091901</v>
      </c>
      <c r="F37" s="4">
        <v>2371.9243688401498</v>
      </c>
      <c r="G37" s="4">
        <v>2566.84497585294</v>
      </c>
      <c r="H37" s="4">
        <v>2681.6624904415398</v>
      </c>
      <c r="I37" s="4">
        <v>2748.0851042749</v>
      </c>
      <c r="J37" s="4">
        <v>2786.1297835240598</v>
      </c>
      <c r="K37" s="4">
        <v>2807.7996370419901</v>
      </c>
    </row>
    <row r="38" spans="1:11" x14ac:dyDescent="0.25">
      <c r="A38" s="4" t="s">
        <v>93</v>
      </c>
      <c r="B38" s="4">
        <v>67684136.583491698</v>
      </c>
      <c r="C38" s="4">
        <v>67686777.780979201</v>
      </c>
      <c r="D38" s="4">
        <v>67686777.815334499</v>
      </c>
      <c r="E38" s="4">
        <v>67686777.815334901</v>
      </c>
      <c r="F38" s="4">
        <v>67686777.815334901</v>
      </c>
      <c r="G38" s="4">
        <v>67686777.815334901</v>
      </c>
      <c r="H38" s="4">
        <v>67686777.815334901</v>
      </c>
      <c r="I38" s="4">
        <v>67686777.815334901</v>
      </c>
      <c r="J38" s="4">
        <v>67686777.815334901</v>
      </c>
      <c r="K38" s="4">
        <v>67686777.815334901</v>
      </c>
    </row>
    <row r="39" spans="1:11" x14ac:dyDescent="0.25">
      <c r="A39" s="4" t="s">
        <v>95</v>
      </c>
      <c r="B39" s="4">
        <v>2310.4171374153598</v>
      </c>
      <c r="C39" s="4">
        <v>8583.9307559688004</v>
      </c>
      <c r="D39" s="4">
        <v>14628.833635745899</v>
      </c>
      <c r="E39" s="4">
        <v>18910.916362989101</v>
      </c>
      <c r="F39" s="4">
        <v>21581.396046287198</v>
      </c>
      <c r="G39" s="4">
        <v>23148.438324832001</v>
      </c>
      <c r="H39" s="4">
        <v>24039.823083638799</v>
      </c>
      <c r="I39" s="4">
        <v>24538.610040999702</v>
      </c>
      <c r="J39" s="4">
        <v>24815.259285009401</v>
      </c>
      <c r="K39" s="4">
        <v>24967.967520712202</v>
      </c>
    </row>
    <row r="40" spans="1:11" x14ac:dyDescent="0.25">
      <c r="A40" s="4" t="s">
        <v>97</v>
      </c>
      <c r="B40" s="4">
        <v>611.69816319277595</v>
      </c>
      <c r="C40" s="4">
        <v>826.21798263751305</v>
      </c>
      <c r="D40" s="4">
        <v>851.37903598601599</v>
      </c>
      <c r="E40" s="4">
        <v>854.06036367353499</v>
      </c>
      <c r="F40" s="4">
        <v>854.34330103985803</v>
      </c>
      <c r="G40" s="4">
        <v>854.37312605856403</v>
      </c>
      <c r="H40" s="4">
        <v>854.37626963284299</v>
      </c>
      <c r="I40" s="4">
        <v>854.376600963584</v>
      </c>
      <c r="J40" s="4">
        <v>854.37663588559201</v>
      </c>
      <c r="K40" s="4">
        <v>854.37663956634503</v>
      </c>
    </row>
    <row r="41" spans="1:11" x14ac:dyDescent="0.25">
      <c r="A41" s="4" t="s">
        <v>99</v>
      </c>
      <c r="B41" s="4">
        <v>96.748077339410997</v>
      </c>
      <c r="C41" s="4">
        <v>415.74901347532898</v>
      </c>
      <c r="D41" s="4">
        <v>780.52178182126397</v>
      </c>
      <c r="E41" s="4">
        <v>1079.9177194327999</v>
      </c>
      <c r="F41" s="4">
        <v>1292.6234043491299</v>
      </c>
      <c r="G41" s="4">
        <v>1433.0853330964401</v>
      </c>
      <c r="H41" s="4">
        <v>1522.2113162985099</v>
      </c>
      <c r="I41" s="4">
        <v>1577.49520739122</v>
      </c>
      <c r="J41" s="4">
        <v>1611.3379206909799</v>
      </c>
      <c r="K41" s="4">
        <v>1631.8948143615401</v>
      </c>
    </row>
    <row r="42" spans="1:11" x14ac:dyDescent="0.25">
      <c r="A42" s="4" t="s">
        <v>101</v>
      </c>
      <c r="B42" s="4">
        <v>1414.33813769781</v>
      </c>
      <c r="C42" s="4">
        <v>4979.5368821647999</v>
      </c>
      <c r="D42" s="4">
        <v>10345.726443339399</v>
      </c>
      <c r="E42" s="4">
        <v>16721.264219498498</v>
      </c>
      <c r="F42" s="4">
        <v>23392.105426918501</v>
      </c>
      <c r="G42" s="4">
        <v>29850.516508655601</v>
      </c>
      <c r="H42" s="4">
        <v>35790.9382304018</v>
      </c>
      <c r="I42" s="4">
        <v>41064.014265004203</v>
      </c>
      <c r="J42" s="4">
        <v>45626.620942135298</v>
      </c>
      <c r="K42" s="4">
        <v>49500.869228393902</v>
      </c>
    </row>
    <row r="43" spans="1:11" x14ac:dyDescent="0.25">
      <c r="A43" s="4" t="s">
        <v>103</v>
      </c>
      <c r="B43" s="4">
        <v>10.1046911210207</v>
      </c>
      <c r="C43" s="4">
        <v>55.320116515163498</v>
      </c>
      <c r="D43" s="4">
        <v>136.356519656892</v>
      </c>
      <c r="E43" s="4">
        <v>243.48756422705901</v>
      </c>
      <c r="F43" s="4">
        <v>365.59170918238999</v>
      </c>
      <c r="G43" s="4">
        <v>493.20681311952802</v>
      </c>
      <c r="H43" s="4">
        <v>619.30552591043602</v>
      </c>
      <c r="I43" s="4">
        <v>739.17093633582897</v>
      </c>
      <c r="J43" s="4">
        <v>849.96856780960195</v>
      </c>
      <c r="K43" s="4">
        <v>950.27176421676802</v>
      </c>
    </row>
    <row r="44" spans="1:11" x14ac:dyDescent="0.25">
      <c r="A44" s="4" t="s">
        <v>105</v>
      </c>
      <c r="B44" s="4">
        <v>7178.31448404197</v>
      </c>
      <c r="C44" s="4">
        <v>16714.2403759017</v>
      </c>
      <c r="D44" s="4">
        <v>22364.171135055101</v>
      </c>
      <c r="E44" s="4">
        <v>25030.593239997099</v>
      </c>
      <c r="F44" s="4">
        <v>26191.083819039399</v>
      </c>
      <c r="G44" s="4">
        <v>26680.471565908399</v>
      </c>
      <c r="H44" s="4">
        <v>26884.241585686101</v>
      </c>
      <c r="I44" s="4">
        <v>26968.646783894499</v>
      </c>
      <c r="J44" s="4">
        <v>27003.534273735801</v>
      </c>
      <c r="K44" s="4">
        <v>27017.9417434934</v>
      </c>
    </row>
    <row r="45" spans="1:11" x14ac:dyDescent="0.25">
      <c r="A45" s="4" t="s">
        <v>107</v>
      </c>
      <c r="B45" s="4">
        <v>2211.6208446574701</v>
      </c>
      <c r="C45" s="4">
        <v>5455.7027820230496</v>
      </c>
      <c r="D45" s="4">
        <v>8093.8448123255803</v>
      </c>
      <c r="E45" s="4">
        <v>9821.3386442235296</v>
      </c>
      <c r="F45" s="4">
        <v>10850.087493188599</v>
      </c>
      <c r="G45" s="4">
        <v>11435.0464838608</v>
      </c>
      <c r="H45" s="4">
        <v>11759.8787177512</v>
      </c>
      <c r="I45" s="4">
        <v>11938.030681525999</v>
      </c>
      <c r="J45" s="4">
        <v>12035.0919096447</v>
      </c>
      <c r="K45" s="4">
        <v>12087.785599867</v>
      </c>
    </row>
    <row r="46" spans="1:11" x14ac:dyDescent="0.25">
      <c r="A46" s="4" t="s">
        <v>109</v>
      </c>
      <c r="B46" s="4">
        <v>11071.5622159796</v>
      </c>
      <c r="C46" s="4">
        <v>24633.973887026499</v>
      </c>
      <c r="D46" s="4">
        <v>34430.551456728099</v>
      </c>
      <c r="E46" s="4">
        <v>40212.477311210903</v>
      </c>
      <c r="F46" s="4">
        <v>43345.628925859099</v>
      </c>
      <c r="G46" s="4">
        <v>44977.637835016903</v>
      </c>
      <c r="H46" s="4">
        <v>45811.668703908101</v>
      </c>
      <c r="I46" s="4">
        <v>46233.916274830597</v>
      </c>
      <c r="J46" s="4">
        <v>46446.694895549801</v>
      </c>
      <c r="K46" s="4">
        <v>46553.668930519103</v>
      </c>
    </row>
    <row r="47" spans="1:11" x14ac:dyDescent="0.25">
      <c r="A47" s="4" t="s">
        <v>111</v>
      </c>
      <c r="B47" s="4">
        <v>1767.6392363529401</v>
      </c>
      <c r="C47" s="4">
        <v>3308.68986036151</v>
      </c>
      <c r="D47" s="4">
        <v>4608.2243149673504</v>
      </c>
      <c r="E47" s="4">
        <v>5564.7968412451601</v>
      </c>
      <c r="F47" s="4">
        <v>6221.2322540936902</v>
      </c>
      <c r="G47" s="4">
        <v>6654.3944211897297</v>
      </c>
      <c r="H47" s="4">
        <v>6933.7623397910502</v>
      </c>
      <c r="I47" s="4">
        <v>7111.4902931877205</v>
      </c>
      <c r="J47" s="4">
        <v>7223.6198927457699</v>
      </c>
      <c r="K47" s="4">
        <v>7294.00284348082</v>
      </c>
    </row>
    <row r="48" spans="1:11" x14ac:dyDescent="0.25">
      <c r="A48" s="4" t="s">
        <v>113</v>
      </c>
      <c r="B48" s="4">
        <v>983.36923109176598</v>
      </c>
      <c r="C48" s="4">
        <v>3559.5614441202201</v>
      </c>
      <c r="D48" s="4">
        <v>5905.3914357675503</v>
      </c>
      <c r="E48" s="4">
        <v>7472.8083505459499</v>
      </c>
      <c r="F48" s="4">
        <v>8397.0083244856105</v>
      </c>
      <c r="G48" s="4">
        <v>8911.2621458724898</v>
      </c>
      <c r="H48" s="4">
        <v>9189.3462184136897</v>
      </c>
      <c r="I48" s="4">
        <v>9337.55198778046</v>
      </c>
      <c r="J48" s="4">
        <v>9415.9486474904006</v>
      </c>
      <c r="K48" s="4">
        <v>9457.2568182548093</v>
      </c>
    </row>
    <row r="49" spans="1:11" x14ac:dyDescent="0.25">
      <c r="A49" s="4" t="s">
        <v>115</v>
      </c>
      <c r="B49" s="4">
        <v>300299.85605939402</v>
      </c>
      <c r="C49" s="4">
        <v>301122.11947996001</v>
      </c>
      <c r="D49" s="4">
        <v>301122.869971295</v>
      </c>
      <c r="E49" s="4">
        <v>301122.87065565499</v>
      </c>
      <c r="F49" s="4">
        <v>301122.87065627897</v>
      </c>
      <c r="G49" s="4">
        <v>301122.87065628002</v>
      </c>
      <c r="H49" s="4">
        <v>301122.87065628002</v>
      </c>
      <c r="I49" s="4">
        <v>301122.87065628002</v>
      </c>
      <c r="J49" s="4">
        <v>301122.87065628002</v>
      </c>
      <c r="K49" s="4">
        <v>301122.87065628002</v>
      </c>
    </row>
    <row r="50" spans="1:11" x14ac:dyDescent="0.25">
      <c r="A50" s="4" t="s">
        <v>117</v>
      </c>
      <c r="B50" s="4">
        <v>102.432530884909</v>
      </c>
      <c r="C50" s="4">
        <v>540.378640515999</v>
      </c>
      <c r="D50" s="4">
        <v>1229.51474749766</v>
      </c>
      <c r="E50" s="4">
        <v>2007.6776427407499</v>
      </c>
      <c r="F50" s="4">
        <v>2758.47648535807</v>
      </c>
      <c r="G50" s="4">
        <v>3421.50735657306</v>
      </c>
      <c r="H50" s="4">
        <v>3975.85529952657</v>
      </c>
      <c r="I50" s="4">
        <v>4423.0347453948398</v>
      </c>
      <c r="J50" s="4">
        <v>4775.0993795043596</v>
      </c>
      <c r="K50" s="4">
        <v>5047.6276630186103</v>
      </c>
    </row>
    <row r="51" spans="1:11" x14ac:dyDescent="0.25">
      <c r="A51" s="4" t="s">
        <v>119</v>
      </c>
      <c r="B51" s="4">
        <v>24668.0777388959</v>
      </c>
      <c r="C51" s="4">
        <v>37678.476387288203</v>
      </c>
      <c r="D51" s="4">
        <v>41094.184172180998</v>
      </c>
      <c r="E51" s="4">
        <v>41883.292127343899</v>
      </c>
      <c r="F51" s="4">
        <v>42060.724110643503</v>
      </c>
      <c r="G51" s="4">
        <v>42100.382334946902</v>
      </c>
      <c r="H51" s="4">
        <v>42109.234658286303</v>
      </c>
      <c r="I51" s="4">
        <v>42111.210046783403</v>
      </c>
      <c r="J51" s="4">
        <v>42111.650823908101</v>
      </c>
      <c r="K51" s="4">
        <v>42111.749174995399</v>
      </c>
    </row>
    <row r="52" spans="1:11" x14ac:dyDescent="0.25">
      <c r="A52" s="4" t="s">
        <v>121</v>
      </c>
      <c r="B52" s="4">
        <v>17848637.322806899</v>
      </c>
      <c r="C52" s="4">
        <v>17897509.412757501</v>
      </c>
      <c r="D52" s="4">
        <v>17897554.018998198</v>
      </c>
      <c r="E52" s="4">
        <v>17897554.059673902</v>
      </c>
      <c r="F52" s="4">
        <v>17897554.059710901</v>
      </c>
      <c r="G52" s="4">
        <v>17897554.059711002</v>
      </c>
      <c r="H52" s="4">
        <v>17897554.059711002</v>
      </c>
      <c r="I52" s="4">
        <v>17897554.059711002</v>
      </c>
      <c r="J52" s="4">
        <v>17897554.059711002</v>
      </c>
      <c r="K52" s="4">
        <v>17897554.059711002</v>
      </c>
    </row>
    <row r="53" spans="1:11" x14ac:dyDescent="0.25">
      <c r="A53" s="4" t="s">
        <v>123</v>
      </c>
      <c r="B53" s="4">
        <v>515.26203660332499</v>
      </c>
      <c r="C53" s="4">
        <v>2878.3274599697502</v>
      </c>
      <c r="D53" s="4">
        <v>6313.14942535916</v>
      </c>
      <c r="E53" s="4">
        <v>9776.9844196191807</v>
      </c>
      <c r="F53" s="4">
        <v>12738.2735834498</v>
      </c>
      <c r="G53" s="4">
        <v>15055.279034998401</v>
      </c>
      <c r="H53" s="4">
        <v>16776.333267847502</v>
      </c>
      <c r="I53" s="4">
        <v>18014.294597810302</v>
      </c>
      <c r="J53" s="4">
        <v>18886.695186599401</v>
      </c>
      <c r="K53" s="4">
        <v>19493.331245649701</v>
      </c>
    </row>
    <row r="54" spans="1:11" x14ac:dyDescent="0.25">
      <c r="A54" s="4" t="s">
        <v>125</v>
      </c>
      <c r="B54" s="4">
        <v>25.171327616078901</v>
      </c>
      <c r="C54" s="4">
        <v>163.11506433652201</v>
      </c>
      <c r="D54" s="4">
        <v>460.05213204372899</v>
      </c>
      <c r="E54" s="4">
        <v>924.32023765543602</v>
      </c>
      <c r="F54" s="4">
        <v>1543.8165596502899</v>
      </c>
      <c r="G54" s="4">
        <v>2296.1062271517799</v>
      </c>
      <c r="H54" s="4">
        <v>3154.5627713873801</v>
      </c>
      <c r="I54" s="4">
        <v>4092.0560363752202</v>
      </c>
      <c r="J54" s="4">
        <v>5083.0731391647396</v>
      </c>
      <c r="K54" s="4">
        <v>6104.8338399565801</v>
      </c>
    </row>
    <row r="55" spans="1:11" x14ac:dyDescent="0.25">
      <c r="A55" s="4" t="s">
        <v>127</v>
      </c>
      <c r="B55" s="4">
        <v>770.40649782651803</v>
      </c>
      <c r="C55" s="4">
        <v>2045.13154257155</v>
      </c>
      <c r="D55" s="4">
        <v>2793.97230517044</v>
      </c>
      <c r="E55" s="4">
        <v>3133.5300703345201</v>
      </c>
      <c r="F55" s="4">
        <v>3274.7265218993002</v>
      </c>
      <c r="G55" s="4">
        <v>3331.58243878855</v>
      </c>
      <c r="H55" s="4">
        <v>3354.19495325138</v>
      </c>
      <c r="I55" s="4">
        <v>3363.1448777516998</v>
      </c>
      <c r="J55" s="4">
        <v>3366.68047895994</v>
      </c>
      <c r="K55" s="4">
        <v>3368.0761449603501</v>
      </c>
    </row>
    <row r="56" spans="1:11" x14ac:dyDescent="0.25">
      <c r="A56" s="4" t="s">
        <v>129</v>
      </c>
      <c r="B56" s="4">
        <v>61.338531906069001</v>
      </c>
      <c r="C56" s="4">
        <v>377.24646058580998</v>
      </c>
      <c r="D56" s="4">
        <v>1017.23645890659</v>
      </c>
      <c r="E56" s="4">
        <v>1961.64653301096</v>
      </c>
      <c r="F56" s="4">
        <v>3153.6122682592299</v>
      </c>
      <c r="G56" s="4">
        <v>4525.1791917624996</v>
      </c>
      <c r="H56" s="4">
        <v>6010.5135626398796</v>
      </c>
      <c r="I56" s="4">
        <v>7552.0220358241504</v>
      </c>
      <c r="J56" s="4">
        <v>9102.5503384307594</v>
      </c>
      <c r="K56" s="4">
        <v>10625.4820220982</v>
      </c>
    </row>
    <row r="57" spans="1:11" x14ac:dyDescent="0.25">
      <c r="A57" s="4" t="s">
        <v>131</v>
      </c>
      <c r="B57" s="4">
        <v>90.682377724242102</v>
      </c>
      <c r="C57" s="4">
        <v>322.49192680133098</v>
      </c>
      <c r="D57" s="4">
        <v>539.91437751630701</v>
      </c>
      <c r="E57" s="4">
        <v>692.00782131257404</v>
      </c>
      <c r="F57" s="4">
        <v>786.25918486504304</v>
      </c>
      <c r="G57" s="4">
        <v>841.38188165621102</v>
      </c>
      <c r="H57" s="4">
        <v>872.681440708933</v>
      </c>
      <c r="I57" s="4">
        <v>890.17858444318995</v>
      </c>
      <c r="J57" s="4">
        <v>899.87814630414402</v>
      </c>
      <c r="K57" s="4">
        <v>905.23068282999395</v>
      </c>
    </row>
    <row r="58" spans="1:11" x14ac:dyDescent="0.25">
      <c r="A58" s="4" t="s">
        <v>133</v>
      </c>
      <c r="B58" s="4">
        <v>2562.8206892267699</v>
      </c>
      <c r="C58" s="4">
        <v>9947.4986753603207</v>
      </c>
      <c r="D58" s="4">
        <v>17256.584213301299</v>
      </c>
      <c r="E58" s="4">
        <v>22499.583071964102</v>
      </c>
      <c r="F58" s="4">
        <v>25790.137840376799</v>
      </c>
      <c r="G58" s="4">
        <v>27727.490470329201</v>
      </c>
      <c r="H58" s="4">
        <v>28831.4922014886</v>
      </c>
      <c r="I58" s="4">
        <v>29449.850997613299</v>
      </c>
      <c r="J58" s="4">
        <v>29793.001288565301</v>
      </c>
      <c r="K58" s="4">
        <v>29982.472306847401</v>
      </c>
    </row>
    <row r="59" spans="1:11" x14ac:dyDescent="0.25">
      <c r="A59" s="4" t="s">
        <v>135</v>
      </c>
      <c r="B59" s="4">
        <v>45.084119937067697</v>
      </c>
      <c r="C59" s="4">
        <v>238.75290053153901</v>
      </c>
      <c r="D59" s="4">
        <v>545.08169400260499</v>
      </c>
      <c r="E59" s="4">
        <v>892.72941441720604</v>
      </c>
      <c r="F59" s="4">
        <v>1229.77137947088</v>
      </c>
      <c r="G59" s="4">
        <v>1528.78207527939</v>
      </c>
      <c r="H59" s="4">
        <v>1779.8742738804101</v>
      </c>
      <c r="I59" s="4">
        <v>1983.2705325494401</v>
      </c>
      <c r="J59" s="4">
        <v>2144.0442500932299</v>
      </c>
      <c r="K59" s="4">
        <v>2268.97403226916</v>
      </c>
    </row>
    <row r="60" spans="1:11" x14ac:dyDescent="0.25">
      <c r="A60" s="4" t="s">
        <v>137</v>
      </c>
      <c r="B60" s="4">
        <v>22.346742947147799</v>
      </c>
      <c r="C60" s="4">
        <v>102.348262303053</v>
      </c>
      <c r="D60" s="4">
        <v>213.70314200022801</v>
      </c>
      <c r="E60" s="4">
        <v>328.23164678402202</v>
      </c>
      <c r="F60" s="4">
        <v>430.52307294985798</v>
      </c>
      <c r="G60" s="4">
        <v>515.01739410924904</v>
      </c>
      <c r="H60" s="4">
        <v>581.57722029877402</v>
      </c>
      <c r="I60" s="4">
        <v>632.43813909693404</v>
      </c>
      <c r="J60" s="4">
        <v>670.52573986895095</v>
      </c>
      <c r="K60" s="4">
        <v>698.65920903228505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length_weight_v15_data_update</vt:lpstr>
      <vt:lpstr>length_weight_v15_calc_updated</vt:lpstr>
      <vt:lpstr>length_weight_v15_data</vt:lpstr>
      <vt:lpstr>Recruit_weights</vt:lpstr>
      <vt:lpstr>scrap</vt:lpstr>
      <vt:lpstr>length_weight_v15_calc_doc</vt:lpstr>
      <vt:lpstr>age</vt:lpstr>
      <vt:lpstr>order</vt:lpstr>
      <vt:lpstr>weight_grams</vt:lpstr>
      <vt:lpstr>vert_biomass_mgC_individual</vt:lpstr>
      <vt:lpstr>mum_20180730</vt:lpstr>
      <vt:lpstr>inverts</vt:lpstr>
      <vt:lpstr>C_20180730</vt:lpstr>
      <vt:lpstr>RN</vt:lpstr>
      <vt:lpstr>SN</vt:lpstr>
      <vt:lpstr>sumRN_SN</vt:lpstr>
      <vt:lpstr>FuncResp</vt:lpstr>
      <vt:lpstr>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4</cp:revision>
  <dcterms:created xsi:type="dcterms:W3CDTF">2018-06-28T16:53:20Z</dcterms:created>
  <dcterms:modified xsi:type="dcterms:W3CDTF">2019-02-05T21:21:31Z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