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8800" windowHeight="13500"/>
  </bookViews>
  <sheets>
    <sheet name="length_weight_v15_data" sheetId="3" r:id="rId1"/>
    <sheet name="length_weight_v15_calc_doc" sheetId="1" r:id="rId2"/>
    <sheet name="age" sheetId="2" r:id="rId3"/>
  </sheets>
  <calcPr calcId="162913"/>
</workbook>
</file>

<file path=xl/calcChain.xml><?xml version="1.0" encoding="utf-8"?>
<calcChain xmlns="http://schemas.openxmlformats.org/spreadsheetml/2006/main">
  <c r="AG380" i="1" l="1"/>
  <c r="P383" i="1"/>
  <c r="Q383" i="1" s="1"/>
  <c r="R383" i="1" s="1"/>
  <c r="S383" i="1" s="1"/>
  <c r="P384" i="1"/>
  <c r="Q384" i="1"/>
  <c r="R384" i="1"/>
  <c r="S384" i="1"/>
  <c r="P385" i="1"/>
  <c r="Q385" i="1" s="1"/>
  <c r="R385" i="1" s="1"/>
  <c r="S385" i="1" s="1"/>
  <c r="P386" i="1"/>
  <c r="Q386" i="1"/>
  <c r="R386" i="1" s="1"/>
  <c r="S386" i="1" s="1"/>
  <c r="P387" i="1"/>
  <c r="Q387" i="1" s="1"/>
  <c r="R387" i="1" s="1"/>
  <c r="S387" i="1" s="1"/>
  <c r="P388" i="1"/>
  <c r="Q388" i="1"/>
  <c r="R388" i="1" s="1"/>
  <c r="S388" i="1" s="1"/>
  <c r="P389" i="1"/>
  <c r="Q389" i="1" s="1"/>
  <c r="R389" i="1" s="1"/>
  <c r="S389" i="1" s="1"/>
  <c r="P390" i="1"/>
  <c r="Q390" i="1"/>
  <c r="R390" i="1" s="1"/>
  <c r="S390" i="1" s="1"/>
  <c r="P391" i="1"/>
  <c r="Q391" i="1" s="1"/>
  <c r="R391" i="1" s="1"/>
  <c r="S391" i="1" s="1"/>
  <c r="X390" i="1"/>
  <c r="X389" i="1"/>
  <c r="X388" i="1"/>
  <c r="X387" i="1"/>
  <c r="P382" i="1"/>
  <c r="Q382" i="1" s="1"/>
  <c r="R382" i="1" s="1"/>
  <c r="S382" i="1" s="1"/>
  <c r="AF386" i="1"/>
  <c r="AA386" i="1"/>
  <c r="AB386" i="1"/>
  <c r="AC386" i="1"/>
  <c r="AD386" i="1"/>
  <c r="Z386" i="1"/>
  <c r="Z382" i="1"/>
  <c r="AD382" i="1"/>
  <c r="AC382" i="1"/>
  <c r="AA382" i="1"/>
  <c r="AB382" i="1"/>
  <c r="Y382" i="1"/>
  <c r="AB344" i="1"/>
  <c r="T346" i="1" s="1"/>
  <c r="AB343" i="1"/>
  <c r="Z344" i="1"/>
  <c r="Z343" i="1"/>
  <c r="AA344" i="1"/>
  <c r="AA343" i="1"/>
  <c r="Y344" i="1"/>
  <c r="Y343" i="1"/>
  <c r="X344" i="1"/>
  <c r="AD344" i="1" s="1"/>
  <c r="X343" i="1"/>
  <c r="AD343" i="1" s="1"/>
  <c r="T344" i="1" l="1"/>
  <c r="T345" i="1"/>
  <c r="T350" i="1"/>
  <c r="T349" i="1"/>
  <c r="T342" i="1"/>
  <c r="T348" i="1"/>
  <c r="T343" i="1"/>
  <c r="T351" i="1"/>
  <c r="T347" i="1"/>
  <c r="AB83" i="1"/>
  <c r="AB82" i="1"/>
  <c r="AC84" i="1"/>
  <c r="AC88" i="1"/>
  <c r="AC89" i="1"/>
  <c r="AC90" i="1"/>
  <c r="AC91" i="1"/>
  <c r="Z506" i="1"/>
  <c r="Z504" i="1"/>
  <c r="Z503" i="1"/>
  <c r="AB503" i="1" s="1"/>
  <c r="Z502" i="1"/>
  <c r="X506" i="1"/>
  <c r="X502" i="1"/>
  <c r="AB502" i="1" s="1"/>
  <c r="AC502" i="1" s="1"/>
  <c r="Z476" i="1"/>
  <c r="Z481" i="1"/>
  <c r="Z475" i="1"/>
  <c r="Z473" i="1"/>
  <c r="Z472" i="1"/>
  <c r="Y476" i="1"/>
  <c r="Y473" i="1"/>
  <c r="Y472" i="1"/>
  <c r="X473" i="1"/>
  <c r="X472" i="1"/>
  <c r="AA283" i="1"/>
  <c r="AA282" i="1"/>
  <c r="Z283" i="1"/>
  <c r="Z282" i="1"/>
  <c r="Y291" i="1"/>
  <c r="Y285" i="1"/>
  <c r="Y283" i="1"/>
  <c r="Y282" i="1"/>
  <c r="X291" i="1"/>
  <c r="X285" i="1"/>
  <c r="X283" i="1"/>
  <c r="X282" i="1"/>
  <c r="AB283" i="1" l="1"/>
  <c r="T288" i="1" s="1"/>
  <c r="AB473" i="1"/>
  <c r="T477" i="1"/>
  <c r="T478" i="1"/>
  <c r="T479" i="1"/>
  <c r="T480" i="1"/>
  <c r="T472" i="1"/>
  <c r="T473" i="1"/>
  <c r="T474" i="1"/>
  <c r="T475" i="1"/>
  <c r="T476" i="1"/>
  <c r="T481" i="1"/>
  <c r="T287" i="1"/>
  <c r="T505" i="1"/>
  <c r="T506" i="1"/>
  <c r="T507" i="1"/>
  <c r="T508" i="1"/>
  <c r="T509" i="1"/>
  <c r="T502" i="1"/>
  <c r="T511" i="1"/>
  <c r="T510" i="1"/>
  <c r="AB282" i="1"/>
  <c r="AB472" i="1"/>
  <c r="T504" i="1"/>
  <c r="T503" i="1"/>
  <c r="T283" i="1" l="1"/>
  <c r="T291" i="1"/>
  <c r="T289" i="1"/>
  <c r="T286" i="1"/>
  <c r="T285" i="1"/>
  <c r="T290" i="1"/>
  <c r="T282" i="1"/>
  <c r="T284" i="1"/>
  <c r="T407" i="1"/>
  <c r="U407" i="1"/>
  <c r="T410" i="1"/>
  <c r="U410" i="1"/>
  <c r="AG404" i="1"/>
  <c r="T404" i="1" s="1"/>
  <c r="AG405" i="1"/>
  <c r="U402" i="1" s="1"/>
  <c r="AG403" i="1"/>
  <c r="U125" i="1"/>
  <c r="T126" i="1"/>
  <c r="U129" i="1"/>
  <c r="AL124" i="1"/>
  <c r="T125" i="1" s="1"/>
  <c r="AL125" i="1"/>
  <c r="AL123" i="1"/>
  <c r="U143" i="1"/>
  <c r="U144" i="1"/>
  <c r="U145" i="1"/>
  <c r="U146" i="1"/>
  <c r="U147" i="1"/>
  <c r="U148" i="1"/>
  <c r="U149" i="1"/>
  <c r="U150" i="1"/>
  <c r="U151" i="1"/>
  <c r="U142" i="1"/>
  <c r="T143" i="1"/>
  <c r="T144" i="1"/>
  <c r="T145" i="1"/>
  <c r="T146" i="1"/>
  <c r="T147" i="1"/>
  <c r="T148" i="1"/>
  <c r="T149" i="1"/>
  <c r="T150" i="1"/>
  <c r="T151" i="1"/>
  <c r="T142" i="1"/>
  <c r="V153" i="1"/>
  <c r="V154" i="1"/>
  <c r="V155" i="1"/>
  <c r="V156" i="1"/>
  <c r="V157" i="1"/>
  <c r="V158" i="1"/>
  <c r="V159" i="1"/>
  <c r="V160" i="1"/>
  <c r="V161" i="1"/>
  <c r="V152" i="1"/>
  <c r="U153" i="1"/>
  <c r="U154" i="1"/>
  <c r="U155" i="1"/>
  <c r="U156" i="1"/>
  <c r="U157" i="1"/>
  <c r="U158" i="1"/>
  <c r="U159" i="1"/>
  <c r="U160" i="1"/>
  <c r="U161" i="1"/>
  <c r="U152" i="1"/>
  <c r="T154" i="1"/>
  <c r="T155" i="1"/>
  <c r="T156" i="1"/>
  <c r="T157" i="1"/>
  <c r="T158" i="1"/>
  <c r="T159" i="1"/>
  <c r="T160" i="1"/>
  <c r="T161" i="1"/>
  <c r="T152" i="1"/>
  <c r="T153" i="1"/>
  <c r="U325" i="1"/>
  <c r="T326" i="1"/>
  <c r="T330" i="1"/>
  <c r="AJ324" i="1"/>
  <c r="T323" i="1" s="1"/>
  <c r="AJ325" i="1"/>
  <c r="U329" i="1" s="1"/>
  <c r="AJ323" i="1"/>
  <c r="T424" i="1"/>
  <c r="T427" i="1"/>
  <c r="U427" i="1"/>
  <c r="V427" i="1"/>
  <c r="T430" i="1"/>
  <c r="U430" i="1"/>
  <c r="U431" i="1"/>
  <c r="AG424" i="1"/>
  <c r="T425" i="1" s="1"/>
  <c r="AG425" i="1"/>
  <c r="U425" i="1" s="1"/>
  <c r="AG426" i="1"/>
  <c r="V430" i="1" s="1"/>
  <c r="AG423" i="1"/>
  <c r="T498" i="1"/>
  <c r="AG494" i="1"/>
  <c r="T495" i="1" s="1"/>
  <c r="AG495" i="1"/>
  <c r="U495" i="1" s="1"/>
  <c r="AG493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V252" i="1"/>
  <c r="U252" i="1"/>
  <c r="T252" i="1"/>
  <c r="U133" i="1"/>
  <c r="U137" i="1"/>
  <c r="U138" i="1"/>
  <c r="U139" i="1"/>
  <c r="U140" i="1"/>
  <c r="U141" i="1"/>
  <c r="U132" i="1"/>
  <c r="AG134" i="1"/>
  <c r="T133" i="1" s="1"/>
  <c r="AG135" i="1"/>
  <c r="U135" i="1" s="1"/>
  <c r="AG133" i="1"/>
  <c r="U53" i="1"/>
  <c r="U56" i="1"/>
  <c r="U57" i="1"/>
  <c r="U58" i="1"/>
  <c r="U59" i="1"/>
  <c r="T53" i="1"/>
  <c r="T54" i="1"/>
  <c r="T55" i="1"/>
  <c r="T56" i="1"/>
  <c r="T57" i="1"/>
  <c r="T58" i="1"/>
  <c r="T61" i="1"/>
  <c r="T52" i="1"/>
  <c r="P52" i="1"/>
  <c r="Q52" i="1" s="1"/>
  <c r="R52" i="1" s="1"/>
  <c r="S52" i="1" s="1"/>
  <c r="AB114" i="1"/>
  <c r="AB115" i="1"/>
  <c r="U116" i="1" s="1"/>
  <c r="AB113" i="1"/>
  <c r="AQ56" i="1"/>
  <c r="AQ54" i="1"/>
  <c r="T60" i="1" s="1"/>
  <c r="AQ55" i="1"/>
  <c r="U54" i="1" s="1"/>
  <c r="AQ53" i="1"/>
  <c r="U497" i="1" l="1"/>
  <c r="V422" i="1"/>
  <c r="T497" i="1"/>
  <c r="U422" i="1"/>
  <c r="U496" i="1"/>
  <c r="U494" i="1"/>
  <c r="U406" i="1"/>
  <c r="T501" i="1"/>
  <c r="T494" i="1"/>
  <c r="U423" i="1"/>
  <c r="T429" i="1"/>
  <c r="T426" i="1"/>
  <c r="T406" i="1"/>
  <c r="T492" i="1"/>
  <c r="V428" i="1"/>
  <c r="U411" i="1"/>
  <c r="U403" i="1"/>
  <c r="U492" i="1"/>
  <c r="V429" i="1"/>
  <c r="V426" i="1"/>
  <c r="U501" i="1"/>
  <c r="T423" i="1"/>
  <c r="U429" i="1"/>
  <c r="U426" i="1"/>
  <c r="U61" i="1"/>
  <c r="U500" i="1"/>
  <c r="U493" i="1"/>
  <c r="V423" i="1"/>
  <c r="V424" i="1"/>
  <c r="T59" i="1"/>
  <c r="U60" i="1"/>
  <c r="U134" i="1"/>
  <c r="U498" i="1"/>
  <c r="T493" i="1"/>
  <c r="V431" i="1"/>
  <c r="U428" i="1"/>
  <c r="U424" i="1"/>
  <c r="T130" i="1"/>
  <c r="T411" i="1"/>
  <c r="T403" i="1"/>
  <c r="U117" i="1"/>
  <c r="U118" i="1"/>
  <c r="U119" i="1"/>
  <c r="U120" i="1"/>
  <c r="U113" i="1"/>
  <c r="U121" i="1"/>
  <c r="U114" i="1"/>
  <c r="U115" i="1"/>
  <c r="T115" i="1"/>
  <c r="T116" i="1"/>
  <c r="T117" i="1"/>
  <c r="T118" i="1"/>
  <c r="T119" i="1"/>
  <c r="T120" i="1"/>
  <c r="T112" i="1"/>
  <c r="T121" i="1"/>
  <c r="T114" i="1"/>
  <c r="U326" i="1"/>
  <c r="U330" i="1"/>
  <c r="U323" i="1"/>
  <c r="U327" i="1"/>
  <c r="U331" i="1"/>
  <c r="U322" i="1"/>
  <c r="U324" i="1"/>
  <c r="U328" i="1"/>
  <c r="U126" i="1"/>
  <c r="U130" i="1"/>
  <c r="U123" i="1"/>
  <c r="U127" i="1"/>
  <c r="U131" i="1"/>
  <c r="U122" i="1"/>
  <c r="U124" i="1"/>
  <c r="U128" i="1"/>
  <c r="T113" i="1"/>
  <c r="U112" i="1"/>
  <c r="T329" i="1"/>
  <c r="T325" i="1"/>
  <c r="T129" i="1"/>
  <c r="T322" i="1"/>
  <c r="T122" i="1"/>
  <c r="T328" i="1"/>
  <c r="T324" i="1"/>
  <c r="T128" i="1"/>
  <c r="T124" i="1"/>
  <c r="U409" i="1"/>
  <c r="U405" i="1"/>
  <c r="U55" i="1"/>
  <c r="U136" i="1"/>
  <c r="T500" i="1"/>
  <c r="T496" i="1"/>
  <c r="T431" i="1"/>
  <c r="V425" i="1"/>
  <c r="T422" i="1"/>
  <c r="T409" i="1"/>
  <c r="T405" i="1"/>
  <c r="U52" i="1"/>
  <c r="U499" i="1"/>
  <c r="T428" i="1"/>
  <c r="T331" i="1"/>
  <c r="T327" i="1"/>
  <c r="T131" i="1"/>
  <c r="T127" i="1"/>
  <c r="T123" i="1"/>
  <c r="T402" i="1"/>
  <c r="U408" i="1"/>
  <c r="U404" i="1"/>
  <c r="T499" i="1"/>
  <c r="T408" i="1"/>
  <c r="T136" i="1"/>
  <c r="T140" i="1"/>
  <c r="T139" i="1"/>
  <c r="T135" i="1"/>
  <c r="T132" i="1"/>
  <c r="T138" i="1"/>
  <c r="T134" i="1"/>
  <c r="T141" i="1"/>
  <c r="T137" i="1"/>
  <c r="X366" i="1" l="1"/>
  <c r="X363" i="1"/>
  <c r="X362" i="1"/>
  <c r="Y362" i="1" s="1"/>
  <c r="X367" i="1"/>
  <c r="X365" i="1"/>
  <c r="Z85" i="1"/>
  <c r="Z86" i="1"/>
  <c r="Z83" i="1"/>
  <c r="Z82" i="1"/>
  <c r="AA86" i="1"/>
  <c r="AA85" i="1"/>
  <c r="AA87" i="1"/>
  <c r="AA82" i="1"/>
  <c r="AA83" i="1"/>
  <c r="X87" i="1"/>
  <c r="X85" i="1"/>
  <c r="X86" i="1"/>
  <c r="X83" i="1"/>
  <c r="X82" i="1"/>
  <c r="Y82" i="1"/>
  <c r="AC82" i="1" l="1"/>
  <c r="AE82" i="1" s="1"/>
  <c r="AC83" i="1"/>
  <c r="T370" i="1"/>
  <c r="T363" i="1"/>
  <c r="T371" i="1"/>
  <c r="T364" i="1"/>
  <c r="T362" i="1"/>
  <c r="T365" i="1"/>
  <c r="T366" i="1"/>
  <c r="T367" i="1"/>
  <c r="T368" i="1"/>
  <c r="T369" i="1"/>
  <c r="AC86" i="1"/>
  <c r="AC85" i="1"/>
  <c r="AC87" i="1"/>
  <c r="P370" i="1" l="1"/>
  <c r="Q370" i="1" s="1"/>
  <c r="R370" i="1" s="1"/>
  <c r="S370" i="1" s="1"/>
  <c r="T83" i="1"/>
  <c r="T91" i="1"/>
  <c r="T84" i="1"/>
  <c r="T82" i="1"/>
  <c r="P82" i="1" s="1"/>
  <c r="Q82" i="1" s="1"/>
  <c r="T85" i="1"/>
  <c r="T86" i="1"/>
  <c r="T88" i="1"/>
  <c r="T89" i="1"/>
  <c r="T90" i="1"/>
  <c r="T87" i="1"/>
  <c r="E42" i="1"/>
  <c r="P42" i="1" s="1"/>
  <c r="Q42" i="1" s="1"/>
  <c r="R42" i="1" s="1"/>
  <c r="S42" i="1" s="1"/>
  <c r="E43" i="1"/>
  <c r="P43" i="1" s="1"/>
  <c r="Q43" i="1" s="1"/>
  <c r="R43" i="1" s="1"/>
  <c r="S43" i="1" s="1"/>
  <c r="E44" i="1"/>
  <c r="P44" i="1" s="1"/>
  <c r="Q44" i="1" s="1"/>
  <c r="R44" i="1" s="1"/>
  <c r="S44" i="1" s="1"/>
  <c r="E45" i="1"/>
  <c r="P45" i="1" s="1"/>
  <c r="Q45" i="1" s="1"/>
  <c r="R45" i="1" s="1"/>
  <c r="S45" i="1" s="1"/>
  <c r="E46" i="1"/>
  <c r="P46" i="1" s="1"/>
  <c r="Q46" i="1" s="1"/>
  <c r="R46" i="1" s="1"/>
  <c r="S46" i="1" s="1"/>
  <c r="E47" i="1"/>
  <c r="P47" i="1" s="1"/>
  <c r="Q47" i="1" s="1"/>
  <c r="R47" i="1" s="1"/>
  <c r="S47" i="1" s="1"/>
  <c r="E48" i="1"/>
  <c r="P48" i="1" s="1"/>
  <c r="Q48" i="1" s="1"/>
  <c r="R48" i="1" s="1"/>
  <c r="S48" i="1" s="1"/>
  <c r="E49" i="1"/>
  <c r="P49" i="1" s="1"/>
  <c r="Q49" i="1" s="1"/>
  <c r="R49" i="1" s="1"/>
  <c r="S49" i="1" s="1"/>
  <c r="E50" i="1"/>
  <c r="P50" i="1" s="1"/>
  <c r="Q50" i="1" s="1"/>
  <c r="R50" i="1" s="1"/>
  <c r="S50" i="1" s="1"/>
  <c r="E51" i="1"/>
  <c r="P51" i="1" s="1"/>
  <c r="Q51" i="1" s="1"/>
  <c r="R51" i="1" s="1"/>
  <c r="S51" i="1" s="1"/>
  <c r="E3" i="1"/>
  <c r="P3" i="1" s="1"/>
  <c r="Q3" i="1" s="1"/>
  <c r="R3" i="1" s="1"/>
  <c r="S3" i="1" s="1"/>
  <c r="E4" i="1"/>
  <c r="P4" i="1" s="1"/>
  <c r="Q4" i="1" s="1"/>
  <c r="R4" i="1" s="1"/>
  <c r="S4" i="1" s="1"/>
  <c r="E5" i="1"/>
  <c r="P5" i="1" s="1"/>
  <c r="Q5" i="1" s="1"/>
  <c r="R5" i="1" s="1"/>
  <c r="S5" i="1" s="1"/>
  <c r="E6" i="1"/>
  <c r="P6" i="1" s="1"/>
  <c r="Q6" i="1" s="1"/>
  <c r="R6" i="1" s="1"/>
  <c r="S6" i="1" s="1"/>
  <c r="E7" i="1"/>
  <c r="P7" i="1" s="1"/>
  <c r="Q7" i="1" s="1"/>
  <c r="R7" i="1" s="1"/>
  <c r="S7" i="1" s="1"/>
  <c r="E8" i="1"/>
  <c r="P8" i="1" s="1"/>
  <c r="Q8" i="1" s="1"/>
  <c r="R8" i="1" s="1"/>
  <c r="S8" i="1" s="1"/>
  <c r="E9" i="1"/>
  <c r="P9" i="1" s="1"/>
  <c r="Q9" i="1" s="1"/>
  <c r="R9" i="1" s="1"/>
  <c r="S9" i="1" s="1"/>
  <c r="E10" i="1"/>
  <c r="P10" i="1" s="1"/>
  <c r="Q10" i="1" s="1"/>
  <c r="R10" i="1" s="1"/>
  <c r="S10" i="1" s="1"/>
  <c r="E11" i="1"/>
  <c r="P11" i="1" s="1"/>
  <c r="Q11" i="1" s="1"/>
  <c r="R11" i="1" s="1"/>
  <c r="S11" i="1" s="1"/>
  <c r="E12" i="1"/>
  <c r="P12" i="1" s="1"/>
  <c r="Q12" i="1" s="1"/>
  <c r="R12" i="1" s="1"/>
  <c r="E13" i="1"/>
  <c r="P13" i="1" s="1"/>
  <c r="Q13" i="1" s="1"/>
  <c r="R13" i="1" s="1"/>
  <c r="S13" i="1" s="1"/>
  <c r="E14" i="1"/>
  <c r="P14" i="1" s="1"/>
  <c r="Q14" i="1" s="1"/>
  <c r="R14" i="1" s="1"/>
  <c r="E15" i="1"/>
  <c r="P15" i="1" s="1"/>
  <c r="Q15" i="1" s="1"/>
  <c r="E16" i="1"/>
  <c r="P16" i="1" s="1"/>
  <c r="Q16" i="1" s="1"/>
  <c r="R16" i="1" s="1"/>
  <c r="S16" i="1" s="1"/>
  <c r="E17" i="1"/>
  <c r="P17" i="1" s="1"/>
  <c r="Q17" i="1" s="1"/>
  <c r="R17" i="1" s="1"/>
  <c r="S17" i="1" s="1"/>
  <c r="E18" i="1"/>
  <c r="P18" i="1" s="1"/>
  <c r="Q18" i="1" s="1"/>
  <c r="R18" i="1" s="1"/>
  <c r="S18" i="1" s="1"/>
  <c r="E19" i="1"/>
  <c r="P19" i="1" s="1"/>
  <c r="Q19" i="1" s="1"/>
  <c r="R19" i="1" s="1"/>
  <c r="S19" i="1" s="1"/>
  <c r="E20" i="1"/>
  <c r="P20" i="1" s="1"/>
  <c r="Q20" i="1" s="1"/>
  <c r="R20" i="1" s="1"/>
  <c r="S20" i="1" s="1"/>
  <c r="E21" i="1"/>
  <c r="P21" i="1" s="1"/>
  <c r="Q21" i="1" s="1"/>
  <c r="R21" i="1" s="1"/>
  <c r="S21" i="1" s="1"/>
  <c r="E22" i="1"/>
  <c r="P22" i="1" s="1"/>
  <c r="Q22" i="1" s="1"/>
  <c r="R22" i="1" s="1"/>
  <c r="S22" i="1" s="1"/>
  <c r="E23" i="1"/>
  <c r="P23" i="1" s="1"/>
  <c r="Q23" i="1" s="1"/>
  <c r="R23" i="1" s="1"/>
  <c r="S23" i="1" s="1"/>
  <c r="E24" i="1"/>
  <c r="P24" i="1" s="1"/>
  <c r="Q24" i="1" s="1"/>
  <c r="R24" i="1" s="1"/>
  <c r="S24" i="1" s="1"/>
  <c r="E25" i="1"/>
  <c r="P25" i="1" s="1"/>
  <c r="Q25" i="1" s="1"/>
  <c r="R25" i="1" s="1"/>
  <c r="S25" i="1" s="1"/>
  <c r="E26" i="1"/>
  <c r="P26" i="1" s="1"/>
  <c r="Q26" i="1" s="1"/>
  <c r="R26" i="1" s="1"/>
  <c r="S26" i="1" s="1"/>
  <c r="E27" i="1"/>
  <c r="P27" i="1" s="1"/>
  <c r="Q27" i="1" s="1"/>
  <c r="R27" i="1" s="1"/>
  <c r="S27" i="1" s="1"/>
  <c r="E28" i="1"/>
  <c r="P28" i="1" s="1"/>
  <c r="Q28" i="1" s="1"/>
  <c r="R28" i="1" s="1"/>
  <c r="S28" i="1" s="1"/>
  <c r="E29" i="1"/>
  <c r="P29" i="1" s="1"/>
  <c r="Q29" i="1" s="1"/>
  <c r="R29" i="1" s="1"/>
  <c r="S29" i="1" s="1"/>
  <c r="E30" i="1"/>
  <c r="P30" i="1" s="1"/>
  <c r="Q30" i="1" s="1"/>
  <c r="R30" i="1" s="1"/>
  <c r="S30" i="1" s="1"/>
  <c r="E31" i="1"/>
  <c r="P31" i="1" s="1"/>
  <c r="Q31" i="1" s="1"/>
  <c r="R31" i="1" s="1"/>
  <c r="S31" i="1" s="1"/>
  <c r="E32" i="1"/>
  <c r="P32" i="1" s="1"/>
  <c r="Q32" i="1" s="1"/>
  <c r="R32" i="1" s="1"/>
  <c r="S32" i="1" s="1"/>
  <c r="E33" i="1"/>
  <c r="P33" i="1" s="1"/>
  <c r="Q33" i="1" s="1"/>
  <c r="R33" i="1" s="1"/>
  <c r="S33" i="1" s="1"/>
  <c r="E34" i="1"/>
  <c r="P34" i="1" s="1"/>
  <c r="Q34" i="1" s="1"/>
  <c r="R34" i="1" s="1"/>
  <c r="S34" i="1" s="1"/>
  <c r="E35" i="1"/>
  <c r="P35" i="1" s="1"/>
  <c r="Q35" i="1" s="1"/>
  <c r="R35" i="1" s="1"/>
  <c r="S35" i="1" s="1"/>
  <c r="E36" i="1"/>
  <c r="P36" i="1" s="1"/>
  <c r="Q36" i="1" s="1"/>
  <c r="R36" i="1" s="1"/>
  <c r="S36" i="1" s="1"/>
  <c r="E37" i="1"/>
  <c r="P37" i="1" s="1"/>
  <c r="Q37" i="1" s="1"/>
  <c r="R37" i="1" s="1"/>
  <c r="S37" i="1" s="1"/>
  <c r="E38" i="1"/>
  <c r="P38" i="1" s="1"/>
  <c r="Q38" i="1" s="1"/>
  <c r="R38" i="1" s="1"/>
  <c r="S38" i="1" s="1"/>
  <c r="E39" i="1"/>
  <c r="P39" i="1" s="1"/>
  <c r="Q39" i="1" s="1"/>
  <c r="R39" i="1" s="1"/>
  <c r="S39" i="1" s="1"/>
  <c r="E40" i="1"/>
  <c r="P40" i="1" s="1"/>
  <c r="Q40" i="1" s="1"/>
  <c r="R40" i="1" s="1"/>
  <c r="S40" i="1" s="1"/>
  <c r="E41" i="1"/>
  <c r="P41" i="1" s="1"/>
  <c r="Q41" i="1" s="1"/>
  <c r="R41" i="1" s="1"/>
  <c r="S41" i="1" s="1"/>
  <c r="E53" i="1"/>
  <c r="P53" i="1" s="1"/>
  <c r="Q53" i="1" s="1"/>
  <c r="R53" i="1" s="1"/>
  <c r="S53" i="1" s="1"/>
  <c r="E54" i="1"/>
  <c r="P54" i="1" s="1"/>
  <c r="Q54" i="1" s="1"/>
  <c r="R54" i="1" s="1"/>
  <c r="S54" i="1" s="1"/>
  <c r="E55" i="1"/>
  <c r="P55" i="1" s="1"/>
  <c r="Q55" i="1" s="1"/>
  <c r="R55" i="1" s="1"/>
  <c r="S55" i="1" s="1"/>
  <c r="E56" i="1"/>
  <c r="P56" i="1" s="1"/>
  <c r="Q56" i="1" s="1"/>
  <c r="R56" i="1" s="1"/>
  <c r="S56" i="1" s="1"/>
  <c r="E57" i="1"/>
  <c r="P57" i="1" s="1"/>
  <c r="Q57" i="1" s="1"/>
  <c r="R57" i="1" s="1"/>
  <c r="S57" i="1" s="1"/>
  <c r="E58" i="1"/>
  <c r="P58" i="1" s="1"/>
  <c r="Q58" i="1" s="1"/>
  <c r="R58" i="1" s="1"/>
  <c r="S58" i="1" s="1"/>
  <c r="E59" i="1"/>
  <c r="P59" i="1" s="1"/>
  <c r="Q59" i="1" s="1"/>
  <c r="R59" i="1" s="1"/>
  <c r="S59" i="1" s="1"/>
  <c r="E60" i="1"/>
  <c r="P60" i="1" s="1"/>
  <c r="Q60" i="1" s="1"/>
  <c r="R60" i="1" s="1"/>
  <c r="S60" i="1" s="1"/>
  <c r="E61" i="1"/>
  <c r="P61" i="1" s="1"/>
  <c r="Q61" i="1" s="1"/>
  <c r="R61" i="1" s="1"/>
  <c r="S61" i="1" s="1"/>
  <c r="E62" i="1"/>
  <c r="P62" i="1" s="1"/>
  <c r="Q62" i="1" s="1"/>
  <c r="R62" i="1" s="1"/>
  <c r="S62" i="1" s="1"/>
  <c r="E63" i="1"/>
  <c r="P63" i="1" s="1"/>
  <c r="Q63" i="1" s="1"/>
  <c r="R63" i="1" s="1"/>
  <c r="S63" i="1" s="1"/>
  <c r="E64" i="1"/>
  <c r="P64" i="1" s="1"/>
  <c r="Q64" i="1" s="1"/>
  <c r="R64" i="1" s="1"/>
  <c r="S64" i="1" s="1"/>
  <c r="E65" i="1"/>
  <c r="P65" i="1" s="1"/>
  <c r="Q65" i="1" s="1"/>
  <c r="R65" i="1" s="1"/>
  <c r="S65" i="1" s="1"/>
  <c r="E66" i="1"/>
  <c r="P66" i="1" s="1"/>
  <c r="Q66" i="1" s="1"/>
  <c r="R66" i="1" s="1"/>
  <c r="S66" i="1" s="1"/>
  <c r="E67" i="1"/>
  <c r="P67" i="1" s="1"/>
  <c r="Q67" i="1" s="1"/>
  <c r="R67" i="1" s="1"/>
  <c r="S67" i="1" s="1"/>
  <c r="E68" i="1"/>
  <c r="P68" i="1" s="1"/>
  <c r="Q68" i="1" s="1"/>
  <c r="R68" i="1" s="1"/>
  <c r="S68" i="1" s="1"/>
  <c r="E69" i="1"/>
  <c r="P69" i="1" s="1"/>
  <c r="Q69" i="1" s="1"/>
  <c r="R69" i="1" s="1"/>
  <c r="S69" i="1" s="1"/>
  <c r="E70" i="1"/>
  <c r="P70" i="1" s="1"/>
  <c r="Q70" i="1" s="1"/>
  <c r="R70" i="1" s="1"/>
  <c r="S70" i="1" s="1"/>
  <c r="E71" i="1"/>
  <c r="P71" i="1" s="1"/>
  <c r="Q71" i="1" s="1"/>
  <c r="R71" i="1" s="1"/>
  <c r="S71" i="1" s="1"/>
  <c r="E72" i="1"/>
  <c r="P72" i="1" s="1"/>
  <c r="Q72" i="1" s="1"/>
  <c r="R72" i="1" s="1"/>
  <c r="S72" i="1" s="1"/>
  <c r="E73" i="1"/>
  <c r="P73" i="1" s="1"/>
  <c r="Q73" i="1" s="1"/>
  <c r="R73" i="1" s="1"/>
  <c r="S73" i="1" s="1"/>
  <c r="E74" i="1"/>
  <c r="P74" i="1" s="1"/>
  <c r="Q74" i="1" s="1"/>
  <c r="R74" i="1" s="1"/>
  <c r="S74" i="1" s="1"/>
  <c r="E75" i="1"/>
  <c r="P75" i="1" s="1"/>
  <c r="Q75" i="1" s="1"/>
  <c r="R75" i="1" s="1"/>
  <c r="S75" i="1" s="1"/>
  <c r="E76" i="1"/>
  <c r="P76" i="1" s="1"/>
  <c r="Q76" i="1" s="1"/>
  <c r="R76" i="1" s="1"/>
  <c r="S76" i="1" s="1"/>
  <c r="E77" i="1"/>
  <c r="P77" i="1" s="1"/>
  <c r="Q77" i="1" s="1"/>
  <c r="R77" i="1" s="1"/>
  <c r="S77" i="1" s="1"/>
  <c r="E78" i="1"/>
  <c r="P78" i="1" s="1"/>
  <c r="Q78" i="1" s="1"/>
  <c r="R78" i="1" s="1"/>
  <c r="S78" i="1" s="1"/>
  <c r="E79" i="1"/>
  <c r="P79" i="1" s="1"/>
  <c r="Q79" i="1" s="1"/>
  <c r="R79" i="1" s="1"/>
  <c r="S79" i="1" s="1"/>
  <c r="E80" i="1"/>
  <c r="P80" i="1" s="1"/>
  <c r="Q80" i="1" s="1"/>
  <c r="R80" i="1" s="1"/>
  <c r="S80" i="1" s="1"/>
  <c r="E81" i="1"/>
  <c r="P81" i="1" s="1"/>
  <c r="Q81" i="1" s="1"/>
  <c r="R81" i="1" s="1"/>
  <c r="S81" i="1" s="1"/>
  <c r="E82" i="1"/>
  <c r="E83" i="1"/>
  <c r="E84" i="1"/>
  <c r="E85" i="1"/>
  <c r="E86" i="1"/>
  <c r="E87" i="1"/>
  <c r="E88" i="1"/>
  <c r="E89" i="1"/>
  <c r="E90" i="1"/>
  <c r="E91" i="1"/>
  <c r="E92" i="1"/>
  <c r="P92" i="1" s="1"/>
  <c r="Q92" i="1" s="1"/>
  <c r="R92" i="1" s="1"/>
  <c r="S92" i="1" s="1"/>
  <c r="E93" i="1"/>
  <c r="P93" i="1" s="1"/>
  <c r="Q93" i="1" s="1"/>
  <c r="R93" i="1" s="1"/>
  <c r="S93" i="1" s="1"/>
  <c r="E94" i="1"/>
  <c r="P94" i="1" s="1"/>
  <c r="Q94" i="1" s="1"/>
  <c r="R94" i="1" s="1"/>
  <c r="S94" i="1" s="1"/>
  <c r="E95" i="1"/>
  <c r="P95" i="1" s="1"/>
  <c r="Q95" i="1" s="1"/>
  <c r="R95" i="1" s="1"/>
  <c r="S95" i="1" s="1"/>
  <c r="E96" i="1"/>
  <c r="P96" i="1" s="1"/>
  <c r="Q96" i="1" s="1"/>
  <c r="R96" i="1" s="1"/>
  <c r="S96" i="1" s="1"/>
  <c r="E97" i="1"/>
  <c r="P97" i="1" s="1"/>
  <c r="Q97" i="1" s="1"/>
  <c r="R97" i="1" s="1"/>
  <c r="S97" i="1" s="1"/>
  <c r="E98" i="1"/>
  <c r="P98" i="1" s="1"/>
  <c r="Q98" i="1" s="1"/>
  <c r="R98" i="1" s="1"/>
  <c r="S98" i="1" s="1"/>
  <c r="E99" i="1"/>
  <c r="P99" i="1" s="1"/>
  <c r="Q99" i="1" s="1"/>
  <c r="R99" i="1" s="1"/>
  <c r="S99" i="1" s="1"/>
  <c r="E100" i="1"/>
  <c r="P100" i="1" s="1"/>
  <c r="Q100" i="1" s="1"/>
  <c r="R100" i="1" s="1"/>
  <c r="S100" i="1" s="1"/>
  <c r="E101" i="1"/>
  <c r="P101" i="1" s="1"/>
  <c r="Q101" i="1" s="1"/>
  <c r="R101" i="1" s="1"/>
  <c r="S101" i="1" s="1"/>
  <c r="E102" i="1"/>
  <c r="P102" i="1" s="1"/>
  <c r="Q102" i="1" s="1"/>
  <c r="R102" i="1" s="1"/>
  <c r="S102" i="1" s="1"/>
  <c r="E103" i="1"/>
  <c r="P103" i="1" s="1"/>
  <c r="Q103" i="1" s="1"/>
  <c r="R103" i="1" s="1"/>
  <c r="S103" i="1" s="1"/>
  <c r="E104" i="1"/>
  <c r="P104" i="1" s="1"/>
  <c r="Q104" i="1" s="1"/>
  <c r="R104" i="1" s="1"/>
  <c r="S104" i="1" s="1"/>
  <c r="E105" i="1"/>
  <c r="P105" i="1" s="1"/>
  <c r="Q105" i="1" s="1"/>
  <c r="R105" i="1" s="1"/>
  <c r="S105" i="1" s="1"/>
  <c r="E106" i="1"/>
  <c r="P106" i="1" s="1"/>
  <c r="Q106" i="1" s="1"/>
  <c r="R106" i="1" s="1"/>
  <c r="S106" i="1" s="1"/>
  <c r="E107" i="1"/>
  <c r="P107" i="1" s="1"/>
  <c r="Q107" i="1" s="1"/>
  <c r="R107" i="1" s="1"/>
  <c r="S107" i="1" s="1"/>
  <c r="E108" i="1"/>
  <c r="P108" i="1" s="1"/>
  <c r="Q108" i="1" s="1"/>
  <c r="R108" i="1" s="1"/>
  <c r="S108" i="1" s="1"/>
  <c r="E109" i="1"/>
  <c r="P109" i="1" s="1"/>
  <c r="Q109" i="1" s="1"/>
  <c r="R109" i="1" s="1"/>
  <c r="S109" i="1" s="1"/>
  <c r="E110" i="1"/>
  <c r="P110" i="1" s="1"/>
  <c r="Q110" i="1" s="1"/>
  <c r="R110" i="1" s="1"/>
  <c r="S110" i="1" s="1"/>
  <c r="E111" i="1"/>
  <c r="P111" i="1" s="1"/>
  <c r="Q111" i="1" s="1"/>
  <c r="R111" i="1" s="1"/>
  <c r="S111" i="1" s="1"/>
  <c r="E112" i="1"/>
  <c r="P112" i="1" s="1"/>
  <c r="Q112" i="1" s="1"/>
  <c r="R112" i="1" s="1"/>
  <c r="S112" i="1" s="1"/>
  <c r="E113" i="1"/>
  <c r="P113" i="1" s="1"/>
  <c r="Q113" i="1" s="1"/>
  <c r="R113" i="1" s="1"/>
  <c r="S113" i="1" s="1"/>
  <c r="E114" i="1"/>
  <c r="P114" i="1" s="1"/>
  <c r="Q114" i="1" s="1"/>
  <c r="R114" i="1" s="1"/>
  <c r="S114" i="1" s="1"/>
  <c r="E115" i="1"/>
  <c r="P115" i="1" s="1"/>
  <c r="Q115" i="1" s="1"/>
  <c r="R115" i="1" s="1"/>
  <c r="S115" i="1" s="1"/>
  <c r="E116" i="1"/>
  <c r="P116" i="1" s="1"/>
  <c r="Q116" i="1" s="1"/>
  <c r="R116" i="1" s="1"/>
  <c r="S116" i="1" s="1"/>
  <c r="E117" i="1"/>
  <c r="P117" i="1" s="1"/>
  <c r="Q117" i="1" s="1"/>
  <c r="R117" i="1" s="1"/>
  <c r="S117" i="1" s="1"/>
  <c r="E118" i="1"/>
  <c r="P118" i="1" s="1"/>
  <c r="Q118" i="1" s="1"/>
  <c r="R118" i="1" s="1"/>
  <c r="S118" i="1" s="1"/>
  <c r="E119" i="1"/>
  <c r="P119" i="1" s="1"/>
  <c r="Q119" i="1" s="1"/>
  <c r="R119" i="1" s="1"/>
  <c r="S119" i="1" s="1"/>
  <c r="E120" i="1"/>
  <c r="P120" i="1" s="1"/>
  <c r="Q120" i="1" s="1"/>
  <c r="R120" i="1" s="1"/>
  <c r="S120" i="1" s="1"/>
  <c r="E121" i="1"/>
  <c r="P121" i="1" s="1"/>
  <c r="Q121" i="1" s="1"/>
  <c r="R121" i="1" s="1"/>
  <c r="S121" i="1" s="1"/>
  <c r="E122" i="1"/>
  <c r="P122" i="1" s="1"/>
  <c r="Q122" i="1" s="1"/>
  <c r="R122" i="1" s="1"/>
  <c r="S122" i="1" s="1"/>
  <c r="E123" i="1"/>
  <c r="P123" i="1" s="1"/>
  <c r="Q123" i="1" s="1"/>
  <c r="R123" i="1" s="1"/>
  <c r="S123" i="1" s="1"/>
  <c r="E124" i="1"/>
  <c r="P124" i="1" s="1"/>
  <c r="Q124" i="1" s="1"/>
  <c r="R124" i="1" s="1"/>
  <c r="S124" i="1" s="1"/>
  <c r="E125" i="1"/>
  <c r="P125" i="1" s="1"/>
  <c r="Q125" i="1" s="1"/>
  <c r="R125" i="1" s="1"/>
  <c r="S125" i="1" s="1"/>
  <c r="E126" i="1"/>
  <c r="P126" i="1" s="1"/>
  <c r="Q126" i="1" s="1"/>
  <c r="R126" i="1" s="1"/>
  <c r="S126" i="1" s="1"/>
  <c r="E127" i="1"/>
  <c r="P127" i="1" s="1"/>
  <c r="Q127" i="1" s="1"/>
  <c r="R127" i="1" s="1"/>
  <c r="S127" i="1" s="1"/>
  <c r="E128" i="1"/>
  <c r="P128" i="1" s="1"/>
  <c r="Q128" i="1" s="1"/>
  <c r="R128" i="1" s="1"/>
  <c r="S128" i="1" s="1"/>
  <c r="E129" i="1"/>
  <c r="P129" i="1" s="1"/>
  <c r="Q129" i="1" s="1"/>
  <c r="R129" i="1" s="1"/>
  <c r="S129" i="1" s="1"/>
  <c r="E130" i="1"/>
  <c r="P130" i="1" s="1"/>
  <c r="Q130" i="1" s="1"/>
  <c r="R130" i="1" s="1"/>
  <c r="S130" i="1" s="1"/>
  <c r="E131" i="1"/>
  <c r="P131" i="1" s="1"/>
  <c r="Q131" i="1" s="1"/>
  <c r="R131" i="1" s="1"/>
  <c r="S131" i="1" s="1"/>
  <c r="E132" i="1"/>
  <c r="P132" i="1" s="1"/>
  <c r="Q132" i="1" s="1"/>
  <c r="R132" i="1" s="1"/>
  <c r="S132" i="1" s="1"/>
  <c r="E133" i="1"/>
  <c r="P133" i="1" s="1"/>
  <c r="Q133" i="1" s="1"/>
  <c r="R133" i="1" s="1"/>
  <c r="S133" i="1" s="1"/>
  <c r="E134" i="1"/>
  <c r="P134" i="1" s="1"/>
  <c r="Q134" i="1" s="1"/>
  <c r="R134" i="1" s="1"/>
  <c r="S134" i="1" s="1"/>
  <c r="E135" i="1"/>
  <c r="P135" i="1" s="1"/>
  <c r="Q135" i="1" s="1"/>
  <c r="R135" i="1" s="1"/>
  <c r="S135" i="1" s="1"/>
  <c r="E136" i="1"/>
  <c r="P136" i="1" s="1"/>
  <c r="Q136" i="1" s="1"/>
  <c r="R136" i="1" s="1"/>
  <c r="S136" i="1" s="1"/>
  <c r="E137" i="1"/>
  <c r="P137" i="1" s="1"/>
  <c r="Q137" i="1" s="1"/>
  <c r="R137" i="1" s="1"/>
  <c r="S137" i="1" s="1"/>
  <c r="E138" i="1"/>
  <c r="P138" i="1" s="1"/>
  <c r="Q138" i="1" s="1"/>
  <c r="R138" i="1" s="1"/>
  <c r="S138" i="1" s="1"/>
  <c r="E139" i="1"/>
  <c r="P139" i="1" s="1"/>
  <c r="Q139" i="1" s="1"/>
  <c r="R139" i="1" s="1"/>
  <c r="S139" i="1" s="1"/>
  <c r="E140" i="1"/>
  <c r="P140" i="1" s="1"/>
  <c r="Q140" i="1" s="1"/>
  <c r="R140" i="1" s="1"/>
  <c r="S140" i="1" s="1"/>
  <c r="E141" i="1"/>
  <c r="P141" i="1" s="1"/>
  <c r="Q141" i="1" s="1"/>
  <c r="R141" i="1" s="1"/>
  <c r="S141" i="1" s="1"/>
  <c r="E142" i="1"/>
  <c r="P142" i="1" s="1"/>
  <c r="Q142" i="1" s="1"/>
  <c r="R142" i="1" s="1"/>
  <c r="S142" i="1" s="1"/>
  <c r="E143" i="1"/>
  <c r="P143" i="1" s="1"/>
  <c r="Q143" i="1" s="1"/>
  <c r="R143" i="1" s="1"/>
  <c r="S143" i="1" s="1"/>
  <c r="E144" i="1"/>
  <c r="P144" i="1" s="1"/>
  <c r="Q144" i="1" s="1"/>
  <c r="R144" i="1" s="1"/>
  <c r="S144" i="1" s="1"/>
  <c r="E145" i="1"/>
  <c r="P145" i="1" s="1"/>
  <c r="Q145" i="1" s="1"/>
  <c r="R145" i="1" s="1"/>
  <c r="S145" i="1" s="1"/>
  <c r="E146" i="1"/>
  <c r="P146" i="1" s="1"/>
  <c r="Q146" i="1" s="1"/>
  <c r="R146" i="1" s="1"/>
  <c r="S146" i="1" s="1"/>
  <c r="E147" i="1"/>
  <c r="P147" i="1" s="1"/>
  <c r="Q147" i="1" s="1"/>
  <c r="R147" i="1" s="1"/>
  <c r="S147" i="1" s="1"/>
  <c r="E148" i="1"/>
  <c r="P148" i="1" s="1"/>
  <c r="Q148" i="1" s="1"/>
  <c r="R148" i="1" s="1"/>
  <c r="S148" i="1" s="1"/>
  <c r="E149" i="1"/>
  <c r="P149" i="1" s="1"/>
  <c r="Q149" i="1" s="1"/>
  <c r="R149" i="1" s="1"/>
  <c r="S149" i="1" s="1"/>
  <c r="E150" i="1"/>
  <c r="P150" i="1" s="1"/>
  <c r="Q150" i="1" s="1"/>
  <c r="R150" i="1" s="1"/>
  <c r="S150" i="1" s="1"/>
  <c r="E151" i="1"/>
  <c r="P151" i="1" s="1"/>
  <c r="Q151" i="1" s="1"/>
  <c r="R151" i="1" s="1"/>
  <c r="S151" i="1" s="1"/>
  <c r="E152" i="1"/>
  <c r="P152" i="1" s="1"/>
  <c r="Q152" i="1" s="1"/>
  <c r="R152" i="1" s="1"/>
  <c r="S152" i="1" s="1"/>
  <c r="E153" i="1"/>
  <c r="P153" i="1" s="1"/>
  <c r="Q153" i="1" s="1"/>
  <c r="R153" i="1" s="1"/>
  <c r="S153" i="1" s="1"/>
  <c r="E154" i="1"/>
  <c r="P154" i="1" s="1"/>
  <c r="Q154" i="1" s="1"/>
  <c r="R154" i="1" s="1"/>
  <c r="S154" i="1" s="1"/>
  <c r="E155" i="1"/>
  <c r="P155" i="1" s="1"/>
  <c r="Q155" i="1" s="1"/>
  <c r="R155" i="1" s="1"/>
  <c r="S155" i="1" s="1"/>
  <c r="E156" i="1"/>
  <c r="P156" i="1" s="1"/>
  <c r="Q156" i="1" s="1"/>
  <c r="R156" i="1" s="1"/>
  <c r="S156" i="1" s="1"/>
  <c r="E157" i="1"/>
  <c r="P157" i="1" s="1"/>
  <c r="Q157" i="1" s="1"/>
  <c r="R157" i="1" s="1"/>
  <c r="S157" i="1" s="1"/>
  <c r="E158" i="1"/>
  <c r="P158" i="1" s="1"/>
  <c r="Q158" i="1" s="1"/>
  <c r="R158" i="1" s="1"/>
  <c r="S158" i="1" s="1"/>
  <c r="E159" i="1"/>
  <c r="P159" i="1" s="1"/>
  <c r="Q159" i="1" s="1"/>
  <c r="R159" i="1" s="1"/>
  <c r="S159" i="1" s="1"/>
  <c r="E160" i="1"/>
  <c r="P160" i="1" s="1"/>
  <c r="Q160" i="1" s="1"/>
  <c r="R160" i="1" s="1"/>
  <c r="S160" i="1" s="1"/>
  <c r="E161" i="1"/>
  <c r="P161" i="1" s="1"/>
  <c r="Q161" i="1" s="1"/>
  <c r="R161" i="1" s="1"/>
  <c r="S161" i="1" s="1"/>
  <c r="E162" i="1"/>
  <c r="P162" i="1" s="1"/>
  <c r="Q162" i="1" s="1"/>
  <c r="R162" i="1" s="1"/>
  <c r="S162" i="1" s="1"/>
  <c r="E163" i="1"/>
  <c r="P163" i="1" s="1"/>
  <c r="Q163" i="1" s="1"/>
  <c r="R163" i="1" s="1"/>
  <c r="S163" i="1" s="1"/>
  <c r="E164" i="1"/>
  <c r="P164" i="1" s="1"/>
  <c r="Q164" i="1" s="1"/>
  <c r="R164" i="1" s="1"/>
  <c r="S164" i="1" s="1"/>
  <c r="E165" i="1"/>
  <c r="P165" i="1" s="1"/>
  <c r="Q165" i="1" s="1"/>
  <c r="R165" i="1" s="1"/>
  <c r="S165" i="1" s="1"/>
  <c r="E166" i="1"/>
  <c r="P166" i="1" s="1"/>
  <c r="Q166" i="1" s="1"/>
  <c r="R166" i="1" s="1"/>
  <c r="S166" i="1" s="1"/>
  <c r="E167" i="1"/>
  <c r="P167" i="1" s="1"/>
  <c r="Q167" i="1" s="1"/>
  <c r="R167" i="1" s="1"/>
  <c r="S167" i="1" s="1"/>
  <c r="E168" i="1"/>
  <c r="P168" i="1" s="1"/>
  <c r="Q168" i="1" s="1"/>
  <c r="R168" i="1" s="1"/>
  <c r="S168" i="1" s="1"/>
  <c r="E169" i="1"/>
  <c r="P169" i="1" s="1"/>
  <c r="Q169" i="1" s="1"/>
  <c r="R169" i="1" s="1"/>
  <c r="S169" i="1" s="1"/>
  <c r="E170" i="1"/>
  <c r="P170" i="1" s="1"/>
  <c r="Q170" i="1" s="1"/>
  <c r="R170" i="1" s="1"/>
  <c r="S170" i="1" s="1"/>
  <c r="E171" i="1"/>
  <c r="P171" i="1" s="1"/>
  <c r="Q171" i="1" s="1"/>
  <c r="R171" i="1" s="1"/>
  <c r="S171" i="1" s="1"/>
  <c r="E172" i="1"/>
  <c r="P172" i="1" s="1"/>
  <c r="Q172" i="1" s="1"/>
  <c r="R172" i="1" s="1"/>
  <c r="S172" i="1" s="1"/>
  <c r="E173" i="1"/>
  <c r="P173" i="1" s="1"/>
  <c r="Q173" i="1" s="1"/>
  <c r="R173" i="1" s="1"/>
  <c r="S173" i="1" s="1"/>
  <c r="E174" i="1"/>
  <c r="P174" i="1" s="1"/>
  <c r="Q174" i="1" s="1"/>
  <c r="R174" i="1" s="1"/>
  <c r="S174" i="1" s="1"/>
  <c r="E175" i="1"/>
  <c r="P175" i="1" s="1"/>
  <c r="Q175" i="1" s="1"/>
  <c r="R175" i="1" s="1"/>
  <c r="S175" i="1" s="1"/>
  <c r="E176" i="1"/>
  <c r="P176" i="1" s="1"/>
  <c r="Q176" i="1" s="1"/>
  <c r="R176" i="1" s="1"/>
  <c r="S176" i="1" s="1"/>
  <c r="E177" i="1"/>
  <c r="P177" i="1" s="1"/>
  <c r="Q177" i="1" s="1"/>
  <c r="R177" i="1" s="1"/>
  <c r="S177" i="1" s="1"/>
  <c r="E178" i="1"/>
  <c r="P178" i="1" s="1"/>
  <c r="Q178" i="1" s="1"/>
  <c r="R178" i="1" s="1"/>
  <c r="S178" i="1" s="1"/>
  <c r="E179" i="1"/>
  <c r="P179" i="1" s="1"/>
  <c r="Q179" i="1" s="1"/>
  <c r="R179" i="1" s="1"/>
  <c r="S179" i="1" s="1"/>
  <c r="E180" i="1"/>
  <c r="P180" i="1" s="1"/>
  <c r="Q180" i="1" s="1"/>
  <c r="R180" i="1" s="1"/>
  <c r="S180" i="1" s="1"/>
  <c r="E181" i="1"/>
  <c r="P181" i="1" s="1"/>
  <c r="Q181" i="1" s="1"/>
  <c r="R181" i="1" s="1"/>
  <c r="S181" i="1" s="1"/>
  <c r="E182" i="1"/>
  <c r="P182" i="1" s="1"/>
  <c r="Q182" i="1" s="1"/>
  <c r="R182" i="1" s="1"/>
  <c r="S182" i="1" s="1"/>
  <c r="E183" i="1"/>
  <c r="P183" i="1" s="1"/>
  <c r="Q183" i="1" s="1"/>
  <c r="R183" i="1" s="1"/>
  <c r="S183" i="1" s="1"/>
  <c r="E184" i="1"/>
  <c r="P184" i="1" s="1"/>
  <c r="Q184" i="1" s="1"/>
  <c r="R184" i="1" s="1"/>
  <c r="S184" i="1" s="1"/>
  <c r="E185" i="1"/>
  <c r="P185" i="1" s="1"/>
  <c r="Q185" i="1" s="1"/>
  <c r="R185" i="1" s="1"/>
  <c r="S185" i="1" s="1"/>
  <c r="E186" i="1"/>
  <c r="P186" i="1" s="1"/>
  <c r="Q186" i="1" s="1"/>
  <c r="R186" i="1" s="1"/>
  <c r="S186" i="1" s="1"/>
  <c r="E187" i="1"/>
  <c r="P187" i="1" s="1"/>
  <c r="Q187" i="1" s="1"/>
  <c r="R187" i="1" s="1"/>
  <c r="S187" i="1" s="1"/>
  <c r="E188" i="1"/>
  <c r="P188" i="1" s="1"/>
  <c r="Q188" i="1" s="1"/>
  <c r="R188" i="1" s="1"/>
  <c r="S188" i="1" s="1"/>
  <c r="E189" i="1"/>
  <c r="P189" i="1" s="1"/>
  <c r="Q189" i="1" s="1"/>
  <c r="R189" i="1" s="1"/>
  <c r="S189" i="1" s="1"/>
  <c r="E190" i="1"/>
  <c r="P190" i="1" s="1"/>
  <c r="Q190" i="1" s="1"/>
  <c r="R190" i="1" s="1"/>
  <c r="S190" i="1" s="1"/>
  <c r="E191" i="1"/>
  <c r="P191" i="1" s="1"/>
  <c r="Q191" i="1" s="1"/>
  <c r="R191" i="1" s="1"/>
  <c r="S191" i="1" s="1"/>
  <c r="E192" i="1"/>
  <c r="P192" i="1" s="1"/>
  <c r="Q192" i="1" s="1"/>
  <c r="R192" i="1" s="1"/>
  <c r="S192" i="1" s="1"/>
  <c r="E193" i="1"/>
  <c r="P193" i="1" s="1"/>
  <c r="Q193" i="1" s="1"/>
  <c r="R193" i="1" s="1"/>
  <c r="S193" i="1" s="1"/>
  <c r="E194" i="1"/>
  <c r="P194" i="1" s="1"/>
  <c r="Q194" i="1" s="1"/>
  <c r="R194" i="1" s="1"/>
  <c r="S194" i="1" s="1"/>
  <c r="E195" i="1"/>
  <c r="P195" i="1" s="1"/>
  <c r="Q195" i="1" s="1"/>
  <c r="R195" i="1" s="1"/>
  <c r="S195" i="1" s="1"/>
  <c r="E196" i="1"/>
  <c r="P196" i="1" s="1"/>
  <c r="Q196" i="1" s="1"/>
  <c r="R196" i="1" s="1"/>
  <c r="S196" i="1" s="1"/>
  <c r="E197" i="1"/>
  <c r="P197" i="1" s="1"/>
  <c r="Q197" i="1" s="1"/>
  <c r="R197" i="1" s="1"/>
  <c r="S197" i="1" s="1"/>
  <c r="E198" i="1"/>
  <c r="P198" i="1" s="1"/>
  <c r="Q198" i="1" s="1"/>
  <c r="R198" i="1" s="1"/>
  <c r="S198" i="1" s="1"/>
  <c r="E199" i="1"/>
  <c r="P199" i="1" s="1"/>
  <c r="Q199" i="1" s="1"/>
  <c r="R199" i="1" s="1"/>
  <c r="S199" i="1" s="1"/>
  <c r="E200" i="1"/>
  <c r="P200" i="1" s="1"/>
  <c r="Q200" i="1" s="1"/>
  <c r="R200" i="1" s="1"/>
  <c r="S200" i="1" s="1"/>
  <c r="E201" i="1"/>
  <c r="P201" i="1" s="1"/>
  <c r="Q201" i="1" s="1"/>
  <c r="R201" i="1" s="1"/>
  <c r="S201" i="1" s="1"/>
  <c r="E202" i="1"/>
  <c r="P202" i="1" s="1"/>
  <c r="Q202" i="1" s="1"/>
  <c r="R202" i="1" s="1"/>
  <c r="S202" i="1" s="1"/>
  <c r="E203" i="1"/>
  <c r="P203" i="1" s="1"/>
  <c r="Q203" i="1" s="1"/>
  <c r="R203" i="1" s="1"/>
  <c r="S203" i="1" s="1"/>
  <c r="E204" i="1"/>
  <c r="P204" i="1" s="1"/>
  <c r="Q204" i="1" s="1"/>
  <c r="R204" i="1" s="1"/>
  <c r="S204" i="1" s="1"/>
  <c r="E205" i="1"/>
  <c r="P205" i="1" s="1"/>
  <c r="Q205" i="1" s="1"/>
  <c r="R205" i="1" s="1"/>
  <c r="S205" i="1" s="1"/>
  <c r="E206" i="1"/>
  <c r="P206" i="1" s="1"/>
  <c r="Q206" i="1" s="1"/>
  <c r="R206" i="1" s="1"/>
  <c r="S206" i="1" s="1"/>
  <c r="E207" i="1"/>
  <c r="P207" i="1" s="1"/>
  <c r="Q207" i="1" s="1"/>
  <c r="R207" i="1" s="1"/>
  <c r="S207" i="1" s="1"/>
  <c r="E208" i="1"/>
  <c r="P208" i="1" s="1"/>
  <c r="Q208" i="1" s="1"/>
  <c r="R208" i="1" s="1"/>
  <c r="S208" i="1" s="1"/>
  <c r="E209" i="1"/>
  <c r="P209" i="1" s="1"/>
  <c r="Q209" i="1" s="1"/>
  <c r="R209" i="1" s="1"/>
  <c r="S209" i="1" s="1"/>
  <c r="E210" i="1"/>
  <c r="P210" i="1" s="1"/>
  <c r="Q210" i="1" s="1"/>
  <c r="R210" i="1" s="1"/>
  <c r="S210" i="1" s="1"/>
  <c r="E211" i="1"/>
  <c r="P211" i="1" s="1"/>
  <c r="Q211" i="1" s="1"/>
  <c r="R211" i="1" s="1"/>
  <c r="S211" i="1" s="1"/>
  <c r="E212" i="1"/>
  <c r="P212" i="1" s="1"/>
  <c r="Q212" i="1" s="1"/>
  <c r="R212" i="1" s="1"/>
  <c r="S212" i="1" s="1"/>
  <c r="E213" i="1"/>
  <c r="P213" i="1" s="1"/>
  <c r="Q213" i="1" s="1"/>
  <c r="R213" i="1" s="1"/>
  <c r="S213" i="1" s="1"/>
  <c r="E214" i="1"/>
  <c r="P214" i="1" s="1"/>
  <c r="Q214" i="1" s="1"/>
  <c r="R214" i="1" s="1"/>
  <c r="S214" i="1" s="1"/>
  <c r="E215" i="1"/>
  <c r="P215" i="1" s="1"/>
  <c r="Q215" i="1" s="1"/>
  <c r="R215" i="1" s="1"/>
  <c r="S215" i="1" s="1"/>
  <c r="E216" i="1"/>
  <c r="P216" i="1" s="1"/>
  <c r="Q216" i="1" s="1"/>
  <c r="R216" i="1" s="1"/>
  <c r="S216" i="1" s="1"/>
  <c r="E217" i="1"/>
  <c r="P217" i="1" s="1"/>
  <c r="Q217" i="1" s="1"/>
  <c r="R217" i="1" s="1"/>
  <c r="S217" i="1" s="1"/>
  <c r="E218" i="1"/>
  <c r="P218" i="1" s="1"/>
  <c r="Q218" i="1" s="1"/>
  <c r="R218" i="1" s="1"/>
  <c r="S218" i="1" s="1"/>
  <c r="E219" i="1"/>
  <c r="P219" i="1" s="1"/>
  <c r="Q219" i="1" s="1"/>
  <c r="R219" i="1" s="1"/>
  <c r="S219" i="1" s="1"/>
  <c r="E220" i="1"/>
  <c r="P220" i="1" s="1"/>
  <c r="Q220" i="1" s="1"/>
  <c r="R220" i="1" s="1"/>
  <c r="S220" i="1" s="1"/>
  <c r="E221" i="1"/>
  <c r="P221" i="1" s="1"/>
  <c r="Q221" i="1" s="1"/>
  <c r="R221" i="1" s="1"/>
  <c r="S221" i="1" s="1"/>
  <c r="E222" i="1"/>
  <c r="P222" i="1" s="1"/>
  <c r="Q222" i="1" s="1"/>
  <c r="R222" i="1" s="1"/>
  <c r="S222" i="1" s="1"/>
  <c r="E223" i="1"/>
  <c r="P223" i="1" s="1"/>
  <c r="Q223" i="1" s="1"/>
  <c r="R223" i="1" s="1"/>
  <c r="S223" i="1" s="1"/>
  <c r="E224" i="1"/>
  <c r="P224" i="1" s="1"/>
  <c r="Q224" i="1" s="1"/>
  <c r="R224" i="1" s="1"/>
  <c r="S224" i="1" s="1"/>
  <c r="E225" i="1"/>
  <c r="P225" i="1" s="1"/>
  <c r="Q225" i="1" s="1"/>
  <c r="R225" i="1" s="1"/>
  <c r="S225" i="1" s="1"/>
  <c r="E226" i="1"/>
  <c r="P226" i="1" s="1"/>
  <c r="Q226" i="1" s="1"/>
  <c r="R226" i="1" s="1"/>
  <c r="S226" i="1" s="1"/>
  <c r="E227" i="1"/>
  <c r="P227" i="1" s="1"/>
  <c r="Q227" i="1" s="1"/>
  <c r="R227" i="1" s="1"/>
  <c r="S227" i="1" s="1"/>
  <c r="E228" i="1"/>
  <c r="P228" i="1" s="1"/>
  <c r="Q228" i="1" s="1"/>
  <c r="R228" i="1" s="1"/>
  <c r="S228" i="1" s="1"/>
  <c r="E229" i="1"/>
  <c r="P229" i="1" s="1"/>
  <c r="Q229" i="1" s="1"/>
  <c r="R229" i="1" s="1"/>
  <c r="S229" i="1" s="1"/>
  <c r="E230" i="1"/>
  <c r="P230" i="1" s="1"/>
  <c r="Q230" i="1" s="1"/>
  <c r="R230" i="1" s="1"/>
  <c r="S230" i="1" s="1"/>
  <c r="E231" i="1"/>
  <c r="P231" i="1" s="1"/>
  <c r="Q231" i="1" s="1"/>
  <c r="R231" i="1" s="1"/>
  <c r="S231" i="1" s="1"/>
  <c r="E232" i="1"/>
  <c r="P232" i="1" s="1"/>
  <c r="Q232" i="1" s="1"/>
  <c r="R232" i="1" s="1"/>
  <c r="S232" i="1" s="1"/>
  <c r="E233" i="1"/>
  <c r="P233" i="1" s="1"/>
  <c r="Q233" i="1" s="1"/>
  <c r="R233" i="1" s="1"/>
  <c r="S233" i="1" s="1"/>
  <c r="E234" i="1"/>
  <c r="P234" i="1" s="1"/>
  <c r="Q234" i="1" s="1"/>
  <c r="R234" i="1" s="1"/>
  <c r="S234" i="1" s="1"/>
  <c r="E235" i="1"/>
  <c r="P235" i="1" s="1"/>
  <c r="Q235" i="1" s="1"/>
  <c r="R235" i="1" s="1"/>
  <c r="S235" i="1" s="1"/>
  <c r="E236" i="1"/>
  <c r="P236" i="1" s="1"/>
  <c r="Q236" i="1" s="1"/>
  <c r="R236" i="1" s="1"/>
  <c r="S236" i="1" s="1"/>
  <c r="E237" i="1"/>
  <c r="P237" i="1" s="1"/>
  <c r="Q237" i="1" s="1"/>
  <c r="R237" i="1" s="1"/>
  <c r="S237" i="1" s="1"/>
  <c r="E238" i="1"/>
  <c r="P238" i="1" s="1"/>
  <c r="Q238" i="1" s="1"/>
  <c r="R238" i="1" s="1"/>
  <c r="S238" i="1" s="1"/>
  <c r="E239" i="1"/>
  <c r="P239" i="1" s="1"/>
  <c r="Q239" i="1" s="1"/>
  <c r="R239" i="1" s="1"/>
  <c r="S239" i="1" s="1"/>
  <c r="E240" i="1"/>
  <c r="P240" i="1" s="1"/>
  <c r="Q240" i="1" s="1"/>
  <c r="R240" i="1" s="1"/>
  <c r="S240" i="1" s="1"/>
  <c r="E241" i="1"/>
  <c r="P241" i="1" s="1"/>
  <c r="Q241" i="1" s="1"/>
  <c r="R241" i="1" s="1"/>
  <c r="S241" i="1" s="1"/>
  <c r="E242" i="1"/>
  <c r="P242" i="1" s="1"/>
  <c r="Q242" i="1" s="1"/>
  <c r="R242" i="1" s="1"/>
  <c r="S242" i="1" s="1"/>
  <c r="E243" i="1"/>
  <c r="P243" i="1" s="1"/>
  <c r="Q243" i="1" s="1"/>
  <c r="R243" i="1" s="1"/>
  <c r="S243" i="1" s="1"/>
  <c r="E244" i="1"/>
  <c r="P244" i="1" s="1"/>
  <c r="Q244" i="1" s="1"/>
  <c r="R244" i="1" s="1"/>
  <c r="S244" i="1" s="1"/>
  <c r="E245" i="1"/>
  <c r="P245" i="1" s="1"/>
  <c r="Q245" i="1" s="1"/>
  <c r="R245" i="1" s="1"/>
  <c r="S245" i="1" s="1"/>
  <c r="E246" i="1"/>
  <c r="P246" i="1" s="1"/>
  <c r="Q246" i="1" s="1"/>
  <c r="R246" i="1" s="1"/>
  <c r="S246" i="1" s="1"/>
  <c r="E247" i="1"/>
  <c r="P247" i="1" s="1"/>
  <c r="Q247" i="1" s="1"/>
  <c r="R247" i="1" s="1"/>
  <c r="S247" i="1" s="1"/>
  <c r="E248" i="1"/>
  <c r="P248" i="1" s="1"/>
  <c r="Q248" i="1" s="1"/>
  <c r="R248" i="1" s="1"/>
  <c r="S248" i="1" s="1"/>
  <c r="E249" i="1"/>
  <c r="P249" i="1" s="1"/>
  <c r="Q249" i="1" s="1"/>
  <c r="R249" i="1" s="1"/>
  <c r="S249" i="1" s="1"/>
  <c r="E250" i="1"/>
  <c r="P250" i="1" s="1"/>
  <c r="Q250" i="1" s="1"/>
  <c r="R250" i="1" s="1"/>
  <c r="S250" i="1" s="1"/>
  <c r="E251" i="1"/>
  <c r="P251" i="1" s="1"/>
  <c r="Q251" i="1" s="1"/>
  <c r="R251" i="1" s="1"/>
  <c r="S251" i="1" s="1"/>
  <c r="E252" i="1"/>
  <c r="P252" i="1" s="1"/>
  <c r="Q252" i="1" s="1"/>
  <c r="R252" i="1" s="1"/>
  <c r="S252" i="1" s="1"/>
  <c r="E253" i="1"/>
  <c r="P253" i="1" s="1"/>
  <c r="Q253" i="1" s="1"/>
  <c r="R253" i="1" s="1"/>
  <c r="S253" i="1" s="1"/>
  <c r="E254" i="1"/>
  <c r="P254" i="1" s="1"/>
  <c r="Q254" i="1" s="1"/>
  <c r="R254" i="1" s="1"/>
  <c r="S254" i="1" s="1"/>
  <c r="E255" i="1"/>
  <c r="P255" i="1" s="1"/>
  <c r="Q255" i="1" s="1"/>
  <c r="R255" i="1" s="1"/>
  <c r="S255" i="1" s="1"/>
  <c r="E256" i="1"/>
  <c r="P256" i="1" s="1"/>
  <c r="Q256" i="1" s="1"/>
  <c r="R256" i="1" s="1"/>
  <c r="S256" i="1" s="1"/>
  <c r="E257" i="1"/>
  <c r="P257" i="1" s="1"/>
  <c r="Q257" i="1" s="1"/>
  <c r="R257" i="1" s="1"/>
  <c r="S257" i="1" s="1"/>
  <c r="E258" i="1"/>
  <c r="P258" i="1" s="1"/>
  <c r="Q258" i="1" s="1"/>
  <c r="R258" i="1" s="1"/>
  <c r="S258" i="1" s="1"/>
  <c r="E259" i="1"/>
  <c r="P259" i="1" s="1"/>
  <c r="Q259" i="1" s="1"/>
  <c r="R259" i="1" s="1"/>
  <c r="S259" i="1" s="1"/>
  <c r="E260" i="1"/>
  <c r="P260" i="1" s="1"/>
  <c r="Q260" i="1" s="1"/>
  <c r="R260" i="1" s="1"/>
  <c r="S260" i="1" s="1"/>
  <c r="E261" i="1"/>
  <c r="P261" i="1" s="1"/>
  <c r="Q261" i="1" s="1"/>
  <c r="R261" i="1" s="1"/>
  <c r="S261" i="1" s="1"/>
  <c r="E262" i="1"/>
  <c r="P262" i="1" s="1"/>
  <c r="Q262" i="1" s="1"/>
  <c r="R262" i="1" s="1"/>
  <c r="S262" i="1" s="1"/>
  <c r="E263" i="1"/>
  <c r="P263" i="1" s="1"/>
  <c r="Q263" i="1" s="1"/>
  <c r="R263" i="1" s="1"/>
  <c r="S263" i="1" s="1"/>
  <c r="E264" i="1"/>
  <c r="P264" i="1" s="1"/>
  <c r="Q264" i="1" s="1"/>
  <c r="R264" i="1" s="1"/>
  <c r="S264" i="1" s="1"/>
  <c r="E265" i="1"/>
  <c r="P265" i="1" s="1"/>
  <c r="Q265" i="1" s="1"/>
  <c r="R265" i="1" s="1"/>
  <c r="S265" i="1" s="1"/>
  <c r="E266" i="1"/>
  <c r="P266" i="1" s="1"/>
  <c r="Q266" i="1" s="1"/>
  <c r="R266" i="1" s="1"/>
  <c r="S266" i="1" s="1"/>
  <c r="E267" i="1"/>
  <c r="P267" i="1" s="1"/>
  <c r="Q267" i="1" s="1"/>
  <c r="R267" i="1" s="1"/>
  <c r="S267" i="1" s="1"/>
  <c r="E268" i="1"/>
  <c r="P268" i="1" s="1"/>
  <c r="Q268" i="1" s="1"/>
  <c r="R268" i="1" s="1"/>
  <c r="S268" i="1" s="1"/>
  <c r="E269" i="1"/>
  <c r="P269" i="1" s="1"/>
  <c r="Q269" i="1" s="1"/>
  <c r="R269" i="1" s="1"/>
  <c r="S269" i="1" s="1"/>
  <c r="E270" i="1"/>
  <c r="P270" i="1" s="1"/>
  <c r="Q270" i="1" s="1"/>
  <c r="R270" i="1" s="1"/>
  <c r="S270" i="1" s="1"/>
  <c r="E271" i="1"/>
  <c r="P271" i="1" s="1"/>
  <c r="Q271" i="1" s="1"/>
  <c r="R271" i="1" s="1"/>
  <c r="S271" i="1" s="1"/>
  <c r="E272" i="1"/>
  <c r="P272" i="1" s="1"/>
  <c r="Q272" i="1" s="1"/>
  <c r="R272" i="1" s="1"/>
  <c r="S272" i="1" s="1"/>
  <c r="E273" i="1"/>
  <c r="P273" i="1" s="1"/>
  <c r="Q273" i="1" s="1"/>
  <c r="R273" i="1" s="1"/>
  <c r="S273" i="1" s="1"/>
  <c r="E274" i="1"/>
  <c r="P274" i="1" s="1"/>
  <c r="Q274" i="1" s="1"/>
  <c r="R274" i="1" s="1"/>
  <c r="S274" i="1" s="1"/>
  <c r="E275" i="1"/>
  <c r="P275" i="1" s="1"/>
  <c r="Q275" i="1" s="1"/>
  <c r="R275" i="1" s="1"/>
  <c r="S275" i="1" s="1"/>
  <c r="E276" i="1"/>
  <c r="P276" i="1" s="1"/>
  <c r="Q276" i="1" s="1"/>
  <c r="R276" i="1" s="1"/>
  <c r="S276" i="1" s="1"/>
  <c r="E277" i="1"/>
  <c r="P277" i="1" s="1"/>
  <c r="Q277" i="1" s="1"/>
  <c r="R277" i="1" s="1"/>
  <c r="S277" i="1" s="1"/>
  <c r="E278" i="1"/>
  <c r="P278" i="1" s="1"/>
  <c r="Q278" i="1" s="1"/>
  <c r="R278" i="1" s="1"/>
  <c r="S278" i="1" s="1"/>
  <c r="E279" i="1"/>
  <c r="P279" i="1" s="1"/>
  <c r="Q279" i="1" s="1"/>
  <c r="R279" i="1" s="1"/>
  <c r="S279" i="1" s="1"/>
  <c r="E280" i="1"/>
  <c r="P280" i="1" s="1"/>
  <c r="Q280" i="1" s="1"/>
  <c r="R280" i="1" s="1"/>
  <c r="S280" i="1" s="1"/>
  <c r="E281" i="1"/>
  <c r="P281" i="1" s="1"/>
  <c r="Q281" i="1" s="1"/>
  <c r="R281" i="1" s="1"/>
  <c r="S281" i="1" s="1"/>
  <c r="E282" i="1"/>
  <c r="P282" i="1" s="1"/>
  <c r="Q282" i="1" s="1"/>
  <c r="R282" i="1" s="1"/>
  <c r="S282" i="1" s="1"/>
  <c r="E283" i="1"/>
  <c r="P283" i="1" s="1"/>
  <c r="Q283" i="1" s="1"/>
  <c r="R283" i="1" s="1"/>
  <c r="S283" i="1" s="1"/>
  <c r="E284" i="1"/>
  <c r="P284" i="1" s="1"/>
  <c r="Q284" i="1" s="1"/>
  <c r="R284" i="1" s="1"/>
  <c r="S284" i="1" s="1"/>
  <c r="E285" i="1"/>
  <c r="P285" i="1" s="1"/>
  <c r="Q285" i="1" s="1"/>
  <c r="R285" i="1" s="1"/>
  <c r="S285" i="1" s="1"/>
  <c r="E286" i="1"/>
  <c r="P286" i="1" s="1"/>
  <c r="Q286" i="1" s="1"/>
  <c r="R286" i="1" s="1"/>
  <c r="S286" i="1" s="1"/>
  <c r="E287" i="1"/>
  <c r="P287" i="1" s="1"/>
  <c r="Q287" i="1" s="1"/>
  <c r="R287" i="1" s="1"/>
  <c r="S287" i="1" s="1"/>
  <c r="E288" i="1"/>
  <c r="P288" i="1" s="1"/>
  <c r="Q288" i="1" s="1"/>
  <c r="R288" i="1" s="1"/>
  <c r="S288" i="1" s="1"/>
  <c r="E289" i="1"/>
  <c r="P289" i="1" s="1"/>
  <c r="Q289" i="1" s="1"/>
  <c r="R289" i="1" s="1"/>
  <c r="S289" i="1" s="1"/>
  <c r="E290" i="1"/>
  <c r="P290" i="1" s="1"/>
  <c r="Q290" i="1" s="1"/>
  <c r="R290" i="1" s="1"/>
  <c r="S290" i="1" s="1"/>
  <c r="E291" i="1"/>
  <c r="P291" i="1" s="1"/>
  <c r="Q291" i="1" s="1"/>
  <c r="R291" i="1" s="1"/>
  <c r="S291" i="1" s="1"/>
  <c r="E292" i="1"/>
  <c r="P292" i="1" s="1"/>
  <c r="Q292" i="1" s="1"/>
  <c r="R292" i="1" s="1"/>
  <c r="S292" i="1" s="1"/>
  <c r="E293" i="1"/>
  <c r="P293" i="1" s="1"/>
  <c r="Q293" i="1" s="1"/>
  <c r="R293" i="1" s="1"/>
  <c r="S293" i="1" s="1"/>
  <c r="E294" i="1"/>
  <c r="P294" i="1" s="1"/>
  <c r="Q294" i="1" s="1"/>
  <c r="R294" i="1" s="1"/>
  <c r="S294" i="1" s="1"/>
  <c r="E295" i="1"/>
  <c r="P295" i="1" s="1"/>
  <c r="Q295" i="1" s="1"/>
  <c r="R295" i="1" s="1"/>
  <c r="S295" i="1" s="1"/>
  <c r="E296" i="1"/>
  <c r="P296" i="1" s="1"/>
  <c r="Q296" i="1" s="1"/>
  <c r="R296" i="1" s="1"/>
  <c r="S296" i="1" s="1"/>
  <c r="E297" i="1"/>
  <c r="P297" i="1" s="1"/>
  <c r="Q297" i="1" s="1"/>
  <c r="R297" i="1" s="1"/>
  <c r="S297" i="1" s="1"/>
  <c r="E298" i="1"/>
  <c r="P298" i="1" s="1"/>
  <c r="Q298" i="1" s="1"/>
  <c r="R298" i="1" s="1"/>
  <c r="S298" i="1" s="1"/>
  <c r="E299" i="1"/>
  <c r="P299" i="1" s="1"/>
  <c r="Q299" i="1" s="1"/>
  <c r="R299" i="1" s="1"/>
  <c r="S299" i="1" s="1"/>
  <c r="E300" i="1"/>
  <c r="P300" i="1" s="1"/>
  <c r="Q300" i="1" s="1"/>
  <c r="R300" i="1" s="1"/>
  <c r="S300" i="1" s="1"/>
  <c r="E301" i="1"/>
  <c r="P301" i="1" s="1"/>
  <c r="Q301" i="1" s="1"/>
  <c r="R301" i="1" s="1"/>
  <c r="S301" i="1" s="1"/>
  <c r="E302" i="1"/>
  <c r="P302" i="1" s="1"/>
  <c r="Q302" i="1" s="1"/>
  <c r="R302" i="1" s="1"/>
  <c r="S302" i="1" s="1"/>
  <c r="E303" i="1"/>
  <c r="P303" i="1" s="1"/>
  <c r="Q303" i="1" s="1"/>
  <c r="R303" i="1" s="1"/>
  <c r="S303" i="1" s="1"/>
  <c r="E304" i="1"/>
  <c r="P304" i="1" s="1"/>
  <c r="Q304" i="1" s="1"/>
  <c r="R304" i="1" s="1"/>
  <c r="S304" i="1" s="1"/>
  <c r="E305" i="1"/>
  <c r="P305" i="1" s="1"/>
  <c r="Q305" i="1" s="1"/>
  <c r="R305" i="1" s="1"/>
  <c r="S305" i="1" s="1"/>
  <c r="E306" i="1"/>
  <c r="P306" i="1" s="1"/>
  <c r="Q306" i="1" s="1"/>
  <c r="R306" i="1" s="1"/>
  <c r="S306" i="1" s="1"/>
  <c r="E307" i="1"/>
  <c r="P307" i="1" s="1"/>
  <c r="Q307" i="1" s="1"/>
  <c r="R307" i="1" s="1"/>
  <c r="S307" i="1" s="1"/>
  <c r="E308" i="1"/>
  <c r="P308" i="1" s="1"/>
  <c r="Q308" i="1" s="1"/>
  <c r="R308" i="1" s="1"/>
  <c r="S308" i="1" s="1"/>
  <c r="E309" i="1"/>
  <c r="P309" i="1" s="1"/>
  <c r="Q309" i="1" s="1"/>
  <c r="R309" i="1" s="1"/>
  <c r="S309" i="1" s="1"/>
  <c r="E310" i="1"/>
  <c r="P310" i="1" s="1"/>
  <c r="Q310" i="1" s="1"/>
  <c r="R310" i="1" s="1"/>
  <c r="S310" i="1" s="1"/>
  <c r="E311" i="1"/>
  <c r="P311" i="1" s="1"/>
  <c r="Q311" i="1" s="1"/>
  <c r="R311" i="1" s="1"/>
  <c r="S311" i="1" s="1"/>
  <c r="E312" i="1"/>
  <c r="P312" i="1" s="1"/>
  <c r="Q312" i="1" s="1"/>
  <c r="R312" i="1" s="1"/>
  <c r="S312" i="1" s="1"/>
  <c r="E313" i="1"/>
  <c r="P313" i="1" s="1"/>
  <c r="Q313" i="1" s="1"/>
  <c r="R313" i="1" s="1"/>
  <c r="S313" i="1" s="1"/>
  <c r="E314" i="1"/>
  <c r="P314" i="1" s="1"/>
  <c r="Q314" i="1" s="1"/>
  <c r="R314" i="1" s="1"/>
  <c r="S314" i="1" s="1"/>
  <c r="E315" i="1"/>
  <c r="P315" i="1" s="1"/>
  <c r="Q315" i="1" s="1"/>
  <c r="R315" i="1" s="1"/>
  <c r="S315" i="1" s="1"/>
  <c r="E316" i="1"/>
  <c r="P316" i="1" s="1"/>
  <c r="Q316" i="1" s="1"/>
  <c r="R316" i="1" s="1"/>
  <c r="S316" i="1" s="1"/>
  <c r="E317" i="1"/>
  <c r="P317" i="1" s="1"/>
  <c r="Q317" i="1" s="1"/>
  <c r="R317" i="1" s="1"/>
  <c r="S317" i="1" s="1"/>
  <c r="E318" i="1"/>
  <c r="P318" i="1" s="1"/>
  <c r="Q318" i="1" s="1"/>
  <c r="R318" i="1" s="1"/>
  <c r="S318" i="1" s="1"/>
  <c r="E319" i="1"/>
  <c r="P319" i="1" s="1"/>
  <c r="Q319" i="1" s="1"/>
  <c r="R319" i="1" s="1"/>
  <c r="S319" i="1" s="1"/>
  <c r="E320" i="1"/>
  <c r="P320" i="1" s="1"/>
  <c r="Q320" i="1" s="1"/>
  <c r="R320" i="1" s="1"/>
  <c r="S320" i="1" s="1"/>
  <c r="E321" i="1"/>
  <c r="P321" i="1" s="1"/>
  <c r="Q321" i="1" s="1"/>
  <c r="R321" i="1" s="1"/>
  <c r="S321" i="1" s="1"/>
  <c r="E322" i="1"/>
  <c r="P322" i="1" s="1"/>
  <c r="Q322" i="1" s="1"/>
  <c r="R322" i="1" s="1"/>
  <c r="S322" i="1" s="1"/>
  <c r="E323" i="1"/>
  <c r="P323" i="1" s="1"/>
  <c r="Q323" i="1" s="1"/>
  <c r="R323" i="1" s="1"/>
  <c r="S323" i="1" s="1"/>
  <c r="E324" i="1"/>
  <c r="P324" i="1" s="1"/>
  <c r="Q324" i="1" s="1"/>
  <c r="R324" i="1" s="1"/>
  <c r="S324" i="1" s="1"/>
  <c r="E325" i="1"/>
  <c r="P325" i="1" s="1"/>
  <c r="Q325" i="1" s="1"/>
  <c r="R325" i="1" s="1"/>
  <c r="S325" i="1" s="1"/>
  <c r="E326" i="1"/>
  <c r="P326" i="1" s="1"/>
  <c r="Q326" i="1" s="1"/>
  <c r="R326" i="1" s="1"/>
  <c r="S326" i="1" s="1"/>
  <c r="E327" i="1"/>
  <c r="P327" i="1" s="1"/>
  <c r="Q327" i="1" s="1"/>
  <c r="R327" i="1" s="1"/>
  <c r="S327" i="1" s="1"/>
  <c r="E328" i="1"/>
  <c r="P328" i="1" s="1"/>
  <c r="Q328" i="1" s="1"/>
  <c r="R328" i="1" s="1"/>
  <c r="S328" i="1" s="1"/>
  <c r="E329" i="1"/>
  <c r="P329" i="1" s="1"/>
  <c r="Q329" i="1" s="1"/>
  <c r="R329" i="1" s="1"/>
  <c r="S329" i="1" s="1"/>
  <c r="E330" i="1"/>
  <c r="P330" i="1" s="1"/>
  <c r="Q330" i="1" s="1"/>
  <c r="R330" i="1" s="1"/>
  <c r="S330" i="1" s="1"/>
  <c r="E331" i="1"/>
  <c r="P331" i="1" s="1"/>
  <c r="Q331" i="1" s="1"/>
  <c r="R331" i="1" s="1"/>
  <c r="S331" i="1" s="1"/>
  <c r="E332" i="1"/>
  <c r="P332" i="1" s="1"/>
  <c r="Q332" i="1" s="1"/>
  <c r="R332" i="1" s="1"/>
  <c r="S332" i="1" s="1"/>
  <c r="E333" i="1"/>
  <c r="P333" i="1" s="1"/>
  <c r="Q333" i="1" s="1"/>
  <c r="R333" i="1" s="1"/>
  <c r="S333" i="1" s="1"/>
  <c r="E334" i="1"/>
  <c r="P334" i="1" s="1"/>
  <c r="Q334" i="1" s="1"/>
  <c r="R334" i="1" s="1"/>
  <c r="S334" i="1" s="1"/>
  <c r="E335" i="1"/>
  <c r="P335" i="1" s="1"/>
  <c r="Q335" i="1" s="1"/>
  <c r="R335" i="1" s="1"/>
  <c r="S335" i="1" s="1"/>
  <c r="E336" i="1"/>
  <c r="P336" i="1" s="1"/>
  <c r="Q336" i="1" s="1"/>
  <c r="R336" i="1" s="1"/>
  <c r="S336" i="1" s="1"/>
  <c r="E337" i="1"/>
  <c r="P337" i="1" s="1"/>
  <c r="Q337" i="1" s="1"/>
  <c r="R337" i="1" s="1"/>
  <c r="S337" i="1" s="1"/>
  <c r="E338" i="1"/>
  <c r="P338" i="1" s="1"/>
  <c r="Q338" i="1" s="1"/>
  <c r="R338" i="1" s="1"/>
  <c r="S338" i="1" s="1"/>
  <c r="E339" i="1"/>
  <c r="P339" i="1" s="1"/>
  <c r="Q339" i="1" s="1"/>
  <c r="R339" i="1" s="1"/>
  <c r="S339" i="1" s="1"/>
  <c r="E340" i="1"/>
  <c r="P340" i="1" s="1"/>
  <c r="Q340" i="1" s="1"/>
  <c r="R340" i="1" s="1"/>
  <c r="S340" i="1" s="1"/>
  <c r="E341" i="1"/>
  <c r="P341" i="1" s="1"/>
  <c r="Q341" i="1" s="1"/>
  <c r="R341" i="1" s="1"/>
  <c r="S341" i="1" s="1"/>
  <c r="E342" i="1"/>
  <c r="P342" i="1" s="1"/>
  <c r="Q342" i="1" s="1"/>
  <c r="R342" i="1" s="1"/>
  <c r="S342" i="1" s="1"/>
  <c r="E343" i="1"/>
  <c r="P343" i="1" s="1"/>
  <c r="Q343" i="1" s="1"/>
  <c r="R343" i="1" s="1"/>
  <c r="S343" i="1" s="1"/>
  <c r="E344" i="1"/>
  <c r="P344" i="1" s="1"/>
  <c r="Q344" i="1" s="1"/>
  <c r="R344" i="1" s="1"/>
  <c r="S344" i="1" s="1"/>
  <c r="E345" i="1"/>
  <c r="P345" i="1" s="1"/>
  <c r="Q345" i="1" s="1"/>
  <c r="R345" i="1" s="1"/>
  <c r="S345" i="1" s="1"/>
  <c r="E346" i="1"/>
  <c r="P346" i="1" s="1"/>
  <c r="Q346" i="1" s="1"/>
  <c r="R346" i="1" s="1"/>
  <c r="S346" i="1" s="1"/>
  <c r="E347" i="1"/>
  <c r="P347" i="1" s="1"/>
  <c r="Q347" i="1" s="1"/>
  <c r="R347" i="1" s="1"/>
  <c r="S347" i="1" s="1"/>
  <c r="E348" i="1"/>
  <c r="P348" i="1" s="1"/>
  <c r="Q348" i="1" s="1"/>
  <c r="R348" i="1" s="1"/>
  <c r="S348" i="1" s="1"/>
  <c r="E349" i="1"/>
  <c r="P349" i="1" s="1"/>
  <c r="Q349" i="1" s="1"/>
  <c r="R349" i="1" s="1"/>
  <c r="S349" i="1" s="1"/>
  <c r="E350" i="1"/>
  <c r="P350" i="1" s="1"/>
  <c r="Q350" i="1" s="1"/>
  <c r="R350" i="1" s="1"/>
  <c r="S350" i="1" s="1"/>
  <c r="E351" i="1"/>
  <c r="P351" i="1" s="1"/>
  <c r="Q351" i="1" s="1"/>
  <c r="R351" i="1" s="1"/>
  <c r="S351" i="1" s="1"/>
  <c r="E352" i="1"/>
  <c r="P352" i="1" s="1"/>
  <c r="Q352" i="1" s="1"/>
  <c r="R352" i="1" s="1"/>
  <c r="S352" i="1" s="1"/>
  <c r="E353" i="1"/>
  <c r="P353" i="1" s="1"/>
  <c r="Q353" i="1" s="1"/>
  <c r="R353" i="1" s="1"/>
  <c r="S353" i="1" s="1"/>
  <c r="E354" i="1"/>
  <c r="P354" i="1" s="1"/>
  <c r="Q354" i="1" s="1"/>
  <c r="R354" i="1" s="1"/>
  <c r="S354" i="1" s="1"/>
  <c r="E355" i="1"/>
  <c r="P355" i="1" s="1"/>
  <c r="Q355" i="1" s="1"/>
  <c r="R355" i="1" s="1"/>
  <c r="S355" i="1" s="1"/>
  <c r="E356" i="1"/>
  <c r="P356" i="1" s="1"/>
  <c r="Q356" i="1" s="1"/>
  <c r="R356" i="1" s="1"/>
  <c r="S356" i="1" s="1"/>
  <c r="E357" i="1"/>
  <c r="P357" i="1" s="1"/>
  <c r="Q357" i="1" s="1"/>
  <c r="R357" i="1" s="1"/>
  <c r="S357" i="1" s="1"/>
  <c r="E358" i="1"/>
  <c r="P358" i="1" s="1"/>
  <c r="Q358" i="1" s="1"/>
  <c r="R358" i="1" s="1"/>
  <c r="S358" i="1" s="1"/>
  <c r="E359" i="1"/>
  <c r="P359" i="1" s="1"/>
  <c r="Q359" i="1" s="1"/>
  <c r="R359" i="1" s="1"/>
  <c r="S359" i="1" s="1"/>
  <c r="E360" i="1"/>
  <c r="P360" i="1" s="1"/>
  <c r="Q360" i="1" s="1"/>
  <c r="R360" i="1" s="1"/>
  <c r="S360" i="1" s="1"/>
  <c r="E361" i="1"/>
  <c r="P361" i="1" s="1"/>
  <c r="Q361" i="1" s="1"/>
  <c r="R361" i="1" s="1"/>
  <c r="S361" i="1" s="1"/>
  <c r="E362" i="1"/>
  <c r="P362" i="1" s="1"/>
  <c r="Q362" i="1" s="1"/>
  <c r="E363" i="1"/>
  <c r="P363" i="1" s="1"/>
  <c r="Q363" i="1" s="1"/>
  <c r="E364" i="1"/>
  <c r="P364" i="1" s="1"/>
  <c r="Q364" i="1" s="1"/>
  <c r="E365" i="1"/>
  <c r="P365" i="1" s="1"/>
  <c r="Q365" i="1" s="1"/>
  <c r="E366" i="1"/>
  <c r="P366" i="1" s="1"/>
  <c r="Q366" i="1" s="1"/>
  <c r="R366" i="1" s="1"/>
  <c r="S366" i="1" s="1"/>
  <c r="E367" i="1"/>
  <c r="P367" i="1" s="1"/>
  <c r="Q367" i="1" s="1"/>
  <c r="R367" i="1" s="1"/>
  <c r="S367" i="1" s="1"/>
  <c r="E368" i="1"/>
  <c r="P368" i="1" s="1"/>
  <c r="Q368" i="1" s="1"/>
  <c r="R368" i="1" s="1"/>
  <c r="S368" i="1" s="1"/>
  <c r="E369" i="1"/>
  <c r="P369" i="1" s="1"/>
  <c r="Q369" i="1" s="1"/>
  <c r="R369" i="1" s="1"/>
  <c r="S369" i="1" s="1"/>
  <c r="E370" i="1"/>
  <c r="E371" i="1"/>
  <c r="P371" i="1" s="1"/>
  <c r="Q371" i="1" s="1"/>
  <c r="R371" i="1" s="1"/>
  <c r="S371" i="1" s="1"/>
  <c r="E372" i="1"/>
  <c r="P372" i="1" s="1"/>
  <c r="Q372" i="1" s="1"/>
  <c r="R372" i="1" s="1"/>
  <c r="S372" i="1" s="1"/>
  <c r="E373" i="1"/>
  <c r="P373" i="1" s="1"/>
  <c r="Q373" i="1" s="1"/>
  <c r="R373" i="1" s="1"/>
  <c r="S373" i="1" s="1"/>
  <c r="E374" i="1"/>
  <c r="P374" i="1" s="1"/>
  <c r="Q374" i="1" s="1"/>
  <c r="R374" i="1" s="1"/>
  <c r="S374" i="1" s="1"/>
  <c r="E375" i="1"/>
  <c r="P375" i="1" s="1"/>
  <c r="Q375" i="1" s="1"/>
  <c r="R375" i="1" s="1"/>
  <c r="S375" i="1" s="1"/>
  <c r="E376" i="1"/>
  <c r="P376" i="1" s="1"/>
  <c r="Q376" i="1" s="1"/>
  <c r="R376" i="1" s="1"/>
  <c r="S376" i="1" s="1"/>
  <c r="E377" i="1"/>
  <c r="P377" i="1" s="1"/>
  <c r="Q377" i="1" s="1"/>
  <c r="R377" i="1" s="1"/>
  <c r="S377" i="1" s="1"/>
  <c r="E378" i="1"/>
  <c r="P378" i="1" s="1"/>
  <c r="Q378" i="1" s="1"/>
  <c r="R378" i="1" s="1"/>
  <c r="S378" i="1" s="1"/>
  <c r="E379" i="1"/>
  <c r="P379" i="1" s="1"/>
  <c r="Q379" i="1" s="1"/>
  <c r="R379" i="1" s="1"/>
  <c r="S379" i="1" s="1"/>
  <c r="E380" i="1"/>
  <c r="P380" i="1" s="1"/>
  <c r="Q380" i="1" s="1"/>
  <c r="R380" i="1" s="1"/>
  <c r="S380" i="1" s="1"/>
  <c r="E381" i="1"/>
  <c r="P381" i="1" s="1"/>
  <c r="Q381" i="1" s="1"/>
  <c r="R381" i="1" s="1"/>
  <c r="S381" i="1" s="1"/>
  <c r="E382" i="1"/>
  <c r="E383" i="1"/>
  <c r="E384" i="1"/>
  <c r="E385" i="1"/>
  <c r="E386" i="1"/>
  <c r="E387" i="1"/>
  <c r="E388" i="1"/>
  <c r="E389" i="1"/>
  <c r="E390" i="1"/>
  <c r="E391" i="1"/>
  <c r="E392" i="1"/>
  <c r="P392" i="1" s="1"/>
  <c r="Q392" i="1" s="1"/>
  <c r="R392" i="1" s="1"/>
  <c r="S392" i="1" s="1"/>
  <c r="E393" i="1"/>
  <c r="P393" i="1" s="1"/>
  <c r="Q393" i="1" s="1"/>
  <c r="R393" i="1" s="1"/>
  <c r="S393" i="1" s="1"/>
  <c r="E394" i="1"/>
  <c r="P394" i="1" s="1"/>
  <c r="Q394" i="1" s="1"/>
  <c r="R394" i="1" s="1"/>
  <c r="S394" i="1" s="1"/>
  <c r="E395" i="1"/>
  <c r="P395" i="1" s="1"/>
  <c r="Q395" i="1" s="1"/>
  <c r="R395" i="1" s="1"/>
  <c r="S395" i="1" s="1"/>
  <c r="E396" i="1"/>
  <c r="P396" i="1" s="1"/>
  <c r="Q396" i="1" s="1"/>
  <c r="R396" i="1" s="1"/>
  <c r="S396" i="1" s="1"/>
  <c r="E397" i="1"/>
  <c r="P397" i="1" s="1"/>
  <c r="Q397" i="1" s="1"/>
  <c r="R397" i="1" s="1"/>
  <c r="S397" i="1" s="1"/>
  <c r="E398" i="1"/>
  <c r="P398" i="1" s="1"/>
  <c r="Q398" i="1" s="1"/>
  <c r="R398" i="1" s="1"/>
  <c r="S398" i="1" s="1"/>
  <c r="E399" i="1"/>
  <c r="P399" i="1" s="1"/>
  <c r="Q399" i="1" s="1"/>
  <c r="R399" i="1" s="1"/>
  <c r="S399" i="1" s="1"/>
  <c r="E400" i="1"/>
  <c r="P400" i="1" s="1"/>
  <c r="Q400" i="1" s="1"/>
  <c r="R400" i="1" s="1"/>
  <c r="S400" i="1" s="1"/>
  <c r="E401" i="1"/>
  <c r="P401" i="1" s="1"/>
  <c r="Q401" i="1" s="1"/>
  <c r="R401" i="1" s="1"/>
  <c r="S401" i="1" s="1"/>
  <c r="E402" i="1"/>
  <c r="P402" i="1" s="1"/>
  <c r="Q402" i="1" s="1"/>
  <c r="R402" i="1" s="1"/>
  <c r="S402" i="1" s="1"/>
  <c r="E403" i="1"/>
  <c r="P403" i="1" s="1"/>
  <c r="Q403" i="1" s="1"/>
  <c r="R403" i="1" s="1"/>
  <c r="S403" i="1" s="1"/>
  <c r="E404" i="1"/>
  <c r="P404" i="1" s="1"/>
  <c r="Q404" i="1" s="1"/>
  <c r="R404" i="1" s="1"/>
  <c r="S404" i="1" s="1"/>
  <c r="E405" i="1"/>
  <c r="P405" i="1" s="1"/>
  <c r="Q405" i="1" s="1"/>
  <c r="R405" i="1" s="1"/>
  <c r="S405" i="1" s="1"/>
  <c r="E406" i="1"/>
  <c r="P406" i="1" s="1"/>
  <c r="Q406" i="1" s="1"/>
  <c r="R406" i="1" s="1"/>
  <c r="S406" i="1" s="1"/>
  <c r="E407" i="1"/>
  <c r="P407" i="1" s="1"/>
  <c r="Q407" i="1" s="1"/>
  <c r="R407" i="1" s="1"/>
  <c r="S407" i="1" s="1"/>
  <c r="E408" i="1"/>
  <c r="P408" i="1" s="1"/>
  <c r="Q408" i="1" s="1"/>
  <c r="R408" i="1" s="1"/>
  <c r="S408" i="1" s="1"/>
  <c r="E409" i="1"/>
  <c r="P409" i="1" s="1"/>
  <c r="Q409" i="1" s="1"/>
  <c r="R409" i="1" s="1"/>
  <c r="S409" i="1" s="1"/>
  <c r="E410" i="1"/>
  <c r="P410" i="1" s="1"/>
  <c r="Q410" i="1" s="1"/>
  <c r="R410" i="1" s="1"/>
  <c r="S410" i="1" s="1"/>
  <c r="E411" i="1"/>
  <c r="P411" i="1" s="1"/>
  <c r="Q411" i="1" s="1"/>
  <c r="R411" i="1" s="1"/>
  <c r="S411" i="1" s="1"/>
  <c r="E412" i="1"/>
  <c r="P412" i="1" s="1"/>
  <c r="Q412" i="1" s="1"/>
  <c r="R412" i="1" s="1"/>
  <c r="S412" i="1" s="1"/>
  <c r="E413" i="1"/>
  <c r="P413" i="1" s="1"/>
  <c r="Q413" i="1" s="1"/>
  <c r="R413" i="1" s="1"/>
  <c r="S413" i="1" s="1"/>
  <c r="E414" i="1"/>
  <c r="P414" i="1" s="1"/>
  <c r="Q414" i="1" s="1"/>
  <c r="R414" i="1" s="1"/>
  <c r="S414" i="1" s="1"/>
  <c r="E415" i="1"/>
  <c r="P415" i="1" s="1"/>
  <c r="Q415" i="1" s="1"/>
  <c r="R415" i="1" s="1"/>
  <c r="S415" i="1" s="1"/>
  <c r="E416" i="1"/>
  <c r="P416" i="1" s="1"/>
  <c r="Q416" i="1" s="1"/>
  <c r="R416" i="1" s="1"/>
  <c r="S416" i="1" s="1"/>
  <c r="E417" i="1"/>
  <c r="P417" i="1" s="1"/>
  <c r="Q417" i="1" s="1"/>
  <c r="R417" i="1" s="1"/>
  <c r="S417" i="1" s="1"/>
  <c r="E418" i="1"/>
  <c r="P418" i="1" s="1"/>
  <c r="Q418" i="1" s="1"/>
  <c r="R418" i="1" s="1"/>
  <c r="S418" i="1" s="1"/>
  <c r="E419" i="1"/>
  <c r="P419" i="1" s="1"/>
  <c r="Q419" i="1" s="1"/>
  <c r="R419" i="1" s="1"/>
  <c r="S419" i="1" s="1"/>
  <c r="E420" i="1"/>
  <c r="P420" i="1" s="1"/>
  <c r="Q420" i="1" s="1"/>
  <c r="R420" i="1" s="1"/>
  <c r="S420" i="1" s="1"/>
  <c r="E421" i="1"/>
  <c r="P421" i="1" s="1"/>
  <c r="Q421" i="1" s="1"/>
  <c r="R421" i="1" s="1"/>
  <c r="S421" i="1" s="1"/>
  <c r="E422" i="1"/>
  <c r="P422" i="1" s="1"/>
  <c r="Q422" i="1" s="1"/>
  <c r="R422" i="1" s="1"/>
  <c r="S422" i="1" s="1"/>
  <c r="E423" i="1"/>
  <c r="P423" i="1" s="1"/>
  <c r="Q423" i="1" s="1"/>
  <c r="R423" i="1" s="1"/>
  <c r="S423" i="1" s="1"/>
  <c r="E424" i="1"/>
  <c r="P424" i="1" s="1"/>
  <c r="Q424" i="1" s="1"/>
  <c r="R424" i="1" s="1"/>
  <c r="S424" i="1" s="1"/>
  <c r="E425" i="1"/>
  <c r="P425" i="1" s="1"/>
  <c r="Q425" i="1" s="1"/>
  <c r="R425" i="1" s="1"/>
  <c r="S425" i="1" s="1"/>
  <c r="E426" i="1"/>
  <c r="P426" i="1" s="1"/>
  <c r="Q426" i="1" s="1"/>
  <c r="R426" i="1" s="1"/>
  <c r="S426" i="1" s="1"/>
  <c r="E427" i="1"/>
  <c r="P427" i="1" s="1"/>
  <c r="Q427" i="1" s="1"/>
  <c r="R427" i="1" s="1"/>
  <c r="S427" i="1" s="1"/>
  <c r="E428" i="1"/>
  <c r="P428" i="1" s="1"/>
  <c r="Q428" i="1" s="1"/>
  <c r="R428" i="1" s="1"/>
  <c r="S428" i="1" s="1"/>
  <c r="E429" i="1"/>
  <c r="P429" i="1" s="1"/>
  <c r="Q429" i="1" s="1"/>
  <c r="R429" i="1" s="1"/>
  <c r="S429" i="1" s="1"/>
  <c r="E430" i="1"/>
  <c r="P430" i="1" s="1"/>
  <c r="Q430" i="1" s="1"/>
  <c r="R430" i="1" s="1"/>
  <c r="S430" i="1" s="1"/>
  <c r="E431" i="1"/>
  <c r="P431" i="1" s="1"/>
  <c r="Q431" i="1" s="1"/>
  <c r="R431" i="1" s="1"/>
  <c r="S431" i="1" s="1"/>
  <c r="E432" i="1"/>
  <c r="P432" i="1" s="1"/>
  <c r="Q432" i="1" s="1"/>
  <c r="R432" i="1" s="1"/>
  <c r="S432" i="1" s="1"/>
  <c r="E433" i="1"/>
  <c r="P433" i="1" s="1"/>
  <c r="Q433" i="1" s="1"/>
  <c r="R433" i="1" s="1"/>
  <c r="S433" i="1" s="1"/>
  <c r="E434" i="1"/>
  <c r="P434" i="1" s="1"/>
  <c r="Q434" i="1" s="1"/>
  <c r="R434" i="1" s="1"/>
  <c r="S434" i="1" s="1"/>
  <c r="E435" i="1"/>
  <c r="P435" i="1" s="1"/>
  <c r="Q435" i="1" s="1"/>
  <c r="R435" i="1" s="1"/>
  <c r="S435" i="1" s="1"/>
  <c r="E436" i="1"/>
  <c r="P436" i="1" s="1"/>
  <c r="Q436" i="1" s="1"/>
  <c r="R436" i="1" s="1"/>
  <c r="S436" i="1" s="1"/>
  <c r="E437" i="1"/>
  <c r="P437" i="1" s="1"/>
  <c r="Q437" i="1" s="1"/>
  <c r="R437" i="1" s="1"/>
  <c r="S437" i="1" s="1"/>
  <c r="E438" i="1"/>
  <c r="P438" i="1" s="1"/>
  <c r="Q438" i="1" s="1"/>
  <c r="R438" i="1" s="1"/>
  <c r="S438" i="1" s="1"/>
  <c r="E439" i="1"/>
  <c r="P439" i="1" s="1"/>
  <c r="Q439" i="1" s="1"/>
  <c r="R439" i="1" s="1"/>
  <c r="S439" i="1" s="1"/>
  <c r="E440" i="1"/>
  <c r="P440" i="1" s="1"/>
  <c r="Q440" i="1" s="1"/>
  <c r="R440" i="1" s="1"/>
  <c r="S440" i="1" s="1"/>
  <c r="E441" i="1"/>
  <c r="P441" i="1" s="1"/>
  <c r="Q441" i="1" s="1"/>
  <c r="R441" i="1" s="1"/>
  <c r="S441" i="1" s="1"/>
  <c r="E442" i="1"/>
  <c r="P442" i="1" s="1"/>
  <c r="Q442" i="1" s="1"/>
  <c r="R442" i="1" s="1"/>
  <c r="S442" i="1" s="1"/>
  <c r="E443" i="1"/>
  <c r="P443" i="1" s="1"/>
  <c r="Q443" i="1" s="1"/>
  <c r="R443" i="1" s="1"/>
  <c r="S443" i="1" s="1"/>
  <c r="E444" i="1"/>
  <c r="P444" i="1" s="1"/>
  <c r="Q444" i="1" s="1"/>
  <c r="R444" i="1" s="1"/>
  <c r="S444" i="1" s="1"/>
  <c r="E445" i="1"/>
  <c r="P445" i="1" s="1"/>
  <c r="Q445" i="1" s="1"/>
  <c r="R445" i="1" s="1"/>
  <c r="S445" i="1" s="1"/>
  <c r="E446" i="1"/>
  <c r="P446" i="1" s="1"/>
  <c r="Q446" i="1" s="1"/>
  <c r="R446" i="1" s="1"/>
  <c r="S446" i="1" s="1"/>
  <c r="E447" i="1"/>
  <c r="P447" i="1" s="1"/>
  <c r="Q447" i="1" s="1"/>
  <c r="R447" i="1" s="1"/>
  <c r="S447" i="1" s="1"/>
  <c r="E448" i="1"/>
  <c r="P448" i="1" s="1"/>
  <c r="Q448" i="1" s="1"/>
  <c r="R448" i="1" s="1"/>
  <c r="S448" i="1" s="1"/>
  <c r="E449" i="1"/>
  <c r="P449" i="1" s="1"/>
  <c r="Q449" i="1" s="1"/>
  <c r="R449" i="1" s="1"/>
  <c r="S449" i="1" s="1"/>
  <c r="E450" i="1"/>
  <c r="P450" i="1" s="1"/>
  <c r="Q450" i="1" s="1"/>
  <c r="R450" i="1" s="1"/>
  <c r="S450" i="1" s="1"/>
  <c r="E451" i="1"/>
  <c r="P451" i="1" s="1"/>
  <c r="Q451" i="1" s="1"/>
  <c r="R451" i="1" s="1"/>
  <c r="S451" i="1" s="1"/>
  <c r="E452" i="1"/>
  <c r="P452" i="1" s="1"/>
  <c r="Q452" i="1" s="1"/>
  <c r="R452" i="1" s="1"/>
  <c r="S452" i="1" s="1"/>
  <c r="E453" i="1"/>
  <c r="P453" i="1" s="1"/>
  <c r="Q453" i="1" s="1"/>
  <c r="R453" i="1" s="1"/>
  <c r="S453" i="1" s="1"/>
  <c r="E454" i="1"/>
  <c r="P454" i="1" s="1"/>
  <c r="Q454" i="1" s="1"/>
  <c r="R454" i="1" s="1"/>
  <c r="S454" i="1" s="1"/>
  <c r="E455" i="1"/>
  <c r="P455" i="1" s="1"/>
  <c r="Q455" i="1" s="1"/>
  <c r="R455" i="1" s="1"/>
  <c r="S455" i="1" s="1"/>
  <c r="E456" i="1"/>
  <c r="P456" i="1" s="1"/>
  <c r="Q456" i="1" s="1"/>
  <c r="R456" i="1" s="1"/>
  <c r="S456" i="1" s="1"/>
  <c r="E457" i="1"/>
  <c r="P457" i="1" s="1"/>
  <c r="Q457" i="1" s="1"/>
  <c r="R457" i="1" s="1"/>
  <c r="S457" i="1" s="1"/>
  <c r="E458" i="1"/>
  <c r="P458" i="1" s="1"/>
  <c r="Q458" i="1" s="1"/>
  <c r="R458" i="1" s="1"/>
  <c r="S458" i="1" s="1"/>
  <c r="E459" i="1"/>
  <c r="P459" i="1" s="1"/>
  <c r="Q459" i="1" s="1"/>
  <c r="R459" i="1" s="1"/>
  <c r="S459" i="1" s="1"/>
  <c r="E460" i="1"/>
  <c r="P460" i="1" s="1"/>
  <c r="Q460" i="1" s="1"/>
  <c r="R460" i="1" s="1"/>
  <c r="S460" i="1" s="1"/>
  <c r="E461" i="1"/>
  <c r="P461" i="1" s="1"/>
  <c r="Q461" i="1" s="1"/>
  <c r="R461" i="1" s="1"/>
  <c r="S461" i="1" s="1"/>
  <c r="E462" i="1"/>
  <c r="P462" i="1" s="1"/>
  <c r="Q462" i="1" s="1"/>
  <c r="R462" i="1" s="1"/>
  <c r="S462" i="1" s="1"/>
  <c r="E463" i="1"/>
  <c r="P463" i="1" s="1"/>
  <c r="Q463" i="1" s="1"/>
  <c r="R463" i="1" s="1"/>
  <c r="S463" i="1" s="1"/>
  <c r="E464" i="1"/>
  <c r="P464" i="1" s="1"/>
  <c r="Q464" i="1" s="1"/>
  <c r="R464" i="1" s="1"/>
  <c r="S464" i="1" s="1"/>
  <c r="E465" i="1"/>
  <c r="P465" i="1" s="1"/>
  <c r="Q465" i="1" s="1"/>
  <c r="R465" i="1" s="1"/>
  <c r="S465" i="1" s="1"/>
  <c r="E466" i="1"/>
  <c r="P466" i="1" s="1"/>
  <c r="Q466" i="1" s="1"/>
  <c r="R466" i="1" s="1"/>
  <c r="S466" i="1" s="1"/>
  <c r="E467" i="1"/>
  <c r="P467" i="1" s="1"/>
  <c r="Q467" i="1" s="1"/>
  <c r="R467" i="1" s="1"/>
  <c r="S467" i="1" s="1"/>
  <c r="E468" i="1"/>
  <c r="P468" i="1" s="1"/>
  <c r="Q468" i="1" s="1"/>
  <c r="R468" i="1" s="1"/>
  <c r="S468" i="1" s="1"/>
  <c r="E469" i="1"/>
  <c r="P469" i="1" s="1"/>
  <c r="Q469" i="1" s="1"/>
  <c r="R469" i="1" s="1"/>
  <c r="S469" i="1" s="1"/>
  <c r="E470" i="1"/>
  <c r="P470" i="1" s="1"/>
  <c r="Q470" i="1" s="1"/>
  <c r="R470" i="1" s="1"/>
  <c r="S470" i="1" s="1"/>
  <c r="E471" i="1"/>
  <c r="P471" i="1" s="1"/>
  <c r="Q471" i="1" s="1"/>
  <c r="R471" i="1" s="1"/>
  <c r="S471" i="1" s="1"/>
  <c r="E472" i="1"/>
  <c r="P472" i="1" s="1"/>
  <c r="Q472" i="1" s="1"/>
  <c r="E473" i="1"/>
  <c r="P473" i="1" s="1"/>
  <c r="Q473" i="1" s="1"/>
  <c r="E474" i="1"/>
  <c r="P474" i="1" s="1"/>
  <c r="Q474" i="1" s="1"/>
  <c r="E475" i="1"/>
  <c r="P475" i="1" s="1"/>
  <c r="Q475" i="1" s="1"/>
  <c r="E476" i="1"/>
  <c r="P476" i="1" s="1"/>
  <c r="Q476" i="1" s="1"/>
  <c r="E477" i="1"/>
  <c r="P477" i="1" s="1"/>
  <c r="Q477" i="1" s="1"/>
  <c r="E478" i="1"/>
  <c r="P478" i="1" s="1"/>
  <c r="Q478" i="1" s="1"/>
  <c r="R478" i="1" s="1"/>
  <c r="S478" i="1" s="1"/>
  <c r="E479" i="1"/>
  <c r="P479" i="1" s="1"/>
  <c r="Q479" i="1" s="1"/>
  <c r="R479" i="1" s="1"/>
  <c r="S479" i="1" s="1"/>
  <c r="E480" i="1"/>
  <c r="P480" i="1" s="1"/>
  <c r="Q480" i="1" s="1"/>
  <c r="R480" i="1" s="1"/>
  <c r="S480" i="1" s="1"/>
  <c r="E481" i="1"/>
  <c r="P481" i="1" s="1"/>
  <c r="Q481" i="1" s="1"/>
  <c r="R481" i="1" s="1"/>
  <c r="S481" i="1" s="1"/>
  <c r="E482" i="1"/>
  <c r="P482" i="1" s="1"/>
  <c r="Q482" i="1" s="1"/>
  <c r="R482" i="1" s="1"/>
  <c r="S482" i="1" s="1"/>
  <c r="E483" i="1"/>
  <c r="P483" i="1" s="1"/>
  <c r="Q483" i="1" s="1"/>
  <c r="R483" i="1" s="1"/>
  <c r="S483" i="1" s="1"/>
  <c r="E484" i="1"/>
  <c r="P484" i="1" s="1"/>
  <c r="Q484" i="1" s="1"/>
  <c r="R484" i="1" s="1"/>
  <c r="S484" i="1" s="1"/>
  <c r="E485" i="1"/>
  <c r="P485" i="1" s="1"/>
  <c r="Q485" i="1" s="1"/>
  <c r="R485" i="1" s="1"/>
  <c r="S485" i="1" s="1"/>
  <c r="E486" i="1"/>
  <c r="P486" i="1" s="1"/>
  <c r="Q486" i="1" s="1"/>
  <c r="R486" i="1" s="1"/>
  <c r="S486" i="1" s="1"/>
  <c r="E487" i="1"/>
  <c r="P487" i="1" s="1"/>
  <c r="Q487" i="1" s="1"/>
  <c r="R487" i="1" s="1"/>
  <c r="S487" i="1" s="1"/>
  <c r="E488" i="1"/>
  <c r="P488" i="1" s="1"/>
  <c r="Q488" i="1" s="1"/>
  <c r="R488" i="1" s="1"/>
  <c r="S488" i="1" s="1"/>
  <c r="E489" i="1"/>
  <c r="P489" i="1" s="1"/>
  <c r="Q489" i="1" s="1"/>
  <c r="R489" i="1" s="1"/>
  <c r="S489" i="1" s="1"/>
  <c r="E490" i="1"/>
  <c r="P490" i="1" s="1"/>
  <c r="Q490" i="1" s="1"/>
  <c r="R490" i="1" s="1"/>
  <c r="S490" i="1" s="1"/>
  <c r="E491" i="1"/>
  <c r="P491" i="1" s="1"/>
  <c r="Q491" i="1" s="1"/>
  <c r="R491" i="1" s="1"/>
  <c r="S491" i="1" s="1"/>
  <c r="E492" i="1"/>
  <c r="P492" i="1" s="1"/>
  <c r="Q492" i="1" s="1"/>
  <c r="R492" i="1" s="1"/>
  <c r="S492" i="1" s="1"/>
  <c r="E493" i="1"/>
  <c r="P493" i="1" s="1"/>
  <c r="Q493" i="1" s="1"/>
  <c r="R493" i="1" s="1"/>
  <c r="S493" i="1" s="1"/>
  <c r="E494" i="1"/>
  <c r="P494" i="1" s="1"/>
  <c r="Q494" i="1" s="1"/>
  <c r="R494" i="1" s="1"/>
  <c r="S494" i="1" s="1"/>
  <c r="E495" i="1"/>
  <c r="P495" i="1" s="1"/>
  <c r="Q495" i="1" s="1"/>
  <c r="R495" i="1" s="1"/>
  <c r="S495" i="1" s="1"/>
  <c r="E496" i="1"/>
  <c r="P496" i="1" s="1"/>
  <c r="Q496" i="1" s="1"/>
  <c r="R496" i="1" s="1"/>
  <c r="S496" i="1" s="1"/>
  <c r="E497" i="1"/>
  <c r="P497" i="1" s="1"/>
  <c r="Q497" i="1" s="1"/>
  <c r="R497" i="1" s="1"/>
  <c r="S497" i="1" s="1"/>
  <c r="E498" i="1"/>
  <c r="P498" i="1" s="1"/>
  <c r="Q498" i="1" s="1"/>
  <c r="R498" i="1" s="1"/>
  <c r="S498" i="1" s="1"/>
  <c r="E499" i="1"/>
  <c r="P499" i="1" s="1"/>
  <c r="Q499" i="1" s="1"/>
  <c r="R499" i="1" s="1"/>
  <c r="S499" i="1" s="1"/>
  <c r="E500" i="1"/>
  <c r="P500" i="1" s="1"/>
  <c r="Q500" i="1" s="1"/>
  <c r="R500" i="1" s="1"/>
  <c r="S500" i="1" s="1"/>
  <c r="E501" i="1"/>
  <c r="P501" i="1" s="1"/>
  <c r="Q501" i="1" s="1"/>
  <c r="R501" i="1" s="1"/>
  <c r="S501" i="1" s="1"/>
  <c r="E502" i="1"/>
  <c r="P502" i="1" s="1"/>
  <c r="Q502" i="1" s="1"/>
  <c r="E503" i="1"/>
  <c r="P503" i="1" s="1"/>
  <c r="Q503" i="1" s="1"/>
  <c r="E504" i="1"/>
  <c r="P504" i="1" s="1"/>
  <c r="Q504" i="1" s="1"/>
  <c r="E505" i="1"/>
  <c r="P505" i="1" s="1"/>
  <c r="Q505" i="1" s="1"/>
  <c r="E506" i="1"/>
  <c r="P506" i="1" s="1"/>
  <c r="Q506" i="1" s="1"/>
  <c r="E507" i="1"/>
  <c r="P507" i="1" s="1"/>
  <c r="Q507" i="1" s="1"/>
  <c r="E508" i="1"/>
  <c r="P508" i="1" s="1"/>
  <c r="Q508" i="1" s="1"/>
  <c r="E509" i="1"/>
  <c r="P509" i="1" s="1"/>
  <c r="Q509" i="1" s="1"/>
  <c r="R509" i="1" s="1"/>
  <c r="S509" i="1" s="1"/>
  <c r="E510" i="1"/>
  <c r="P510" i="1" s="1"/>
  <c r="Q510" i="1" s="1"/>
  <c r="R510" i="1" s="1"/>
  <c r="S510" i="1" s="1"/>
  <c r="E511" i="1"/>
  <c r="P511" i="1" s="1"/>
  <c r="Q511" i="1" s="1"/>
  <c r="R511" i="1" s="1"/>
  <c r="S511" i="1" s="1"/>
  <c r="E512" i="1"/>
  <c r="P512" i="1" s="1"/>
  <c r="Q512" i="1" s="1"/>
  <c r="R512" i="1" s="1"/>
  <c r="S512" i="1" s="1"/>
  <c r="E513" i="1"/>
  <c r="P513" i="1" s="1"/>
  <c r="Q513" i="1" s="1"/>
  <c r="R513" i="1" s="1"/>
  <c r="S513" i="1" s="1"/>
  <c r="E514" i="1"/>
  <c r="P514" i="1" s="1"/>
  <c r="Q514" i="1" s="1"/>
  <c r="R514" i="1" s="1"/>
  <c r="S514" i="1" s="1"/>
  <c r="E515" i="1"/>
  <c r="P515" i="1" s="1"/>
  <c r="Q515" i="1" s="1"/>
  <c r="R515" i="1" s="1"/>
  <c r="S515" i="1" s="1"/>
  <c r="E516" i="1"/>
  <c r="P516" i="1" s="1"/>
  <c r="Q516" i="1" s="1"/>
  <c r="R516" i="1" s="1"/>
  <c r="S516" i="1" s="1"/>
  <c r="E517" i="1"/>
  <c r="P517" i="1" s="1"/>
  <c r="Q517" i="1" s="1"/>
  <c r="R517" i="1" s="1"/>
  <c r="S517" i="1" s="1"/>
  <c r="E518" i="1"/>
  <c r="P518" i="1" s="1"/>
  <c r="Q518" i="1" s="1"/>
  <c r="R518" i="1" s="1"/>
  <c r="S518" i="1" s="1"/>
  <c r="E519" i="1"/>
  <c r="P519" i="1" s="1"/>
  <c r="Q519" i="1" s="1"/>
  <c r="R519" i="1" s="1"/>
  <c r="S519" i="1" s="1"/>
  <c r="E520" i="1"/>
  <c r="P520" i="1" s="1"/>
  <c r="Q520" i="1" s="1"/>
  <c r="R520" i="1" s="1"/>
  <c r="S520" i="1" s="1"/>
  <c r="E521" i="1"/>
  <c r="P521" i="1" s="1"/>
  <c r="Q521" i="1" s="1"/>
  <c r="R521" i="1" s="1"/>
  <c r="S521" i="1" s="1"/>
  <c r="E522" i="1"/>
  <c r="P522" i="1" s="1"/>
  <c r="Q522" i="1" s="1"/>
  <c r="R522" i="1" s="1"/>
  <c r="S522" i="1" s="1"/>
  <c r="E523" i="1"/>
  <c r="P523" i="1" s="1"/>
  <c r="Q523" i="1" s="1"/>
  <c r="R523" i="1" s="1"/>
  <c r="S523" i="1" s="1"/>
  <c r="E524" i="1"/>
  <c r="P524" i="1" s="1"/>
  <c r="Q524" i="1" s="1"/>
  <c r="R524" i="1" s="1"/>
  <c r="S524" i="1" s="1"/>
  <c r="E525" i="1"/>
  <c r="P525" i="1" s="1"/>
  <c r="Q525" i="1" s="1"/>
  <c r="R525" i="1" s="1"/>
  <c r="S525" i="1" s="1"/>
  <c r="E526" i="1"/>
  <c r="P526" i="1" s="1"/>
  <c r="Q526" i="1" s="1"/>
  <c r="R526" i="1" s="1"/>
  <c r="S526" i="1" s="1"/>
  <c r="E527" i="1"/>
  <c r="P527" i="1" s="1"/>
  <c r="Q527" i="1" s="1"/>
  <c r="R527" i="1" s="1"/>
  <c r="S527" i="1" s="1"/>
  <c r="E528" i="1"/>
  <c r="P528" i="1" s="1"/>
  <c r="Q528" i="1" s="1"/>
  <c r="R528" i="1" s="1"/>
  <c r="S528" i="1" s="1"/>
  <c r="E529" i="1"/>
  <c r="P529" i="1" s="1"/>
  <c r="Q529" i="1" s="1"/>
  <c r="R529" i="1" s="1"/>
  <c r="S529" i="1" s="1"/>
  <c r="E530" i="1"/>
  <c r="P530" i="1" s="1"/>
  <c r="Q530" i="1" s="1"/>
  <c r="R530" i="1" s="1"/>
  <c r="S530" i="1" s="1"/>
  <c r="E531" i="1"/>
  <c r="P531" i="1" s="1"/>
  <c r="Q531" i="1" s="1"/>
  <c r="R531" i="1" s="1"/>
  <c r="S531" i="1" s="1"/>
  <c r="E532" i="1"/>
  <c r="P532" i="1" s="1"/>
  <c r="Q532" i="1" s="1"/>
  <c r="R532" i="1" s="1"/>
  <c r="S532" i="1" s="1"/>
  <c r="E533" i="1"/>
  <c r="P533" i="1" s="1"/>
  <c r="Q533" i="1" s="1"/>
  <c r="R533" i="1" s="1"/>
  <c r="S533" i="1" s="1"/>
  <c r="E534" i="1"/>
  <c r="P534" i="1" s="1"/>
  <c r="Q534" i="1" s="1"/>
  <c r="R534" i="1" s="1"/>
  <c r="S534" i="1" s="1"/>
  <c r="E535" i="1"/>
  <c r="P535" i="1" s="1"/>
  <c r="Q535" i="1" s="1"/>
  <c r="R535" i="1" s="1"/>
  <c r="S535" i="1" s="1"/>
  <c r="E536" i="1"/>
  <c r="P536" i="1" s="1"/>
  <c r="Q536" i="1" s="1"/>
  <c r="R536" i="1" s="1"/>
  <c r="S536" i="1" s="1"/>
  <c r="E537" i="1"/>
  <c r="P537" i="1" s="1"/>
  <c r="Q537" i="1" s="1"/>
  <c r="R537" i="1" s="1"/>
  <c r="S537" i="1" s="1"/>
  <c r="E538" i="1"/>
  <c r="P538" i="1" s="1"/>
  <c r="Q538" i="1" s="1"/>
  <c r="R538" i="1" s="1"/>
  <c r="S538" i="1" s="1"/>
  <c r="E539" i="1"/>
  <c r="P539" i="1" s="1"/>
  <c r="Q539" i="1" s="1"/>
  <c r="R539" i="1" s="1"/>
  <c r="S539" i="1" s="1"/>
  <c r="E540" i="1"/>
  <c r="P540" i="1" s="1"/>
  <c r="Q540" i="1" s="1"/>
  <c r="R540" i="1" s="1"/>
  <c r="S540" i="1" s="1"/>
  <c r="E541" i="1"/>
  <c r="P541" i="1" s="1"/>
  <c r="Q541" i="1" s="1"/>
  <c r="R541" i="1" s="1"/>
  <c r="S541" i="1" s="1"/>
  <c r="E542" i="1"/>
  <c r="P542" i="1" s="1"/>
  <c r="Q542" i="1" s="1"/>
  <c r="R542" i="1" s="1"/>
  <c r="S542" i="1" s="1"/>
  <c r="E543" i="1"/>
  <c r="P543" i="1" s="1"/>
  <c r="Q543" i="1" s="1"/>
  <c r="R543" i="1" s="1"/>
  <c r="S543" i="1" s="1"/>
  <c r="E544" i="1"/>
  <c r="P544" i="1" s="1"/>
  <c r="Q544" i="1" s="1"/>
  <c r="R544" i="1" s="1"/>
  <c r="S544" i="1" s="1"/>
  <c r="E545" i="1"/>
  <c r="P545" i="1" s="1"/>
  <c r="Q545" i="1" s="1"/>
  <c r="R545" i="1" s="1"/>
  <c r="S545" i="1" s="1"/>
  <c r="E546" i="1"/>
  <c r="P546" i="1" s="1"/>
  <c r="Q546" i="1" s="1"/>
  <c r="R546" i="1" s="1"/>
  <c r="S546" i="1" s="1"/>
  <c r="E547" i="1"/>
  <c r="P547" i="1" s="1"/>
  <c r="Q547" i="1" s="1"/>
  <c r="R547" i="1" s="1"/>
  <c r="S547" i="1" s="1"/>
  <c r="E548" i="1"/>
  <c r="P548" i="1" s="1"/>
  <c r="Q548" i="1" s="1"/>
  <c r="R548" i="1" s="1"/>
  <c r="S548" i="1" s="1"/>
  <c r="E549" i="1"/>
  <c r="P549" i="1" s="1"/>
  <c r="Q549" i="1" s="1"/>
  <c r="R549" i="1" s="1"/>
  <c r="S549" i="1" s="1"/>
  <c r="E550" i="1"/>
  <c r="P550" i="1" s="1"/>
  <c r="Q550" i="1" s="1"/>
  <c r="R550" i="1" s="1"/>
  <c r="S550" i="1" s="1"/>
  <c r="E551" i="1"/>
  <c r="P551" i="1" s="1"/>
  <c r="Q551" i="1" s="1"/>
  <c r="R551" i="1" s="1"/>
  <c r="S551" i="1" s="1"/>
  <c r="E552" i="1"/>
  <c r="P552" i="1" s="1"/>
  <c r="Q552" i="1" s="1"/>
  <c r="R552" i="1" s="1"/>
  <c r="S552" i="1" s="1"/>
  <c r="E553" i="1"/>
  <c r="P553" i="1" s="1"/>
  <c r="Q553" i="1" s="1"/>
  <c r="R553" i="1" s="1"/>
  <c r="S553" i="1" s="1"/>
  <c r="E554" i="1"/>
  <c r="P554" i="1" s="1"/>
  <c r="Q554" i="1" s="1"/>
  <c r="R554" i="1" s="1"/>
  <c r="S554" i="1" s="1"/>
  <c r="E555" i="1"/>
  <c r="P555" i="1" s="1"/>
  <c r="Q555" i="1" s="1"/>
  <c r="R555" i="1" s="1"/>
  <c r="S555" i="1" s="1"/>
  <c r="E556" i="1"/>
  <c r="P556" i="1" s="1"/>
  <c r="Q556" i="1" s="1"/>
  <c r="R556" i="1" s="1"/>
  <c r="S556" i="1" s="1"/>
  <c r="E557" i="1"/>
  <c r="P557" i="1" s="1"/>
  <c r="Q557" i="1" s="1"/>
  <c r="R557" i="1" s="1"/>
  <c r="S557" i="1" s="1"/>
  <c r="E558" i="1"/>
  <c r="P558" i="1" s="1"/>
  <c r="Q558" i="1" s="1"/>
  <c r="R558" i="1" s="1"/>
  <c r="S558" i="1" s="1"/>
  <c r="E559" i="1"/>
  <c r="P559" i="1" s="1"/>
  <c r="Q559" i="1" s="1"/>
  <c r="R559" i="1" s="1"/>
  <c r="S559" i="1" s="1"/>
  <c r="E560" i="1"/>
  <c r="P560" i="1" s="1"/>
  <c r="Q560" i="1" s="1"/>
  <c r="R560" i="1" s="1"/>
  <c r="S560" i="1" s="1"/>
  <c r="E561" i="1"/>
  <c r="P561" i="1" s="1"/>
  <c r="Q561" i="1" s="1"/>
  <c r="R561" i="1" s="1"/>
  <c r="S561" i="1" s="1"/>
  <c r="E562" i="1"/>
  <c r="P562" i="1" s="1"/>
  <c r="Q562" i="1" s="1"/>
  <c r="R562" i="1" s="1"/>
  <c r="S562" i="1" s="1"/>
  <c r="E563" i="1"/>
  <c r="P563" i="1" s="1"/>
  <c r="Q563" i="1" s="1"/>
  <c r="R563" i="1" s="1"/>
  <c r="S563" i="1" s="1"/>
  <c r="E564" i="1"/>
  <c r="P564" i="1" s="1"/>
  <c r="Q564" i="1" s="1"/>
  <c r="R564" i="1" s="1"/>
  <c r="S564" i="1" s="1"/>
  <c r="E565" i="1"/>
  <c r="P565" i="1" s="1"/>
  <c r="Q565" i="1" s="1"/>
  <c r="R565" i="1" s="1"/>
  <c r="S565" i="1" s="1"/>
  <c r="E566" i="1"/>
  <c r="P566" i="1" s="1"/>
  <c r="Q566" i="1" s="1"/>
  <c r="R566" i="1" s="1"/>
  <c r="S566" i="1" s="1"/>
  <c r="E567" i="1"/>
  <c r="P567" i="1" s="1"/>
  <c r="Q567" i="1" s="1"/>
  <c r="R567" i="1" s="1"/>
  <c r="S567" i="1" s="1"/>
  <c r="E568" i="1"/>
  <c r="P568" i="1" s="1"/>
  <c r="Q568" i="1" s="1"/>
  <c r="R568" i="1" s="1"/>
  <c r="S568" i="1" s="1"/>
  <c r="E569" i="1"/>
  <c r="P569" i="1" s="1"/>
  <c r="Q569" i="1" s="1"/>
  <c r="R569" i="1" s="1"/>
  <c r="S569" i="1" s="1"/>
  <c r="E570" i="1"/>
  <c r="P570" i="1" s="1"/>
  <c r="Q570" i="1" s="1"/>
  <c r="R570" i="1" s="1"/>
  <c r="S570" i="1" s="1"/>
  <c r="E571" i="1"/>
  <c r="P571" i="1" s="1"/>
  <c r="Q571" i="1" s="1"/>
  <c r="R571" i="1" s="1"/>
  <c r="S571" i="1" s="1"/>
  <c r="E572" i="1"/>
  <c r="P572" i="1" s="1"/>
  <c r="Q572" i="1" s="1"/>
  <c r="R572" i="1" s="1"/>
  <c r="S572" i="1" s="1"/>
  <c r="E573" i="1"/>
  <c r="P573" i="1" s="1"/>
  <c r="Q573" i="1" s="1"/>
  <c r="R573" i="1" s="1"/>
  <c r="S573" i="1" s="1"/>
  <c r="E574" i="1"/>
  <c r="P574" i="1" s="1"/>
  <c r="Q574" i="1" s="1"/>
  <c r="R574" i="1" s="1"/>
  <c r="S574" i="1" s="1"/>
  <c r="E575" i="1"/>
  <c r="P575" i="1" s="1"/>
  <c r="Q575" i="1" s="1"/>
  <c r="R575" i="1" s="1"/>
  <c r="S575" i="1" s="1"/>
  <c r="E576" i="1"/>
  <c r="P576" i="1" s="1"/>
  <c r="Q576" i="1" s="1"/>
  <c r="R576" i="1" s="1"/>
  <c r="S576" i="1" s="1"/>
  <c r="E577" i="1"/>
  <c r="P577" i="1" s="1"/>
  <c r="Q577" i="1" s="1"/>
  <c r="R577" i="1" s="1"/>
  <c r="S577" i="1" s="1"/>
  <c r="E578" i="1"/>
  <c r="P578" i="1" s="1"/>
  <c r="Q578" i="1" s="1"/>
  <c r="R578" i="1" s="1"/>
  <c r="S578" i="1" s="1"/>
  <c r="E579" i="1"/>
  <c r="P579" i="1" s="1"/>
  <c r="Q579" i="1" s="1"/>
  <c r="R579" i="1" s="1"/>
  <c r="S579" i="1" s="1"/>
  <c r="E580" i="1"/>
  <c r="P580" i="1" s="1"/>
  <c r="Q580" i="1" s="1"/>
  <c r="R580" i="1" s="1"/>
  <c r="S580" i="1" s="1"/>
  <c r="E581" i="1"/>
  <c r="P581" i="1" s="1"/>
  <c r="Q581" i="1" s="1"/>
  <c r="R581" i="1" s="1"/>
  <c r="S581" i="1" s="1"/>
  <c r="E582" i="1"/>
  <c r="P582" i="1" s="1"/>
  <c r="Q582" i="1" s="1"/>
  <c r="R582" i="1" s="1"/>
  <c r="S582" i="1" s="1"/>
  <c r="E583" i="1"/>
  <c r="P583" i="1" s="1"/>
  <c r="Q583" i="1" s="1"/>
  <c r="R583" i="1" s="1"/>
  <c r="S583" i="1" s="1"/>
  <c r="E584" i="1"/>
  <c r="P584" i="1" s="1"/>
  <c r="Q584" i="1" s="1"/>
  <c r="R584" i="1" s="1"/>
  <c r="S584" i="1" s="1"/>
  <c r="E585" i="1"/>
  <c r="P585" i="1" s="1"/>
  <c r="Q585" i="1" s="1"/>
  <c r="R585" i="1" s="1"/>
  <c r="S585" i="1" s="1"/>
  <c r="E586" i="1"/>
  <c r="P586" i="1" s="1"/>
  <c r="Q586" i="1" s="1"/>
  <c r="R586" i="1" s="1"/>
  <c r="S586" i="1" s="1"/>
  <c r="E587" i="1"/>
  <c r="P587" i="1" s="1"/>
  <c r="Q587" i="1" s="1"/>
  <c r="R587" i="1" s="1"/>
  <c r="S587" i="1" s="1"/>
  <c r="E588" i="1"/>
  <c r="P588" i="1" s="1"/>
  <c r="Q588" i="1" s="1"/>
  <c r="R588" i="1" s="1"/>
  <c r="S588" i="1" s="1"/>
  <c r="E589" i="1"/>
  <c r="P589" i="1" s="1"/>
  <c r="Q589" i="1" s="1"/>
  <c r="R589" i="1" s="1"/>
  <c r="S589" i="1" s="1"/>
  <c r="E590" i="1"/>
  <c r="P590" i="1" s="1"/>
  <c r="Q590" i="1" s="1"/>
  <c r="R590" i="1" s="1"/>
  <c r="S590" i="1" s="1"/>
  <c r="E591" i="1"/>
  <c r="P591" i="1" s="1"/>
  <c r="Q591" i="1" s="1"/>
  <c r="R591" i="1" s="1"/>
  <c r="S591" i="1" s="1"/>
  <c r="E2" i="1"/>
  <c r="P2" i="1" s="1"/>
  <c r="Q2" i="1" s="1"/>
  <c r="R2" i="1" s="1"/>
  <c r="S2" i="1" s="1"/>
  <c r="H423" i="1"/>
  <c r="N423" i="1" s="1"/>
  <c r="H424" i="1"/>
  <c r="N424" i="1" s="1"/>
  <c r="H425" i="1"/>
  <c r="N425" i="1" s="1"/>
  <c r="H426" i="1"/>
  <c r="I426" i="1" s="1"/>
  <c r="K426" i="1" s="1"/>
  <c r="H427" i="1"/>
  <c r="I427" i="1" s="1"/>
  <c r="H428" i="1"/>
  <c r="I428" i="1" s="1"/>
  <c r="H429" i="1"/>
  <c r="I429" i="1" s="1"/>
  <c r="H430" i="1"/>
  <c r="I430" i="1" s="1"/>
  <c r="H431" i="1"/>
  <c r="N431" i="1" s="1"/>
  <c r="H422" i="1"/>
  <c r="N422" i="1" s="1"/>
  <c r="H161" i="1"/>
  <c r="H160" i="1"/>
  <c r="H159" i="1"/>
  <c r="H158" i="1"/>
  <c r="H157" i="1"/>
  <c r="H156" i="1"/>
  <c r="H155" i="1"/>
  <c r="H154" i="1"/>
  <c r="H153" i="1"/>
  <c r="H152" i="1"/>
  <c r="H141" i="1"/>
  <c r="H140" i="1"/>
  <c r="H139" i="1"/>
  <c r="H138" i="1"/>
  <c r="H137" i="1"/>
  <c r="H136" i="1"/>
  <c r="H135" i="1"/>
  <c r="H134" i="1"/>
  <c r="H133" i="1"/>
  <c r="H132" i="1"/>
  <c r="H151" i="1"/>
  <c r="H150" i="1"/>
  <c r="H149" i="1"/>
  <c r="H148" i="1"/>
  <c r="H147" i="1"/>
  <c r="H146" i="1"/>
  <c r="H145" i="1"/>
  <c r="H144" i="1"/>
  <c r="H143" i="1"/>
  <c r="H142" i="1"/>
  <c r="H61" i="1"/>
  <c r="H60" i="1"/>
  <c r="H59" i="1"/>
  <c r="H58" i="1"/>
  <c r="H57" i="1"/>
  <c r="H56" i="1"/>
  <c r="H55" i="1"/>
  <c r="H54" i="1"/>
  <c r="H53" i="1"/>
  <c r="H52" i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F23" i="2"/>
  <c r="F52" i="2"/>
  <c r="F49" i="2"/>
  <c r="F10" i="2"/>
  <c r="F38" i="2"/>
  <c r="F36" i="2"/>
  <c r="F30" i="2"/>
  <c r="F40" i="2"/>
  <c r="F44" i="2"/>
  <c r="F24" i="2"/>
  <c r="F58" i="2"/>
  <c r="F34" i="2"/>
  <c r="F33" i="2"/>
  <c r="F6" i="2"/>
  <c r="F14" i="2"/>
  <c r="F46" i="2"/>
  <c r="F45" i="2"/>
  <c r="F12" i="2"/>
  <c r="F60" i="2"/>
  <c r="F20" i="2"/>
  <c r="F16" i="2"/>
  <c r="F42" i="2"/>
  <c r="F56" i="2"/>
  <c r="F50" i="2"/>
  <c r="F47" i="2"/>
  <c r="F13" i="2"/>
  <c r="F39" i="2"/>
  <c r="F29" i="2"/>
  <c r="F35" i="2"/>
  <c r="F53" i="2"/>
  <c r="F41" i="2"/>
  <c r="F8" i="2"/>
  <c r="F37" i="2"/>
  <c r="F32" i="2"/>
  <c r="F28" i="2"/>
  <c r="F43" i="2"/>
  <c r="F11" i="2"/>
  <c r="F15" i="2"/>
  <c r="F26" i="2"/>
  <c r="F19" i="2"/>
  <c r="F7" i="2"/>
  <c r="F2" i="2"/>
  <c r="F9" i="2"/>
  <c r="F27" i="2"/>
  <c r="F4" i="2"/>
  <c r="F51" i="2"/>
  <c r="F3" i="2"/>
  <c r="F17" i="2"/>
  <c r="F18" i="2"/>
  <c r="F31" i="2"/>
  <c r="F21" i="2"/>
  <c r="F59" i="2"/>
  <c r="F55" i="2"/>
  <c r="F48" i="2"/>
  <c r="F57" i="2"/>
  <c r="F5" i="2"/>
  <c r="F54" i="2"/>
  <c r="F22" i="2"/>
  <c r="F25" i="2"/>
  <c r="P91" i="1" l="1"/>
  <c r="Q91" i="1" s="1"/>
  <c r="R91" i="1" s="1"/>
  <c r="S91" i="1" s="1"/>
  <c r="P83" i="1"/>
  <c r="Q83" i="1" s="1"/>
  <c r="P88" i="1"/>
  <c r="Q88" i="1" s="1"/>
  <c r="R365" i="1"/>
  <c r="S365" i="1" s="1"/>
  <c r="Z365" i="1"/>
  <c r="Z364" i="1"/>
  <c r="R364" i="1"/>
  <c r="S364" i="1" s="1"/>
  <c r="R362" i="1"/>
  <c r="S362" i="1" s="1"/>
  <c r="Z362" i="1"/>
  <c r="P86" i="1"/>
  <c r="Q86" i="1" s="1"/>
  <c r="R363" i="1"/>
  <c r="S363" i="1" s="1"/>
  <c r="Z363" i="1"/>
  <c r="I55" i="1"/>
  <c r="J55" i="1" s="1"/>
  <c r="N55" i="1"/>
  <c r="I143" i="1"/>
  <c r="J143" i="1" s="1"/>
  <c r="N143" i="1"/>
  <c r="I151" i="1"/>
  <c r="N151" i="1"/>
  <c r="I157" i="1"/>
  <c r="J157" i="1" s="1"/>
  <c r="N157" i="1"/>
  <c r="R503" i="1"/>
  <c r="S503" i="1" s="1"/>
  <c r="AD503" i="1"/>
  <c r="R88" i="1"/>
  <c r="S88" i="1" s="1"/>
  <c r="AF88" i="1"/>
  <c r="I56" i="1"/>
  <c r="N56" i="1"/>
  <c r="I144" i="1"/>
  <c r="J144" i="1" s="1"/>
  <c r="N144" i="1"/>
  <c r="I132" i="1"/>
  <c r="N132" i="1"/>
  <c r="I140" i="1"/>
  <c r="J140" i="1" s="1"/>
  <c r="N140" i="1"/>
  <c r="I158" i="1"/>
  <c r="J158" i="1" s="1"/>
  <c r="N158" i="1"/>
  <c r="R502" i="1"/>
  <c r="S502" i="1" s="1"/>
  <c r="AD502" i="1"/>
  <c r="I57" i="1"/>
  <c r="J57" i="1" s="1"/>
  <c r="N57" i="1"/>
  <c r="I133" i="1"/>
  <c r="J133" i="1" s="1"/>
  <c r="N133" i="1"/>
  <c r="I141" i="1"/>
  <c r="N141" i="1"/>
  <c r="I159" i="1"/>
  <c r="K159" i="1" s="1"/>
  <c r="N159" i="1"/>
  <c r="AC477" i="1"/>
  <c r="R477" i="1"/>
  <c r="S477" i="1" s="1"/>
  <c r="P85" i="1"/>
  <c r="Q85" i="1" s="1"/>
  <c r="I58" i="1"/>
  <c r="K58" i="1" s="1"/>
  <c r="N58" i="1"/>
  <c r="I146" i="1"/>
  <c r="J146" i="1" s="1"/>
  <c r="N146" i="1"/>
  <c r="I160" i="1"/>
  <c r="J160" i="1" s="1"/>
  <c r="N160" i="1"/>
  <c r="R476" i="1"/>
  <c r="S476" i="1" s="1"/>
  <c r="AC476" i="1"/>
  <c r="R82" i="1"/>
  <c r="S82" i="1" s="1"/>
  <c r="AF82" i="1"/>
  <c r="P84" i="1"/>
  <c r="Q84" i="1" s="1"/>
  <c r="I139" i="1"/>
  <c r="K139" i="1" s="1"/>
  <c r="N139" i="1"/>
  <c r="I145" i="1"/>
  <c r="K145" i="1" s="1"/>
  <c r="N145" i="1"/>
  <c r="I152" i="1"/>
  <c r="J152" i="1" s="1"/>
  <c r="N152" i="1"/>
  <c r="R508" i="1"/>
  <c r="S508" i="1" s="1"/>
  <c r="AD508" i="1"/>
  <c r="I147" i="1"/>
  <c r="K147" i="1" s="1"/>
  <c r="N147" i="1"/>
  <c r="R507" i="1"/>
  <c r="S507" i="1" s="1"/>
  <c r="AD507" i="1"/>
  <c r="R475" i="1"/>
  <c r="S475" i="1" s="1"/>
  <c r="AC475" i="1"/>
  <c r="I52" i="1"/>
  <c r="N52" i="1"/>
  <c r="I60" i="1"/>
  <c r="K60" i="1" s="1"/>
  <c r="N60" i="1"/>
  <c r="I148" i="1"/>
  <c r="N148" i="1"/>
  <c r="I136" i="1"/>
  <c r="J136" i="1" s="1"/>
  <c r="N136" i="1"/>
  <c r="I154" i="1"/>
  <c r="K154" i="1" s="1"/>
  <c r="N154" i="1"/>
  <c r="R506" i="1"/>
  <c r="S506" i="1" s="1"/>
  <c r="AD506" i="1"/>
  <c r="R474" i="1"/>
  <c r="S474" i="1" s="1"/>
  <c r="AC474" i="1"/>
  <c r="P87" i="1"/>
  <c r="Q87" i="1" s="1"/>
  <c r="I53" i="1"/>
  <c r="J53" i="1" s="1"/>
  <c r="N53" i="1"/>
  <c r="I61" i="1"/>
  <c r="J61" i="1" s="1"/>
  <c r="N61" i="1"/>
  <c r="I149" i="1"/>
  <c r="K149" i="1" s="1"/>
  <c r="N149" i="1"/>
  <c r="I137" i="1"/>
  <c r="K137" i="1" s="1"/>
  <c r="N137" i="1"/>
  <c r="I155" i="1"/>
  <c r="K155" i="1" s="1"/>
  <c r="N155" i="1"/>
  <c r="R505" i="1"/>
  <c r="S505" i="1" s="1"/>
  <c r="AD505" i="1"/>
  <c r="R473" i="1"/>
  <c r="S473" i="1" s="1"/>
  <c r="AC473" i="1"/>
  <c r="I134" i="1"/>
  <c r="J134" i="1" s="1"/>
  <c r="N134" i="1"/>
  <c r="I59" i="1"/>
  <c r="K59" i="1" s="1"/>
  <c r="N59" i="1"/>
  <c r="I135" i="1"/>
  <c r="K135" i="1" s="1"/>
  <c r="N135" i="1"/>
  <c r="I153" i="1"/>
  <c r="N153" i="1"/>
  <c r="I161" i="1"/>
  <c r="J161" i="1" s="1"/>
  <c r="N161" i="1"/>
  <c r="P90" i="1"/>
  <c r="Q90" i="1" s="1"/>
  <c r="AF83" i="1"/>
  <c r="R83" i="1"/>
  <c r="S83" i="1" s="1"/>
  <c r="I54" i="1"/>
  <c r="K54" i="1" s="1"/>
  <c r="N54" i="1"/>
  <c r="I142" i="1"/>
  <c r="J142" i="1" s="1"/>
  <c r="N142" i="1"/>
  <c r="I150" i="1"/>
  <c r="J150" i="1" s="1"/>
  <c r="N150" i="1"/>
  <c r="I138" i="1"/>
  <c r="J138" i="1" s="1"/>
  <c r="N138" i="1"/>
  <c r="I156" i="1"/>
  <c r="K156" i="1" s="1"/>
  <c r="N156" i="1"/>
  <c r="R504" i="1"/>
  <c r="S504" i="1" s="1"/>
  <c r="AD504" i="1"/>
  <c r="R472" i="1"/>
  <c r="S472" i="1" s="1"/>
  <c r="AC472" i="1"/>
  <c r="P89" i="1"/>
  <c r="Q89" i="1" s="1"/>
  <c r="I425" i="1"/>
  <c r="K425" i="1" s="1"/>
  <c r="I424" i="1"/>
  <c r="J424" i="1" s="1"/>
  <c r="I423" i="1"/>
  <c r="J423" i="1" s="1"/>
  <c r="I422" i="1"/>
  <c r="J422" i="1" s="1"/>
  <c r="N427" i="1"/>
  <c r="N426" i="1"/>
  <c r="I431" i="1"/>
  <c r="J431" i="1" s="1"/>
  <c r="N252" i="1"/>
  <c r="N261" i="1"/>
  <c r="N260" i="1"/>
  <c r="N428" i="1"/>
  <c r="N253" i="1"/>
  <c r="N254" i="1"/>
  <c r="J429" i="1"/>
  <c r="K429" i="1"/>
  <c r="J428" i="1"/>
  <c r="K428" i="1"/>
  <c r="K427" i="1"/>
  <c r="J427" i="1"/>
  <c r="J430" i="1"/>
  <c r="K430" i="1"/>
  <c r="N430" i="1"/>
  <c r="N256" i="1"/>
  <c r="J426" i="1"/>
  <c r="N429" i="1"/>
  <c r="N255" i="1"/>
  <c r="N259" i="1"/>
  <c r="N258" i="1"/>
  <c r="N257" i="1"/>
  <c r="J155" i="1"/>
  <c r="K157" i="1"/>
  <c r="K160" i="1"/>
  <c r="K153" i="1"/>
  <c r="J153" i="1"/>
  <c r="K161" i="1"/>
  <c r="J154" i="1"/>
  <c r="K158" i="1"/>
  <c r="J135" i="1"/>
  <c r="K138" i="1"/>
  <c r="K132" i="1"/>
  <c r="J132" i="1"/>
  <c r="K140" i="1"/>
  <c r="K141" i="1"/>
  <c r="J141" i="1"/>
  <c r="K144" i="1"/>
  <c r="J145" i="1"/>
  <c r="K146" i="1"/>
  <c r="K148" i="1"/>
  <c r="J148" i="1"/>
  <c r="J149" i="1"/>
  <c r="K151" i="1"/>
  <c r="J151" i="1"/>
  <c r="J59" i="1"/>
  <c r="K57" i="1"/>
  <c r="J54" i="1"/>
  <c r="J58" i="1"/>
  <c r="K52" i="1"/>
  <c r="J52" i="1"/>
  <c r="K56" i="1"/>
  <c r="J56" i="1"/>
  <c r="K255" i="1"/>
  <c r="J255" i="1"/>
  <c r="R15" i="1"/>
  <c r="S15" i="1" s="1"/>
  <c r="K256" i="1"/>
  <c r="J256" i="1"/>
  <c r="K257" i="1"/>
  <c r="J257" i="1"/>
  <c r="J258" i="1"/>
  <c r="K258" i="1"/>
  <c r="K254" i="1"/>
  <c r="J254" i="1"/>
  <c r="K259" i="1"/>
  <c r="J259" i="1"/>
  <c r="K252" i="1"/>
  <c r="J252" i="1"/>
  <c r="K260" i="1"/>
  <c r="J260" i="1"/>
  <c r="K253" i="1"/>
  <c r="J253" i="1"/>
  <c r="K261" i="1"/>
  <c r="J261" i="1"/>
  <c r="S14" i="1"/>
  <c r="S12" i="1"/>
  <c r="K53" i="1" l="1"/>
  <c r="J137" i="1"/>
  <c r="K55" i="1"/>
  <c r="K142" i="1"/>
  <c r="K136" i="1"/>
  <c r="K143" i="1"/>
  <c r="K134" i="1"/>
  <c r="AF87" i="1"/>
  <c r="R87" i="1"/>
  <c r="S87" i="1" s="1"/>
  <c r="K133" i="1"/>
  <c r="J139" i="1"/>
  <c r="J159" i="1"/>
  <c r="J156" i="1"/>
  <c r="R84" i="1"/>
  <c r="S84" i="1" s="1"/>
  <c r="AF84" i="1"/>
  <c r="R86" i="1"/>
  <c r="S86" i="1" s="1"/>
  <c r="AF86" i="1"/>
  <c r="J60" i="1"/>
  <c r="K61" i="1"/>
  <c r="AF89" i="1"/>
  <c r="R89" i="1"/>
  <c r="S89" i="1" s="1"/>
  <c r="R90" i="1"/>
  <c r="S90" i="1" s="1"/>
  <c r="AF90" i="1"/>
  <c r="AF85" i="1"/>
  <c r="R85" i="1"/>
  <c r="S85" i="1" s="1"/>
  <c r="J147" i="1"/>
  <c r="K150" i="1"/>
  <c r="K152" i="1"/>
  <c r="K423" i="1"/>
  <c r="J425" i="1"/>
  <c r="K424" i="1"/>
  <c r="K422" i="1"/>
  <c r="K431" i="1"/>
</calcChain>
</file>

<file path=xl/sharedStrings.xml><?xml version="1.0" encoding="utf-8"?>
<sst xmlns="http://schemas.openxmlformats.org/spreadsheetml/2006/main" count="3041" uniqueCount="551">
  <si>
    <t>Code</t>
  </si>
  <si>
    <t>Species</t>
  </si>
  <si>
    <t>Cohort</t>
  </si>
  <si>
    <t>SN</t>
  </si>
  <si>
    <t>RN</t>
  </si>
  <si>
    <t>weight_g</t>
  </si>
  <si>
    <t>weight_kg</t>
  </si>
  <si>
    <t>weight_t</t>
  </si>
  <si>
    <t>weight_lbs</t>
  </si>
  <si>
    <t>li_a</t>
  </si>
  <si>
    <t>li_b</t>
  </si>
  <si>
    <t>length_cm</t>
  </si>
  <si>
    <t>ANC</t>
  </si>
  <si>
    <t>Anchovies</t>
  </si>
  <si>
    <t>BFT</t>
  </si>
  <si>
    <t>BluefinTuna</t>
  </si>
  <si>
    <t>BIL</t>
  </si>
  <si>
    <t>Billfish</t>
  </si>
  <si>
    <t>BLF</t>
  </si>
  <si>
    <t>Bluefish</t>
  </si>
  <si>
    <t>BLS</t>
  </si>
  <si>
    <t>Blue_Shark</t>
  </si>
  <si>
    <t>BSB</t>
  </si>
  <si>
    <t>Black_Sea_Bass</t>
  </si>
  <si>
    <t>BUT</t>
  </si>
  <si>
    <t>Butterfish</t>
  </si>
  <si>
    <t>BWH</t>
  </si>
  <si>
    <t>Baleen_Whale</t>
  </si>
  <si>
    <t>COD</t>
  </si>
  <si>
    <t>Cod</t>
  </si>
  <si>
    <t>DOG</t>
  </si>
  <si>
    <t>Spiny_Dogfish</t>
  </si>
  <si>
    <t>DRM</t>
  </si>
  <si>
    <t>Drums_Croakers</t>
  </si>
  <si>
    <t>DSH</t>
  </si>
  <si>
    <t>Demersal_Shark</t>
  </si>
  <si>
    <t>FOU</t>
  </si>
  <si>
    <t>Fourspotflounder</t>
  </si>
  <si>
    <t>GOO</t>
  </si>
  <si>
    <t>Monkfish</t>
  </si>
  <si>
    <t>HAD</t>
  </si>
  <si>
    <t>Haddock</t>
  </si>
  <si>
    <t>HAL</t>
  </si>
  <si>
    <t>Halibut</t>
  </si>
  <si>
    <t>HER</t>
  </si>
  <si>
    <t>Herring</t>
  </si>
  <si>
    <t>INV</t>
  </si>
  <si>
    <t>Invasive_Species</t>
  </si>
  <si>
    <t>LSK</t>
  </si>
  <si>
    <t>Little_Skate</t>
  </si>
  <si>
    <t>MAK</t>
  </si>
  <si>
    <t>Mackerel</t>
  </si>
  <si>
    <t>MEN</t>
  </si>
  <si>
    <t>Menhaden</t>
  </si>
  <si>
    <t>OHK</t>
  </si>
  <si>
    <t>Offshore_Hake</t>
  </si>
  <si>
    <t>OPT</t>
  </si>
  <si>
    <t>Ocean_Pout</t>
  </si>
  <si>
    <t>PIN</t>
  </si>
  <si>
    <t>Pinniped</t>
  </si>
  <si>
    <t>PLA</t>
  </si>
  <si>
    <t>Plaice</t>
  </si>
  <si>
    <t>POL</t>
  </si>
  <si>
    <t>Pollock</t>
  </si>
  <si>
    <t>POR</t>
  </si>
  <si>
    <t>Porbeagle_Shark</t>
  </si>
  <si>
    <t>PSH</t>
  </si>
  <si>
    <t>Pelagic_Shark</t>
  </si>
  <si>
    <t>RED</t>
  </si>
  <si>
    <t>Redfish</t>
  </si>
  <si>
    <t>REP</t>
  </si>
  <si>
    <t>Turtle</t>
  </si>
  <si>
    <t>RHK</t>
  </si>
  <si>
    <t>Red_Hake</t>
  </si>
  <si>
    <t>RWH</t>
  </si>
  <si>
    <t>Right_Whale</t>
  </si>
  <si>
    <t>SAL</t>
  </si>
  <si>
    <t>Atlantic_Salmon</t>
  </si>
  <si>
    <t>SB</t>
  </si>
  <si>
    <t>Seabird</t>
  </si>
  <si>
    <t>SCU</t>
  </si>
  <si>
    <t>Scup</t>
  </si>
  <si>
    <t>SDF</t>
  </si>
  <si>
    <t>Atlantic_States_Demersals</t>
  </si>
  <si>
    <t>SHK</t>
  </si>
  <si>
    <t>Silver_Hake</t>
  </si>
  <si>
    <t>SMO</t>
  </si>
  <si>
    <t>Smooth_Dogfish</t>
  </si>
  <si>
    <t>SSH</t>
  </si>
  <si>
    <t>Sandbar_Shark</t>
  </si>
  <si>
    <t>STB</t>
  </si>
  <si>
    <t>Striped_Bass</t>
  </si>
  <si>
    <t>SUF</t>
  </si>
  <si>
    <t>Summerflounder</t>
  </si>
  <si>
    <t>SWH</t>
  </si>
  <si>
    <t>Small_Whale</t>
  </si>
  <si>
    <t>TAU</t>
  </si>
  <si>
    <t>Tautog</t>
  </si>
  <si>
    <t>TUN</t>
  </si>
  <si>
    <t>Tunas</t>
  </si>
  <si>
    <t>TWH</t>
  </si>
  <si>
    <t>Tooth_Whale</t>
  </si>
  <si>
    <t>TYL</t>
  </si>
  <si>
    <t>Tilefish</t>
  </si>
  <si>
    <t>WHK</t>
  </si>
  <si>
    <t>White_Hake</t>
  </si>
  <si>
    <t>WIF</t>
  </si>
  <si>
    <t>Winterflounder</t>
  </si>
  <si>
    <t>WOL</t>
  </si>
  <si>
    <t>Wolffish</t>
  </si>
  <si>
    <t>WPF</t>
  </si>
  <si>
    <t>Windowpane</t>
  </si>
  <si>
    <t>WSK</t>
  </si>
  <si>
    <t>Winter_Skate</t>
  </si>
  <si>
    <t>WTF</t>
  </si>
  <si>
    <t>Witchflounder</t>
  </si>
  <si>
    <t>YTF</t>
  </si>
  <si>
    <t>Yellowtail_Flounder</t>
  </si>
  <si>
    <t>grams</t>
  </si>
  <si>
    <t>vbert_cm</t>
  </si>
  <si>
    <t>SN_mg</t>
  </si>
  <si>
    <t>RN_mg</t>
  </si>
  <si>
    <t>age</t>
  </si>
  <si>
    <t>numyrs</t>
  </si>
  <si>
    <t>MAK_age_mat</t>
  </si>
  <si>
    <t>HER_age_mat</t>
  </si>
  <si>
    <t>WHK_age_mat</t>
  </si>
  <si>
    <t>BLF_age_mat</t>
  </si>
  <si>
    <t>WPF_age_mat</t>
  </si>
  <si>
    <t>SUF_age_mat</t>
  </si>
  <si>
    <t>WIF_age_mat</t>
  </si>
  <si>
    <t>WTF_age_mat</t>
  </si>
  <si>
    <t>HAL_age_mat</t>
  </si>
  <si>
    <t>PLA_age_mat</t>
  </si>
  <si>
    <t>FOU_age_mat</t>
  </si>
  <si>
    <t>FLA_age_mat</t>
  </si>
  <si>
    <t>BFT_age_mat</t>
  </si>
  <si>
    <t>TUN_age_mat</t>
  </si>
  <si>
    <t>BIL_age_mat</t>
  </si>
  <si>
    <t>MPF_age_mat</t>
  </si>
  <si>
    <t>BUT_age_mat</t>
  </si>
  <si>
    <t>ANC_age_mat</t>
  </si>
  <si>
    <t>BPF_age_mat</t>
  </si>
  <si>
    <t>GOO_age_mat</t>
  </si>
  <si>
    <t>MEN_age_mat</t>
  </si>
  <si>
    <t>FDE_age_mat</t>
  </si>
  <si>
    <t>COD_age_mat</t>
  </si>
  <si>
    <t>SHK_age_mat</t>
  </si>
  <si>
    <t>OHK_age_mat</t>
  </si>
  <si>
    <t>POL_age_mat</t>
  </si>
  <si>
    <t>RHK_age_mat</t>
  </si>
  <si>
    <t>BSB_age_mat</t>
  </si>
  <si>
    <t>SCU_age_mat</t>
  </si>
  <si>
    <t>TYL_age_mat</t>
  </si>
  <si>
    <t>RED_age_mat</t>
  </si>
  <si>
    <t>OPT_age_mat</t>
  </si>
  <si>
    <t>SAL_age_mat</t>
  </si>
  <si>
    <t>DRM_age_mat</t>
  </si>
  <si>
    <t>STB_age_mat</t>
  </si>
  <si>
    <t>TAU_age_mat</t>
  </si>
  <si>
    <t>WOL_age_mat</t>
  </si>
  <si>
    <t>SDF_age_mat</t>
  </si>
  <si>
    <t>FDF_age_mat</t>
  </si>
  <si>
    <t>HAD_age_mat</t>
  </si>
  <si>
    <t>YTF_age_mat</t>
  </si>
  <si>
    <t>DOG_age_mat</t>
  </si>
  <si>
    <t>SMO_age_mat</t>
  </si>
  <si>
    <t>SSH_age_mat</t>
  </si>
  <si>
    <t>DSH_age_mat</t>
  </si>
  <si>
    <t>BLS_age_mat</t>
  </si>
  <si>
    <t>POR_age_mat</t>
  </si>
  <si>
    <t>PSH_age_mat</t>
  </si>
  <si>
    <t>WSK_age_mat</t>
  </si>
  <si>
    <t>LSK_age_mat</t>
  </si>
  <si>
    <t>SK_age_mat</t>
  </si>
  <si>
    <t>SB_age_mat</t>
  </si>
  <si>
    <t>PIN_age_mat</t>
  </si>
  <si>
    <t>REP_age_mat</t>
  </si>
  <si>
    <t>RWH_age_mat</t>
  </si>
  <si>
    <t>BWH_age_mat</t>
  </si>
  <si>
    <t>SWH_age_mat</t>
  </si>
  <si>
    <t>TWH_age_mat</t>
  </si>
  <si>
    <t>INV_age_mat</t>
  </si>
  <si>
    <t>FLA</t>
  </si>
  <si>
    <t>MPF</t>
  </si>
  <si>
    <t>BPF</t>
  </si>
  <si>
    <t>FDE</t>
  </si>
  <si>
    <t>FDF</t>
  </si>
  <si>
    <t>SK</t>
  </si>
  <si>
    <t>Age of maturity</t>
  </si>
  <si>
    <t>yrs/cohort</t>
  </si>
  <si>
    <t>num cohorts</t>
  </si>
  <si>
    <t>max age</t>
  </si>
  <si>
    <t>Mesopelagic_Mig_Fish</t>
  </si>
  <si>
    <t>Benthopelagic_Fish</t>
  </si>
  <si>
    <t>Misc_Demersal_Fish</t>
  </si>
  <si>
    <t>Shallow_Demersal_Fish</t>
  </si>
  <si>
    <t>Other_Flatfish</t>
  </si>
  <si>
    <t>Northeast_skate_complex</t>
  </si>
  <si>
    <t>NOAA mean Messeck 1985</t>
  </si>
  <si>
    <t>NOAA mean 2012 SAW</t>
  </si>
  <si>
    <t>NOAA NEFSC</t>
  </si>
  <si>
    <t>fishbase USA GOM GBK</t>
  </si>
  <si>
    <t>fishbase GBK-Delaware region</t>
  </si>
  <si>
    <t>fishbase USA NW Atlantic</t>
  </si>
  <si>
    <t>fishbase NES</t>
  </si>
  <si>
    <t>fishbase NW Atlantic</t>
  </si>
  <si>
    <t>Fishbase SNE</t>
  </si>
  <si>
    <t>fishbase NE coast USA</t>
  </si>
  <si>
    <t>fisbase USA NES</t>
  </si>
  <si>
    <t>Fishbase NW Atlantic canada</t>
  </si>
  <si>
    <t>fishbase NW Atlantic USA</t>
  </si>
  <si>
    <t>fishbase Buzzard Bay</t>
  </si>
  <si>
    <t>fishbase W N Atlantic</t>
  </si>
  <si>
    <t>fishbase Chesapeake Bay</t>
  </si>
  <si>
    <t>fishbase S MAB</t>
  </si>
  <si>
    <t>fishbase aggregate</t>
  </si>
  <si>
    <t>fishbase MAB SNE</t>
  </si>
  <si>
    <t>fishbase GBK</t>
  </si>
  <si>
    <t>fishbase Germany max length 150 cm</t>
  </si>
  <si>
    <t xml:space="preserve">fishbase Newfoundland </t>
  </si>
  <si>
    <t>fishbase SNE</t>
  </si>
  <si>
    <t>used values from plaice with max size of 41 cm</t>
  </si>
  <si>
    <t>fishbase aggregae</t>
  </si>
  <si>
    <t>C:\Users\ryan.morse\Desktop\GROWTH_vonBert_Atlantis</t>
  </si>
  <si>
    <t>CAPELIN</t>
  </si>
  <si>
    <t>SILVERSTRIPE HALFBEAK</t>
  </si>
  <si>
    <t>CHUB MACKEREL</t>
  </si>
  <si>
    <t>NORTHERN SAND LANCE</t>
  </si>
  <si>
    <t>ATLANTIC SAURY</t>
  </si>
  <si>
    <t>MACKEREL SCAD</t>
  </si>
  <si>
    <t>BIGEYE SCAD</t>
  </si>
  <si>
    <t>ROUND SCAD</t>
  </si>
  <si>
    <t>ROUGH SCAD</t>
  </si>
  <si>
    <t>SILVER RAG</t>
  </si>
  <si>
    <t>ATLANTIC THREAD HERRING</t>
  </si>
  <si>
    <t>SPANISH SARDINE</t>
  </si>
  <si>
    <t>FLYING HALFBEAK</t>
  </si>
  <si>
    <t>STRIPED MULLET</t>
  </si>
  <si>
    <t>WHITE MULLET</t>
  </si>
  <si>
    <t>ATLANTIC SILVERSIDE</t>
  </si>
  <si>
    <t>ATLANTIC ARGENTINE</t>
  </si>
  <si>
    <t>HARVESTFISHES</t>
  </si>
  <si>
    <t>Linf</t>
  </si>
  <si>
    <t>K</t>
  </si>
  <si>
    <t>To</t>
  </si>
  <si>
    <t>location</t>
  </si>
  <si>
    <t>labrador sea</t>
  </si>
  <si>
    <t>http://www.fishbase.org/Summary/SpeciesSummary.php?ID=252&amp;AT=capelin</t>
  </si>
  <si>
    <t>Brazil</t>
  </si>
  <si>
    <t>http://www.fishbase.org/Summary/SpeciesSummary.php?ID=1060&amp;AT=silverstripe+halfbeak</t>
  </si>
  <si>
    <t>http://www.fishbase.org/Summary/SpeciesSummary.php?ID=54736&amp;AT=chub+mackerel</t>
  </si>
  <si>
    <t>aggregate</t>
  </si>
  <si>
    <t>http://www.fishbase.org/Summary/SpeciesSummary.php?ID=3821&amp;AT=northern+sand+lance</t>
  </si>
  <si>
    <t>http://www.fishbase.org/Summary/SpeciesSummary.php?ID=1084&amp;AT=atlantic+saury</t>
  </si>
  <si>
    <t>Italy</t>
  </si>
  <si>
    <t>http://www.fishbase.org/Summary/SpeciesSummary.php?ID=993&amp;AT=mackerel+scad</t>
  </si>
  <si>
    <t>max length cm</t>
  </si>
  <si>
    <t>agg</t>
  </si>
  <si>
    <t>http://www.fishbase.org/Summary/SpeciesSummary.php?ID=994&amp;AT=round+scad</t>
  </si>
  <si>
    <t>http://www.fishbase.org/Summary/SpeciesSummary.php?ID=387&amp;AT=bigeye+scad</t>
  </si>
  <si>
    <t>http://www.fishbase.se/Summary/SpeciesSummary.php?ID=369&amp;AT=rough+scad</t>
  </si>
  <si>
    <t>http://www.fishbase.se/Summary/SpeciesSummary.php?ID=961&amp;AT=Silver%20rag</t>
  </si>
  <si>
    <t>NA</t>
  </si>
  <si>
    <t>http://www.fishbase.se/Summary/SpeciesSummary.php?ID=1486&amp;AT=atlantic+thread+herring</t>
  </si>
  <si>
    <t>Gulf Mexico</t>
  </si>
  <si>
    <t>http://www.fishbase.se/Summary/SpeciesSummary.php?ID=1043&amp;AT=spanish+sardine</t>
  </si>
  <si>
    <t>http://www.fishbase.se/Summary/SpeciesSummary.php?ID=3155&amp;AT=flying+halfbeak</t>
  </si>
  <si>
    <t>http://www.fishbase.se/Summary/SpeciesSummary.php?ID=785&amp;AT=striped+mullet</t>
  </si>
  <si>
    <t>NW Florida</t>
  </si>
  <si>
    <t>http://www.fishbase.se/Summary/SpeciesSummary.php?ID=1086&amp;AT=white+mullet</t>
  </si>
  <si>
    <t>Mexico</t>
  </si>
  <si>
    <t>http://www.fishbase.se/Summary/SpeciesSummary.php?ID=339&amp;AT=atlantic+silverside</t>
  </si>
  <si>
    <t>http://www.fishbase.se/Summary/SpeciesSummary.php?ID=2700&amp;AT=atlantic+argentine</t>
  </si>
  <si>
    <t>Rockall Bank</t>
  </si>
  <si>
    <t>http://www.fishbase.se/Summary/SpeciesSummary.php?ID=28143&amp;AT=harvestfish</t>
  </si>
  <si>
    <t>ATLANTIC CROAKER</t>
  </si>
  <si>
    <t>BLACK DRUM</t>
  </si>
  <si>
    <t>SPOT</t>
  </si>
  <si>
    <t>source</t>
  </si>
  <si>
    <t>http://www.fishbase.se/Summary/SpeciesSummary.php?ID=408&amp;AT=atlantic+croaker</t>
  </si>
  <si>
    <t>http://www.fishbase.se/Summary/SpeciesSummary.php?ID=425&amp;AT=black+drum</t>
  </si>
  <si>
    <t>Texas</t>
  </si>
  <si>
    <t>http://www.fishbase.se/Summary/SpeciesSummary.php?ID=429&amp;AT=spot</t>
  </si>
  <si>
    <t>Chesapeake Bay</t>
  </si>
  <si>
    <t>To (yrs)</t>
  </si>
  <si>
    <t>BLACK DOGFISH</t>
  </si>
  <si>
    <t>SAND TIGER</t>
  </si>
  <si>
    <t>CHAIN DOGFISH</t>
  </si>
  <si>
    <t>ATLANTIC ANGEL SHARK</t>
  </si>
  <si>
    <t>SHARK,NURSE</t>
  </si>
  <si>
    <t>SHARK,BULL</t>
  </si>
  <si>
    <t>SHARK,LEMON</t>
  </si>
  <si>
    <t>SHARK,ATLANTIC SHARPNOSE</t>
  </si>
  <si>
    <t>SHARK,SCALLOPED HAMMERHEAD</t>
  </si>
  <si>
    <t>SHARK,THRESHER</t>
  </si>
  <si>
    <t>SHARK,BIGEYE THRESHER</t>
  </si>
  <si>
    <t>SHARK,THRESHER UNC</t>
  </si>
  <si>
    <t>SHARK UNCL</t>
  </si>
  <si>
    <t>ROUND HERRING</t>
  </si>
  <si>
    <t>ALEWIFE</t>
  </si>
  <si>
    <t>BLUEBACK HERRING</t>
  </si>
  <si>
    <t>AMERICAN SHAD</t>
  </si>
  <si>
    <t>GIZZARD SHAD</t>
  </si>
  <si>
    <t>HICKORY SHAD</t>
  </si>
  <si>
    <t>HERRING SMELT</t>
  </si>
  <si>
    <t>SMELTS</t>
  </si>
  <si>
    <t>SPOTTED HAKE</t>
  </si>
  <si>
    <t>FOURBEARD ROCKLING</t>
  </si>
  <si>
    <t>CUSK</t>
  </si>
  <si>
    <t>THREEBEARD ROCKLING</t>
  </si>
  <si>
    <t>GRENADIER UNCL</t>
  </si>
  <si>
    <t>MARLIN-SPIKE</t>
  </si>
  <si>
    <t>ROUGHHEAD GRENADIER</t>
  </si>
  <si>
    <t>LONGNOSE GRENADIER</t>
  </si>
  <si>
    <t>DEEPWATER DAB</t>
  </si>
  <si>
    <t>GREENLAND HALIBUT</t>
  </si>
  <si>
    <t>LONGSPINE SNIPEFISH</t>
  </si>
  <si>
    <t>BUCKLER DORY</t>
  </si>
  <si>
    <t>BLACKMOUTH BASS</t>
  </si>
  <si>
    <t>THREESPINE STICKLEBACK</t>
  </si>
  <si>
    <t>NORTHERN PIPEFISH</t>
  </si>
  <si>
    <t>SMALLMOUTH FLOUNDER</t>
  </si>
  <si>
    <t>TRUMPETFISH</t>
  </si>
  <si>
    <t>BLUESPOTTED CORNETFISH</t>
  </si>
  <si>
    <t>ATLANTIC MOONFISH</t>
  </si>
  <si>
    <t>LOOKDOWN</t>
  </si>
  <si>
    <t>WEAKFISH</t>
  </si>
  <si>
    <t>NORTHERN KINGFISH</t>
  </si>
  <si>
    <t>SILVER PERCH</t>
  </si>
  <si>
    <t>SHERBORN'S CARDINALFISH</t>
  </si>
  <si>
    <t>LONGSPINE SCORPIONFISH</t>
  </si>
  <si>
    <t>BLACKBELLY ROSEFISH</t>
  </si>
  <si>
    <t>HOOKEAR SCULPIN UNCL</t>
  </si>
  <si>
    <t>SCULPIN UNCL</t>
  </si>
  <si>
    <t>MOUSTACHE SCULPIN</t>
  </si>
  <si>
    <t>SHORTHORN SCULPIN</t>
  </si>
  <si>
    <t>LONGHORN SCULPIN</t>
  </si>
  <si>
    <t>SEA RAVEN</t>
  </si>
  <si>
    <t>ALLIGATORFISH</t>
  </si>
  <si>
    <t>GRUBBY</t>
  </si>
  <si>
    <t>INQUILINE SNAILFISH</t>
  </si>
  <si>
    <t>LUMPFISH</t>
  </si>
  <si>
    <t>ATLANTIC SPINY LUMPSUCKER</t>
  </si>
  <si>
    <t>ATLANTIC SEASNAIL</t>
  </si>
  <si>
    <t>NORTHERN SEAROBIN</t>
  </si>
  <si>
    <t>STRIPED SEAROBIN</t>
  </si>
  <si>
    <t>ARMORED SEAROBIN</t>
  </si>
  <si>
    <t>SEAROBIN UNCL</t>
  </si>
  <si>
    <t>FLYING GURNARD</t>
  </si>
  <si>
    <t>CUNNER</t>
  </si>
  <si>
    <t>NORTHERN STARGAZER</t>
  </si>
  <si>
    <t>ROCK GUNNEL</t>
  </si>
  <si>
    <t>RED GOATFISH</t>
  </si>
  <si>
    <t>STRIPED CUSK-EEL</t>
  </si>
  <si>
    <t>ARCTIC EELPOUT</t>
  </si>
  <si>
    <t>WOLF EELPOUT</t>
  </si>
  <si>
    <t>WRYMOUTH</t>
  </si>
  <si>
    <t>FAWN CUSK-EEL</t>
  </si>
  <si>
    <t>SHORTNOSE GREENEYE</t>
  </si>
  <si>
    <t>LARGESCALE LIZARDFISH</t>
  </si>
  <si>
    <t>SHORTJAW LIZARDFISH</t>
  </si>
  <si>
    <t>INSHORE LIZARDFISH</t>
  </si>
  <si>
    <t>SAND DIVER</t>
  </si>
  <si>
    <t>OFFSHORE LIZARDFISH</t>
  </si>
  <si>
    <t>RED LIZARDFISH</t>
  </si>
  <si>
    <t>SNAKEFISH</t>
  </si>
  <si>
    <t>LONGNOSE LANCETFISH</t>
  </si>
  <si>
    <t>NORTHERN PUFFER</t>
  </si>
  <si>
    <t>GARFISHES</t>
  </si>
  <si>
    <t>HAGFISH</t>
  </si>
  <si>
    <t>HOGFISH</t>
  </si>
  <si>
    <t>TOADFISHES</t>
  </si>
  <si>
    <t>PERCH,SAND</t>
  </si>
  <si>
    <t>NEEDLEFISH,ATLANTIC</t>
  </si>
  <si>
    <t>SHEEPSHEAD,ATLANTIC</t>
  </si>
  <si>
    <t>ATLANTIC TOMCOD</t>
  </si>
  <si>
    <t>HOGCHOKER</t>
  </si>
  <si>
    <t>GULF STREAM FLOUNDER</t>
  </si>
  <si>
    <t>DEEPWATER FLOUNDER</t>
  </si>
  <si>
    <t>LANTERNFISH UNCL</t>
  </si>
  <si>
    <t>WEITZMANS PEARLSIDES</t>
  </si>
  <si>
    <t>SPOTTED LANTERNFISH</t>
  </si>
  <si>
    <t>HORNED LANTERNFISH</t>
  </si>
  <si>
    <t>DUSKY SHARK</t>
  </si>
  <si>
    <t>SHARK,GREAT HAMMERHEAD</t>
  </si>
  <si>
    <t>SHARK,BONITO(SHORTFIN MAKO)</t>
  </si>
  <si>
    <t>SHARK,WHITE</t>
  </si>
  <si>
    <t>BLACKNOSE SHARK</t>
  </si>
  <si>
    <t>SILKY SHARK</t>
  </si>
  <si>
    <t>SHARK,BLACKTIP</t>
  </si>
  <si>
    <t>SHARK,TIGER</t>
  </si>
  <si>
    <t>SHARK,FINETOOTH</t>
  </si>
  <si>
    <t>SHARK,BIGNOSE</t>
  </si>
  <si>
    <t>CONGER EEL</t>
  </si>
  <si>
    <t>CONGER EEL UNCL</t>
  </si>
  <si>
    <t>EEL UNCL</t>
  </si>
  <si>
    <t>AMERICAN EEL</t>
  </si>
  <si>
    <t>STURGEON,ATLANTIC</t>
  </si>
  <si>
    <t>STURGEONS,UNC</t>
  </si>
  <si>
    <t>STURGEON,SHORTNOSE</t>
  </si>
  <si>
    <t>SEA TROUT,SPOTTED</t>
  </si>
  <si>
    <t>TURTLE,GREEN(SEA)</t>
  </si>
  <si>
    <t>TURTLE, KEMPS RIDLEY</t>
  </si>
  <si>
    <t>TURTLE, LEATHERBACK</t>
  </si>
  <si>
    <t>TURTLE,LOGGERHEAD(SEA)</t>
  </si>
  <si>
    <t>TURTLE, HAWKBILL</t>
  </si>
  <si>
    <t>RAY AND SKATE UNCL</t>
  </si>
  <si>
    <t>SKATE UNCL</t>
  </si>
  <si>
    <t>ATLANTIC TORPEDO</t>
  </si>
  <si>
    <t>BARNDOOR SKATE</t>
  </si>
  <si>
    <t>CLEARNOSE SKATE</t>
  </si>
  <si>
    <t>ROSETTE SKATE</t>
  </si>
  <si>
    <t>SMOOTH SKATE</t>
  </si>
  <si>
    <t>THORNY SKATE</t>
  </si>
  <si>
    <t>TUNA,BLACKFIN</t>
  </si>
  <si>
    <t>TUNA,UNC</t>
  </si>
  <si>
    <t>TUNA,SKIPJACK</t>
  </si>
  <si>
    <t>TUNA,LITTLE (TUNNY)</t>
  </si>
  <si>
    <t>TUNA,BIGEYE</t>
  </si>
  <si>
    <t>TUNA,ALBACORE</t>
  </si>
  <si>
    <t>TUNA,YELLOWFIN</t>
  </si>
  <si>
    <t>MACKEREL AND TUNA UNCL</t>
  </si>
  <si>
    <t>http://www.fishbase.se/Summary/SpeciesSummary.php?ID=1455&amp;AT=round+herring</t>
  </si>
  <si>
    <t>http://www.fishbase.se/Summary/SpeciesSummary.php?ID=1583&amp;AT=alewife</t>
  </si>
  <si>
    <t>http://www.fishbase.se/Summary/SpeciesSummary.php?ID=1574&amp;AT=blueback+herring</t>
  </si>
  <si>
    <t>http://www.fishbase.se/Summary/SpeciesSummary.php?ID=1584&amp;AT=american+shad</t>
  </si>
  <si>
    <t>http://www.fishbase.se/Summary/SpeciesSummary.php?ID=1604&amp;AT=gizzard+shad</t>
  </si>
  <si>
    <t>http://www.fishbase.se/Summary/SpeciesSummary.php?ID=1582&amp;AT=hickory+shad</t>
  </si>
  <si>
    <t>USA</t>
  </si>
  <si>
    <t>http://www.fishbase.se/Summary/SpeciesSummary.php?ID=2700&amp;AT=herring+smelt</t>
  </si>
  <si>
    <t>(greater argentine)</t>
  </si>
  <si>
    <t>http://www.fishbase.se/Summary/SpeciesSummary.php?ID=253&amp;AT=smelt</t>
  </si>
  <si>
    <t>http://www.fishbase.se/Summary/SpeciesSummary.php?ID=1883&amp;AT=spotted+hake</t>
  </si>
  <si>
    <t>http://www.fishbase.se/Summary/SpeciesSummary.php?ID=1874&amp;AT=fourbeard+rockling</t>
  </si>
  <si>
    <t>http://www.fishbase.se/Summary/SpeciesSummary.php?ID=51&amp;AT=cusk</t>
  </si>
  <si>
    <t>http://www.fishbase.se/Summary/SpeciesSummary.php?ID=8425&amp;AT=threebeard+rockling</t>
  </si>
  <si>
    <t>Fin Whale</t>
  </si>
  <si>
    <t>Humpback</t>
  </si>
  <si>
    <t>Minke</t>
  </si>
  <si>
    <t>Sei</t>
  </si>
  <si>
    <t>max daily consumption (kg)</t>
  </si>
  <si>
    <t>adult weight (kg)</t>
  </si>
  <si>
    <t>adult length (m)</t>
  </si>
  <si>
    <t>calf weight (kg)</t>
  </si>
  <si>
    <t>calf length (m)</t>
  </si>
  <si>
    <t>https://www.fisheries.noaa.gov/species/fin-whale</t>
  </si>
  <si>
    <t>lifespan (yrs)</t>
  </si>
  <si>
    <t>gestation (mos)</t>
  </si>
  <si>
    <t>sexual maturity (yrs)</t>
  </si>
  <si>
    <t>calf consumes milk (yrs)</t>
  </si>
  <si>
    <t>https://www.fisheries.noaa.gov/species/humpback-whale</t>
  </si>
  <si>
    <t>https://www.fisheries.noaa.gov/species/sei-whale</t>
  </si>
  <si>
    <t>https://www.fisheries.noaa.gov/species/minke-whale</t>
  </si>
  <si>
    <t>Right Whale</t>
  </si>
  <si>
    <t>https://www.fisheries.noaa.gov/species/north-atlantic-right-whale</t>
  </si>
  <si>
    <t>mean value</t>
  </si>
  <si>
    <t>MEANS</t>
  </si>
  <si>
    <t>fishbase agg</t>
  </si>
  <si>
    <t>fishbase NC Lionfish</t>
  </si>
  <si>
    <t>Mauritania</t>
  </si>
  <si>
    <t>http://www.fishbase.se/Summary/SpeciesSummary.php?ID=1328&amp;AT=spotted+lanternfish</t>
  </si>
  <si>
    <t>http://www.fishbase.se/Summary/SpeciesSummary.php?ID=10174&amp;AT=lanternfish</t>
  </si>
  <si>
    <t>http://www.fishbase.se/Summary/SpeciesSummary.php?ID=51611&amp;AT=pearlsides</t>
  </si>
  <si>
    <t>http://www.fishbase.se/Summary/SpeciesSummary.php?ID=144&amp;AT=blackfin+tuna</t>
  </si>
  <si>
    <t>http://www.fishbase.se/Summary/SpeciesSummary.php?ID=107&amp;AT=skipjack+tuna</t>
  </si>
  <si>
    <t>http://www.fishbase.se/Summary/SpeciesSummary.php?ID=97&amp;AT=false+albacore</t>
  </si>
  <si>
    <t>http://www.fishbase.se/Summary/SpeciesSummary.php?ID=142&amp;AT=albacore+tuna</t>
  </si>
  <si>
    <t>http://www.fishbase.se/Summary/SpeciesSummary.php?ID=143&amp;AT=yellowfin+tuna</t>
  </si>
  <si>
    <t>http://www.fishbase.se/Summary/SpeciesSummary.php?ID=2553&amp;AT=atlantic+torpedo</t>
  </si>
  <si>
    <t>http://www.fishbase.se/Summary/SpeciesSummary.php?ID=2561&amp;AT=barndoor+skate</t>
  </si>
  <si>
    <t>GBK</t>
  </si>
  <si>
    <t>http://www.fishbase.se/Summary/SpeciesSummary.php?ID=1252&amp;AT=clearnose+skate</t>
  </si>
  <si>
    <t>Delaware Bay</t>
  </si>
  <si>
    <t>http://www.fishbase.se/Summary/SpeciesSummary.php?ID=1253&amp;AT=rosette+skate</t>
  </si>
  <si>
    <t>http://www.fishbase.se/Summary/SpeciesSummary.php?ID=2568&amp;AT=smooth+skate</t>
  </si>
  <si>
    <t>GOM</t>
  </si>
  <si>
    <t>http://www.fishbase.se/Summary/SpeciesSummary.php?ID=2565&amp;AT=thorny+skate</t>
  </si>
  <si>
    <t>http://www.fishbase.se/Summary/SpeciesSummary.php?ID=300&amp;AT=conger+eel</t>
  </si>
  <si>
    <t>http://www.fishbase.se/Summary/SpeciesSummary.php?ID=296&amp;AT=american+eel</t>
  </si>
  <si>
    <t>http://www.fishbase.se/Summary/SpeciesSummary.php?ID=405&amp;AT=Spotted%20sea%20trout</t>
  </si>
  <si>
    <t>http://www.fishbase.se/Summary/SpeciesSummary.php?ID=2593&amp;AT=atlantic+sturgeon</t>
  </si>
  <si>
    <t>http://www.fishbase.se/Summary/SpeciesSummary.php?ID=2590&amp;AT=shortnose+sturgeon</t>
  </si>
  <si>
    <t>New Brunswick</t>
  </si>
  <si>
    <t>http://www.fishbase.se/Summary/SpeciesSummary.php?ID=878&amp;AT=dusky+shark</t>
  </si>
  <si>
    <t>http://www.fishbase.se/Summary/SpeciesSummary.php?ID=912&amp;AT=hammerhead+shark</t>
  </si>
  <si>
    <t>http://www.fishbase.se/Summary/SpeciesSummary.php?ID=752&amp;AT=bonito+shark</t>
  </si>
  <si>
    <t>http://www.fishbase.se/Summary/SpeciesSummary.php?ID=751&amp;AT=white+shark</t>
  </si>
  <si>
    <t>http://www.fishbase.se/Summary/SpeciesSummary.php?ID=857&amp;AT=blacknose+shark</t>
  </si>
  <si>
    <t>http://www.fishbase.se/Summary/SpeciesSummary.php?ID=868&amp;AT=silky+shark</t>
  </si>
  <si>
    <t>http://www.fishbase.se/Summary/SpeciesSummary.php?ID=874&amp;AT=blacktip+shark</t>
  </si>
  <si>
    <t>http://www.fishbase.se/Summary/SpeciesSummary.php?ID=886&amp;AT=tiger+shark</t>
  </si>
  <si>
    <t>NES</t>
  </si>
  <si>
    <t>http://www.fishbase.se/Summary/SpeciesSummary.php?ID=872&amp;AT=finetooth+shark</t>
  </si>
  <si>
    <t>FL</t>
  </si>
  <si>
    <t>http://www.fishbase.se/Summary/SpeciesSummary.php?ID=859&amp;AT=bignose+shark</t>
  </si>
  <si>
    <t>http://www.fishbase.se/Summary/SpeciesSummary.php?ID=4260&amp;AT=hogchoker</t>
  </si>
  <si>
    <t>http://www.fishbase.se/Summary/SpeciesSummary.php?ID=4209&amp;AT=gulf+stream+flounder</t>
  </si>
  <si>
    <t>http://www.fishbase.se/Summary/SpeciesSummary.php?ID=4227&amp;AT=deepwater+flounder</t>
  </si>
  <si>
    <t>http://www.fishbase.se/Summary/SpeciesSummary.php?ID=656&amp;AT=black+dogfish</t>
  </si>
  <si>
    <t>http://www.fishbase.se/Summary/SpeciesSummary.php?ID=749&amp;AT=sand+tiger+shark</t>
  </si>
  <si>
    <t>http://www.fishbase.se/Summary/SpeciesSummary.php?ID=853&amp;AT=chain+dogfish</t>
  </si>
  <si>
    <t>http://www.fishbase.se/Summary/SpeciesSummary.php?ID=731&amp;AT=atlantic+angel+shark</t>
  </si>
  <si>
    <t>http://www.fishbase.se/Summary/SpeciesSummary.php?ID=2532&amp;AT=nurse+shark</t>
  </si>
  <si>
    <t>http://www.fishbase.se/Summary/SpeciesSummary.php?ID=873&amp;AT=bull+shark</t>
  </si>
  <si>
    <t>http://www.fishbase.se/Summary/SpeciesSummary.php?ID=897&amp;AT=lemon+shark</t>
  </si>
  <si>
    <t>bahamas</t>
  </si>
  <si>
    <t>http://www.fishbase.se/Summary/SpeciesSummary.php?ID=905&amp;AT=atlantic+sharpnose+shark</t>
  </si>
  <si>
    <t>http://www.fishbase.se/Summary/SpeciesSummary.php?ID=912&amp;AT=scalloped+hammerhead</t>
  </si>
  <si>
    <t>http://www.fishbase.se/Summary/SpeciesSummary.php?ID=2535&amp;AT=thresher+shark</t>
  </si>
  <si>
    <t>http://www.fishbase.se/Summary/SpeciesSummary.php?ID=2534&amp;AT=bigeye+thresher</t>
  </si>
  <si>
    <t>Harbor seal</t>
  </si>
  <si>
    <t>Hooded Seal</t>
  </si>
  <si>
    <t>Harp Seal</t>
  </si>
  <si>
    <t>Gray seal</t>
  </si>
  <si>
    <t>https://www.fisheries.noaa.gov/species/gray-seal</t>
  </si>
  <si>
    <t>https://www.fisheries.noaa.gov/species/harbor-seal</t>
  </si>
  <si>
    <t>NOT IN NEUS</t>
  </si>
  <si>
    <t>http://www.nmfs.noaa.gov/pr/species/mammals/seals/hooded-seal.html</t>
  </si>
  <si>
    <t>Harbor porpoise</t>
  </si>
  <si>
    <t>https://www.fisheries.noaa.gov/species/harbor-porpoise</t>
  </si>
  <si>
    <t>Striped dolphin</t>
  </si>
  <si>
    <t>https://www.fisheries.noaa.gov/species/striped-dolphin</t>
  </si>
  <si>
    <t>Common Bottlenose Dolphin</t>
  </si>
  <si>
    <t>Sperm whale</t>
  </si>
  <si>
    <t>Long-finneed pilot whale</t>
  </si>
  <si>
    <t>short-finned pilot whale</t>
  </si>
  <si>
    <t>pygmy sperm whale</t>
  </si>
  <si>
    <t>https://www.fisheries.noaa.gov/species/common-bottlenose-dolphin</t>
  </si>
  <si>
    <t>https://www.fisheries.noaa.gov/species/sperm-whale</t>
  </si>
  <si>
    <t>Blue</t>
  </si>
  <si>
    <t>https://www.fisheries.noaa.gov/species/green-turtle</t>
  </si>
  <si>
    <t>https://www.fisheries.noaa.gov/species/kemps-ridley-turtle</t>
  </si>
  <si>
    <t>https://www.fisheries.noaa.gov/species/loggerhead-turtle</t>
  </si>
  <si>
    <t>https://www.fisheries.noaa.gov/species/leatherback-turtle</t>
  </si>
  <si>
    <t>Northern Gannet</t>
  </si>
  <si>
    <t>wingspan (cm)</t>
  </si>
  <si>
    <t>adult weight (g)</t>
  </si>
  <si>
    <t>largest gull</t>
  </si>
  <si>
    <t>Great Black-backed gull</t>
  </si>
  <si>
    <t>https://www.allaboutbirds.org/guide/Great_Black-backed_Gull/overview</t>
  </si>
  <si>
    <t>https://www.nefsc.noaa.gov/ecosys/ecosystem-ecology/seabirds.html</t>
  </si>
  <si>
    <t>petrels</t>
  </si>
  <si>
    <t>terns</t>
  </si>
  <si>
    <t>shearwaters</t>
  </si>
  <si>
    <t>gulls</t>
  </si>
  <si>
    <t>eiders</t>
  </si>
  <si>
    <t>Barrett et al 2006 NAFO area 5 (hatterans to GOM) percent by number of SB breeding in area</t>
  </si>
  <si>
    <t>pelecaniformes</t>
  </si>
  <si>
    <t>average weight</t>
  </si>
  <si>
    <t>avg length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</si>
</sst>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33" borderId="0" xfId="0" applyFont="1" applyFill="1"/>
    <xf numFmtId="0" fontId="0" fillId="34" borderId="0" xfId="0" applyFill="1"/>
    <xf numFmtId="0" fontId="15" fillId="0" borderId="0" xfId="16" applyBorder="1" applyAlignment="1" applyProtection="1"/>
    <xf numFmtId="0" fontId="18" fillId="0" borderId="0" xfId="42"/>
    <xf numFmtId="0" fontId="0" fillId="0" borderId="0" xfId="0" applyFill="1"/>
    <xf numFmtId="2" fontId="0" fillId="0" borderId="0" xfId="0" applyNumberFormat="1"/>
    <xf numFmtId="2" fontId="0" fillId="34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1604&amp;AT=gizzard+shad" TargetMode="External"/><Relationship Id="rId21" Type="http://schemas.openxmlformats.org/officeDocument/2006/relationships/hyperlink" Target="http://www.fishbase.se/Summary/SpeciesSummary.php?ID=429&amp;AT=spot" TargetMode="External"/><Relationship Id="rId42" Type="http://schemas.openxmlformats.org/officeDocument/2006/relationships/hyperlink" Target="http://www.fishbase.se/Summary/SpeciesSummary.php?ID=97&amp;AT=false+albacore" TargetMode="External"/><Relationship Id="rId47" Type="http://schemas.openxmlformats.org/officeDocument/2006/relationships/hyperlink" Target="http://www.fishbase.se/Summary/SpeciesSummary.php?ID=1252&amp;AT=clearnose+skate" TargetMode="External"/><Relationship Id="rId63" Type="http://schemas.openxmlformats.org/officeDocument/2006/relationships/hyperlink" Target="http://www.fishbase.se/Summary/SpeciesSummary.php?ID=872&amp;AT=finetooth+shark" TargetMode="External"/><Relationship Id="rId68" Type="http://schemas.openxmlformats.org/officeDocument/2006/relationships/hyperlink" Target="http://www.fishbase.se/Summary/SpeciesSummary.php?ID=656&amp;AT=black+dogfish" TargetMode="External"/><Relationship Id="rId84" Type="http://schemas.openxmlformats.org/officeDocument/2006/relationships/hyperlink" Target="https://www.fisheries.noaa.gov/species/common-bottlenose-dolphin" TargetMode="External"/><Relationship Id="rId89" Type="http://schemas.openxmlformats.org/officeDocument/2006/relationships/hyperlink" Target="https://www.fisheries.noaa.gov/species/leatherback-turtle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51&amp;AT=cusk" TargetMode="External"/><Relationship Id="rId37" Type="http://schemas.openxmlformats.org/officeDocument/2006/relationships/hyperlink" Target="http://www.fishbase.se/Summary/SpeciesSummary.php?ID=1328&amp;AT=spotted+lanternfish" TargetMode="External"/><Relationship Id="rId53" Type="http://schemas.openxmlformats.org/officeDocument/2006/relationships/hyperlink" Target="http://www.fishbase.se/Summary/SpeciesSummary.php?ID=405&amp;AT=Spotted%20sea%20trout" TargetMode="External"/><Relationship Id="rId58" Type="http://schemas.openxmlformats.org/officeDocument/2006/relationships/hyperlink" Target="http://www.fishbase.se/Summary/SpeciesSummary.php?ID=751&amp;AT=white+shark" TargetMode="External"/><Relationship Id="rId74" Type="http://schemas.openxmlformats.org/officeDocument/2006/relationships/hyperlink" Target="http://www.fishbase.se/Summary/SpeciesSummary.php?ID=897&amp;AT=lemon+shark" TargetMode="External"/><Relationship Id="rId79" Type="http://schemas.openxmlformats.org/officeDocument/2006/relationships/hyperlink" Target="https://www.fisheries.noaa.gov/species/gray-seal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s://www.allaboutbirds.org/guide/Great_Black-backed_Gull/overview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1455&amp;AT=round+herring" TargetMode="External"/><Relationship Id="rId27" Type="http://schemas.openxmlformats.org/officeDocument/2006/relationships/hyperlink" Target="http://www.fishbase.se/Summary/SpeciesSummary.php?ID=1582&amp;AT=hickory+shad" TargetMode="External"/><Relationship Id="rId30" Type="http://schemas.openxmlformats.org/officeDocument/2006/relationships/hyperlink" Target="http://www.fishbase.se/Summary/SpeciesSummary.php?ID=1883&amp;AT=spotted+hake" TargetMode="External"/><Relationship Id="rId35" Type="http://schemas.openxmlformats.org/officeDocument/2006/relationships/hyperlink" Target="https://www.fisheries.noaa.gov/species/sei-whale" TargetMode="External"/><Relationship Id="rId43" Type="http://schemas.openxmlformats.org/officeDocument/2006/relationships/hyperlink" Target="http://www.fishbase.se/Summary/SpeciesSummary.php?ID=142&amp;AT=albacore+tuna" TargetMode="External"/><Relationship Id="rId48" Type="http://schemas.openxmlformats.org/officeDocument/2006/relationships/hyperlink" Target="http://www.fishbase.se/Summary/SpeciesSummary.php?ID=1253&amp;AT=rosette+skate" TargetMode="External"/><Relationship Id="rId56" Type="http://schemas.openxmlformats.org/officeDocument/2006/relationships/hyperlink" Target="http://www.fishbase.se/Summary/SpeciesSummary.php?ID=912&amp;AT=hammerhead+shark" TargetMode="External"/><Relationship Id="rId64" Type="http://schemas.openxmlformats.org/officeDocument/2006/relationships/hyperlink" Target="http://www.fishbase.se/Summary/SpeciesSummary.php?ID=859&amp;AT=bignose+shark" TargetMode="External"/><Relationship Id="rId69" Type="http://schemas.openxmlformats.org/officeDocument/2006/relationships/hyperlink" Target="http://www.fishbase.se/Summary/SpeciesSummary.php?ID=749&amp;AT=sand+tiger+shark" TargetMode="External"/><Relationship Id="rId77" Type="http://schemas.openxmlformats.org/officeDocument/2006/relationships/hyperlink" Target="http://www.fishbase.se/Summary/SpeciesSummary.php?ID=2535&amp;AT=thresher+shark" TargetMode="External"/><Relationship Id="rId8" Type="http://schemas.openxmlformats.org/officeDocument/2006/relationships/hyperlink" Target="http://www.fishbase.org/Summary/SpeciesSummary.php?ID=387&amp;AT=bigeye+scad" TargetMode="External"/><Relationship Id="rId51" Type="http://schemas.openxmlformats.org/officeDocument/2006/relationships/hyperlink" Target="http://www.fishbase.se/Summary/SpeciesSummary.php?ID=300&amp;AT=conger+eel" TargetMode="External"/><Relationship Id="rId72" Type="http://schemas.openxmlformats.org/officeDocument/2006/relationships/hyperlink" Target="http://www.fishbase.se/Summary/SpeciesSummary.php?ID=2532&amp;AT=nurse+shark" TargetMode="External"/><Relationship Id="rId80" Type="http://schemas.openxmlformats.org/officeDocument/2006/relationships/hyperlink" Target="https://www.fisheries.noaa.gov/species/harbor-seal" TargetMode="External"/><Relationship Id="rId85" Type="http://schemas.openxmlformats.org/officeDocument/2006/relationships/hyperlink" Target="https://www.fisheries.noaa.gov/species/sperm-whale" TargetMode="External"/><Relationship Id="rId3" Type="http://schemas.openxmlformats.org/officeDocument/2006/relationships/hyperlink" Target="http://www.fishbase.org/Summary/SpeciesSummary.php?ID=252&amp;AT=capelin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1584&amp;AT=american+shad" TargetMode="External"/><Relationship Id="rId33" Type="http://schemas.openxmlformats.org/officeDocument/2006/relationships/hyperlink" Target="http://www.fishbase.se/Summary/SpeciesSummary.php?ID=8425&amp;AT=threebeard+rockling" TargetMode="External"/><Relationship Id="rId38" Type="http://schemas.openxmlformats.org/officeDocument/2006/relationships/hyperlink" Target="http://www.fishbase.se/Summary/SpeciesSummary.php?ID=10174&amp;AT=lanternfish" TargetMode="External"/><Relationship Id="rId46" Type="http://schemas.openxmlformats.org/officeDocument/2006/relationships/hyperlink" Target="http://www.fishbase.se/Summary/SpeciesSummary.php?ID=2561&amp;AT=barndoor+skate" TargetMode="External"/><Relationship Id="rId59" Type="http://schemas.openxmlformats.org/officeDocument/2006/relationships/hyperlink" Target="http://www.fishbase.se/Summary/SpeciesSummary.php?ID=857&amp;AT=blacknose+shark" TargetMode="External"/><Relationship Id="rId67" Type="http://schemas.openxmlformats.org/officeDocument/2006/relationships/hyperlink" Target="http://www.fishbase.se/Summary/SpeciesSummary.php?ID=4227&amp;AT=deepwater+flounder" TargetMode="External"/><Relationship Id="rId20" Type="http://schemas.openxmlformats.org/officeDocument/2006/relationships/hyperlink" Target="http://www.fishbase.se/Summary/SpeciesSummary.php?ID=425&amp;AT=black+drum" TargetMode="External"/><Relationship Id="rId41" Type="http://schemas.openxmlformats.org/officeDocument/2006/relationships/hyperlink" Target="http://www.fishbase.se/Summary/SpeciesSummary.php?ID=107&amp;AT=skipjack+tuna" TargetMode="External"/><Relationship Id="rId54" Type="http://schemas.openxmlformats.org/officeDocument/2006/relationships/hyperlink" Target="http://www.fishbase.se/Summary/SpeciesSummary.php?ID=2593&amp;AT=atlantic+sturgeon" TargetMode="External"/><Relationship Id="rId62" Type="http://schemas.openxmlformats.org/officeDocument/2006/relationships/hyperlink" Target="http://www.fishbase.se/Summary/SpeciesSummary.php?ID=886&amp;AT=tiger+shark" TargetMode="External"/><Relationship Id="rId70" Type="http://schemas.openxmlformats.org/officeDocument/2006/relationships/hyperlink" Target="http://www.fishbase.se/Summary/SpeciesSummary.php?ID=853&amp;AT=chain+dogfish" TargetMode="External"/><Relationship Id="rId75" Type="http://schemas.openxmlformats.org/officeDocument/2006/relationships/hyperlink" Target="http://www.fishbase.se/Summary/SpeciesSummary.php?ID=905&amp;AT=atlantic+sharpnose+shark" TargetMode="External"/><Relationship Id="rId83" Type="http://schemas.openxmlformats.org/officeDocument/2006/relationships/hyperlink" Target="https://www.fisheries.noaa.gov/species/striped-dolphin" TargetMode="External"/><Relationship Id="rId88" Type="http://schemas.openxmlformats.org/officeDocument/2006/relationships/hyperlink" Target="https://www.fisheries.noaa.gov/species/kemps-ridley-turtle" TargetMode="External"/><Relationship Id="rId91" Type="http://schemas.openxmlformats.org/officeDocument/2006/relationships/hyperlink" Target="https://www.nefsc.noaa.gov/ecosys/ecosystem-ecology/seabirds.html" TargetMode="External"/><Relationship Id="rId1" Type="http://schemas.openxmlformats.org/officeDocument/2006/relationships/hyperlink" Target="http://www.fishbase.org/Summary/SpeciesSummary.php?ID=54736&amp;AT=chub+mackerel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1583&amp;AT=alewife" TargetMode="External"/><Relationship Id="rId28" Type="http://schemas.openxmlformats.org/officeDocument/2006/relationships/hyperlink" Target="http://www.fishbase.se/Summary/SpeciesSummary.php?ID=2700&amp;AT=herring+smelt" TargetMode="External"/><Relationship Id="rId36" Type="http://schemas.openxmlformats.org/officeDocument/2006/relationships/hyperlink" Target="https://www.fisheries.noaa.gov/species/minke-whale" TargetMode="External"/><Relationship Id="rId49" Type="http://schemas.openxmlformats.org/officeDocument/2006/relationships/hyperlink" Target="http://www.fishbase.se/Summary/SpeciesSummary.php?ID=2568&amp;AT=smooth+skate" TargetMode="External"/><Relationship Id="rId57" Type="http://schemas.openxmlformats.org/officeDocument/2006/relationships/hyperlink" Target="http://www.fishbase.se/Summary/SpeciesSummary.php?ID=752&amp;AT=bonito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1874&amp;AT=fourbeard+rockling" TargetMode="External"/><Relationship Id="rId44" Type="http://schemas.openxmlformats.org/officeDocument/2006/relationships/hyperlink" Target="http://www.fishbase.se/Summary/SpeciesSummary.php?ID=143&amp;AT=yellowfin+tuna" TargetMode="External"/><Relationship Id="rId52" Type="http://schemas.openxmlformats.org/officeDocument/2006/relationships/hyperlink" Target="http://www.fishbase.se/Summary/SpeciesSummary.php?ID=296&amp;AT=american+eel" TargetMode="External"/><Relationship Id="rId60" Type="http://schemas.openxmlformats.org/officeDocument/2006/relationships/hyperlink" Target="http://www.fishbase.se/Summary/SpeciesSummary.php?ID=868&amp;AT=silky+shark" TargetMode="External"/><Relationship Id="rId65" Type="http://schemas.openxmlformats.org/officeDocument/2006/relationships/hyperlink" Target="http://www.fishbase.se/Summary/SpeciesSummary.php?ID=4260&amp;AT=hogchoker" TargetMode="External"/><Relationship Id="rId73" Type="http://schemas.openxmlformats.org/officeDocument/2006/relationships/hyperlink" Target="http://www.fishbase.se/Summary/SpeciesSummary.php?ID=873&amp;AT=bull+shark" TargetMode="External"/><Relationship Id="rId78" Type="http://schemas.openxmlformats.org/officeDocument/2006/relationships/hyperlink" Target="http://www.fishbase.se/Summary/SpeciesSummary.php?ID=2534&amp;AT=bigeye+thresher" TargetMode="External"/><Relationship Id="rId81" Type="http://schemas.openxmlformats.org/officeDocument/2006/relationships/hyperlink" Target="http://www.nmfs.noaa.gov/pr/species/mammals/seals/hooded-seal.html" TargetMode="External"/><Relationship Id="rId86" Type="http://schemas.openxmlformats.org/officeDocument/2006/relationships/hyperlink" Target="https://www.fisheries.noaa.gov/species/north-atlantic-right-whale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51611&amp;AT=pearlsides" TargetMode="External"/><Relationship Id="rId34" Type="http://schemas.openxmlformats.org/officeDocument/2006/relationships/hyperlink" Target="https://www.fisheries.noaa.gov/species/fin-whale" TargetMode="External"/><Relationship Id="rId50" Type="http://schemas.openxmlformats.org/officeDocument/2006/relationships/hyperlink" Target="http://www.fishbase.se/Summary/SpeciesSummary.php?ID=2565&amp;AT=thorny+skate" TargetMode="External"/><Relationship Id="rId55" Type="http://schemas.openxmlformats.org/officeDocument/2006/relationships/hyperlink" Target="http://www.fishbase.se/Summary/SpeciesSummary.php?ID=878&amp;AT=dusky+shark" TargetMode="External"/><Relationship Id="rId76" Type="http://schemas.openxmlformats.org/officeDocument/2006/relationships/hyperlink" Target="http://www.fishbase.se/Summary/SpeciesSummary.php?ID=912&amp;AT=scalloped+hammerhead" TargetMode="External"/><Relationship Id="rId7" Type="http://schemas.openxmlformats.org/officeDocument/2006/relationships/hyperlink" Target="http://www.fishbase.org/Summary/SpeciesSummary.php?ID=994&amp;AT=round+scad" TargetMode="External"/><Relationship Id="rId71" Type="http://schemas.openxmlformats.org/officeDocument/2006/relationships/hyperlink" Target="http://www.fishbase.se/Summary/SpeciesSummary.php?ID=731&amp;AT=atlantic+angel+shark" TargetMode="External"/><Relationship Id="rId92" Type="http://schemas.openxmlformats.org/officeDocument/2006/relationships/printerSettings" Target="../printerSettings/printerSettings2.bin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&amp;AT=smelt" TargetMode="External"/><Relationship Id="rId24" Type="http://schemas.openxmlformats.org/officeDocument/2006/relationships/hyperlink" Target="http://www.fishbase.se/Summary/SpeciesSummary.php?ID=1574&amp;AT=blueback+herring" TargetMode="External"/><Relationship Id="rId40" Type="http://schemas.openxmlformats.org/officeDocument/2006/relationships/hyperlink" Target="http://www.fishbase.se/Summary/SpeciesSummary.php?ID=144&amp;AT=blackfin+tuna" TargetMode="External"/><Relationship Id="rId45" Type="http://schemas.openxmlformats.org/officeDocument/2006/relationships/hyperlink" Target="http://www.fishbase.se/Summary/SpeciesSummary.php?ID=2553&amp;AT=atlantic+torpedo" TargetMode="External"/><Relationship Id="rId66" Type="http://schemas.openxmlformats.org/officeDocument/2006/relationships/hyperlink" Target="http://www.fishbase.se/Summary/SpeciesSummary.php?ID=4209&amp;AT=gulf+stream+flounder" TargetMode="External"/><Relationship Id="rId87" Type="http://schemas.openxmlformats.org/officeDocument/2006/relationships/hyperlink" Target="https://www.fisheries.noaa.gov/species/green-turtle" TargetMode="External"/><Relationship Id="rId61" Type="http://schemas.openxmlformats.org/officeDocument/2006/relationships/hyperlink" Target="http://www.fishbase.se/Summary/SpeciesSummary.php?ID=874&amp;AT=blacktip+shark" TargetMode="External"/><Relationship Id="rId82" Type="http://schemas.openxmlformats.org/officeDocument/2006/relationships/hyperlink" Target="https://www.fisheries.noaa.gov/species/harbor-porpoise" TargetMode="External"/><Relationship Id="rId19" Type="http://schemas.openxmlformats.org/officeDocument/2006/relationships/hyperlink" Target="http://www.fishbase.se/Summary/SpeciesSummary.php?ID=408&amp;AT=atlantic+croak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tabSelected="1" workbookViewId="0">
      <pane ySplit="1" topLeftCell="A2" activePane="bottomLeft" state="frozen"/>
      <selection pane="bottomLeft" activeCell="Z13" sqref="Z13"/>
    </sheetView>
  </sheetViews>
  <sheetFormatPr defaultColWidth="7.42578125" defaultRowHeight="15" x14ac:dyDescent="0.25"/>
  <cols>
    <col min="1" max="1" width="5.5703125" bestFit="1" customWidth="1"/>
    <col min="2" max="2" width="25" bestFit="1" customWidth="1"/>
    <col min="3" max="3" width="7" bestFit="1" customWidth="1"/>
    <col min="4" max="4" width="7.5703125" bestFit="1" customWidth="1"/>
    <col min="5" max="5" width="4.140625" bestFit="1" customWidth="1"/>
    <col min="6" max="11" width="12" bestFit="1" customWidth="1"/>
    <col min="12" max="12" width="8" bestFit="1" customWidth="1"/>
    <col min="13" max="13" width="6" bestFit="1" customWidth="1"/>
    <col min="14" max="20" width="12" bestFit="1" customWidth="1"/>
    <col min="21" max="21" width="12.7109375" bestFit="1" customWidth="1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123</v>
      </c>
      <c r="E1" s="1" t="s">
        <v>122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119</v>
      </c>
      <c r="P1" s="1" t="s">
        <v>118</v>
      </c>
      <c r="Q1" s="1" t="s">
        <v>120</v>
      </c>
      <c r="R1" s="1" t="s">
        <v>121</v>
      </c>
      <c r="S1" s="1" t="s">
        <v>243</v>
      </c>
      <c r="T1" s="1" t="s">
        <v>244</v>
      </c>
      <c r="U1" s="1" t="s">
        <v>245</v>
      </c>
    </row>
    <row r="2" spans="1:21" x14ac:dyDescent="0.25">
      <c r="A2" t="s">
        <v>12</v>
      </c>
      <c r="B2" t="s">
        <v>13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5.3575834208964013</v>
      </c>
      <c r="P2">
        <v>2.4605194854032746</v>
      </c>
      <c r="Q2">
        <v>5.913288837787249</v>
      </c>
      <c r="R2">
        <v>15.670215420136209</v>
      </c>
      <c r="S2">
        <v>13.8</v>
      </c>
      <c r="T2">
        <v>0.21</v>
      </c>
      <c r="U2">
        <v>-1.34</v>
      </c>
    </row>
    <row r="3" spans="1:21" x14ac:dyDescent="0.25">
      <c r="A3" t="s">
        <v>12</v>
      </c>
      <c r="B3" t="s">
        <v>13</v>
      </c>
      <c r="C3">
        <v>2</v>
      </c>
      <c r="D3">
        <v>1</v>
      </c>
      <c r="E3"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v>6.9567101230611028</v>
      </c>
      <c r="P3">
        <v>5.3868105799443802</v>
      </c>
      <c r="Q3">
        <v>12.945951886432059</v>
      </c>
      <c r="R3">
        <v>34.306772499044953</v>
      </c>
      <c r="S3">
        <v>13.8</v>
      </c>
      <c r="T3">
        <v>0.21</v>
      </c>
      <c r="U3">
        <v>-1.34</v>
      </c>
    </row>
    <row r="4" spans="1:21" x14ac:dyDescent="0.25">
      <c r="A4" t="s">
        <v>12</v>
      </c>
      <c r="B4" t="s">
        <v>13</v>
      </c>
      <c r="C4">
        <v>3</v>
      </c>
      <c r="D4">
        <v>1</v>
      </c>
      <c r="E4"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v>8.2529370351460702</v>
      </c>
      <c r="P4">
        <v>8.9938487101930562</v>
      </c>
      <c r="Q4">
        <v>21.614632805078241</v>
      </c>
      <c r="R4">
        <v>57.278776933457337</v>
      </c>
      <c r="S4">
        <v>13.8</v>
      </c>
      <c r="T4">
        <v>0.21</v>
      </c>
      <c r="U4">
        <v>-1.34</v>
      </c>
    </row>
    <row r="5" spans="1:21" x14ac:dyDescent="0.25">
      <c r="A5" t="s">
        <v>12</v>
      </c>
      <c r="B5" t="s">
        <v>13</v>
      </c>
      <c r="C5">
        <v>4</v>
      </c>
      <c r="D5">
        <v>1</v>
      </c>
      <c r="E5"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v>9.3036381492847262</v>
      </c>
      <c r="P5">
        <v>12.884821758897537</v>
      </c>
      <c r="Q5">
        <v>30.965685553707132</v>
      </c>
      <c r="R5">
        <v>82.059066717323901</v>
      </c>
      <c r="S5">
        <v>13.8</v>
      </c>
      <c r="T5">
        <v>0.21</v>
      </c>
      <c r="U5">
        <v>-1.34</v>
      </c>
    </row>
    <row r="6" spans="1:21" x14ac:dyDescent="0.25">
      <c r="A6" t="s">
        <v>12</v>
      </c>
      <c r="B6" t="s">
        <v>13</v>
      </c>
      <c r="C6">
        <v>5</v>
      </c>
      <c r="D6">
        <v>1</v>
      </c>
      <c r="E6"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v>10.155319919628846</v>
      </c>
      <c r="P6">
        <v>16.757175219079862</v>
      </c>
      <c r="Q6">
        <v>40.271990432780257</v>
      </c>
      <c r="R6">
        <v>106.72077464686768</v>
      </c>
      <c r="S6">
        <v>13.8</v>
      </c>
      <c r="T6">
        <v>0.21</v>
      </c>
      <c r="U6">
        <v>-1.34</v>
      </c>
    </row>
    <row r="7" spans="1:21" x14ac:dyDescent="0.25">
      <c r="A7" t="s">
        <v>12</v>
      </c>
      <c r="B7" t="s">
        <v>13</v>
      </c>
      <c r="C7">
        <v>6</v>
      </c>
      <c r="D7">
        <v>1</v>
      </c>
      <c r="E7"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v>10.845679745249786</v>
      </c>
      <c r="P7">
        <v>20.412223342122143</v>
      </c>
      <c r="Q7">
        <v>49.056052252156078</v>
      </c>
      <c r="R7">
        <v>129.99853846821361</v>
      </c>
      <c r="S7">
        <v>13.8</v>
      </c>
      <c r="T7">
        <v>0.21</v>
      </c>
      <c r="U7">
        <v>-1.34</v>
      </c>
    </row>
    <row r="8" spans="1:21" x14ac:dyDescent="0.25">
      <c r="A8" t="s">
        <v>12</v>
      </c>
      <c r="B8" t="s">
        <v>13</v>
      </c>
      <c r="C8">
        <v>7</v>
      </c>
      <c r="D8">
        <v>1</v>
      </c>
      <c r="E8"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v>11.405274543948847</v>
      </c>
      <c r="P8">
        <v>23.737622253013647</v>
      </c>
      <c r="Q8">
        <v>57.047878522022707</v>
      </c>
      <c r="R8">
        <v>151.17687808336018</v>
      </c>
      <c r="S8">
        <v>13.8</v>
      </c>
      <c r="T8">
        <v>0.21</v>
      </c>
      <c r="U8">
        <v>-1.34</v>
      </c>
    </row>
    <row r="9" spans="1:21" x14ac:dyDescent="0.25">
      <c r="A9" t="s">
        <v>12</v>
      </c>
      <c r="B9" t="s">
        <v>13</v>
      </c>
      <c r="C9">
        <v>8</v>
      </c>
      <c r="D9">
        <v>1</v>
      </c>
      <c r="E9"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v>11.858873271901164</v>
      </c>
      <c r="P9">
        <v>26.683959132750129</v>
      </c>
      <c r="Q9">
        <v>64.128716973684519</v>
      </c>
      <c r="R9">
        <v>169.94109998026397</v>
      </c>
      <c r="S9">
        <v>13.8</v>
      </c>
      <c r="T9">
        <v>0.21</v>
      </c>
      <c r="U9">
        <v>-1.34</v>
      </c>
    </row>
    <row r="10" spans="1:21" x14ac:dyDescent="0.25">
      <c r="A10" t="s">
        <v>12</v>
      </c>
      <c r="B10" t="s">
        <v>13</v>
      </c>
      <c r="C10">
        <v>9</v>
      </c>
      <c r="D10">
        <v>1</v>
      </c>
      <c r="E10"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v>12.22655325477143</v>
      </c>
      <c r="P10">
        <v>29.243686140799834</v>
      </c>
      <c r="Q10">
        <v>70.280428120163023</v>
      </c>
      <c r="R10">
        <v>186.24313451843202</v>
      </c>
      <c r="S10">
        <v>13.8</v>
      </c>
      <c r="T10">
        <v>0.21</v>
      </c>
      <c r="U10">
        <v>-1.34</v>
      </c>
    </row>
    <row r="11" spans="1:21" x14ac:dyDescent="0.25">
      <c r="A11" t="s">
        <v>12</v>
      </c>
      <c r="B11" t="s">
        <v>13</v>
      </c>
      <c r="C11">
        <v>10</v>
      </c>
      <c r="D11">
        <v>1</v>
      </c>
      <c r="E11"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v>12.524588856444653</v>
      </c>
      <c r="P11">
        <v>31.434779428319086</v>
      </c>
      <c r="Q11">
        <v>75.546213478296281</v>
      </c>
      <c r="R11">
        <v>200.19746571748513</v>
      </c>
      <c r="S11">
        <v>13.8</v>
      </c>
      <c r="T11">
        <v>0.21</v>
      </c>
      <c r="U11">
        <v>-1.34</v>
      </c>
    </row>
    <row r="12" spans="1:21" x14ac:dyDescent="0.25">
      <c r="A12" t="s">
        <v>14</v>
      </c>
      <c r="B12" t="s">
        <v>15</v>
      </c>
      <c r="C12">
        <v>1</v>
      </c>
      <c r="D12">
        <v>3</v>
      </c>
      <c r="E12"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2.5999999999999999E-2</v>
      </c>
      <c r="M12">
        <v>2.79</v>
      </c>
      <c r="N12">
        <v>30.046246140000001</v>
      </c>
      <c r="O12">
        <v>48.279812187087352</v>
      </c>
      <c r="P12">
        <v>1296.2217182591039</v>
      </c>
      <c r="Q12">
        <v>3115.168753326373</v>
      </c>
      <c r="R12">
        <v>8255.1971963148881</v>
      </c>
      <c r="S12">
        <v>314.89999999999998</v>
      </c>
      <c r="T12">
        <v>8.8999999999999996E-2</v>
      </c>
      <c r="U12">
        <v>1.1299999999999999</v>
      </c>
    </row>
    <row r="13" spans="1:21" x14ac:dyDescent="0.25">
      <c r="A13" t="s">
        <v>14</v>
      </c>
      <c r="B13" t="s">
        <v>15</v>
      </c>
      <c r="C13">
        <v>2</v>
      </c>
      <c r="D13">
        <v>3</v>
      </c>
      <c r="E13"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2.79</v>
      </c>
      <c r="N13">
        <v>145.55493849999999</v>
      </c>
      <c r="O13">
        <v>110.7561018826123</v>
      </c>
      <c r="P13">
        <v>13144.955654073328</v>
      </c>
      <c r="Q13">
        <v>31590.857135480237</v>
      </c>
      <c r="R13">
        <v>83715.771409022622</v>
      </c>
      <c r="S13">
        <v>314.89999999999998</v>
      </c>
      <c r="T13">
        <v>8.8999999999999996E-2</v>
      </c>
      <c r="U13">
        <v>1.1299999999999999</v>
      </c>
    </row>
    <row r="14" spans="1:21" x14ac:dyDescent="0.25">
      <c r="A14" t="s">
        <v>14</v>
      </c>
      <c r="B14" t="s">
        <v>15</v>
      </c>
      <c r="C14">
        <v>3</v>
      </c>
      <c r="D14">
        <v>3</v>
      </c>
      <c r="E14"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2.79</v>
      </c>
      <c r="N14">
        <v>181.035417</v>
      </c>
      <c r="O14">
        <v>158.59251450754539</v>
      </c>
      <c r="P14">
        <v>35790.028072359688</v>
      </c>
      <c r="Q14">
        <v>86013.045115019675</v>
      </c>
      <c r="R14">
        <v>227934.56955480212</v>
      </c>
      <c r="S14">
        <v>314.89999999999998</v>
      </c>
      <c r="T14">
        <v>8.8999999999999996E-2</v>
      </c>
      <c r="U14">
        <v>1.1299999999999999</v>
      </c>
    </row>
    <row r="15" spans="1:21" x14ac:dyDescent="0.25">
      <c r="A15" t="s">
        <v>14</v>
      </c>
      <c r="B15" t="s">
        <v>15</v>
      </c>
      <c r="C15">
        <v>4</v>
      </c>
      <c r="D15">
        <v>3</v>
      </c>
      <c r="E15"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2.79</v>
      </c>
      <c r="N15">
        <v>197.1142183</v>
      </c>
      <c r="O15">
        <v>195.21956748996291</v>
      </c>
      <c r="P15">
        <v>63904.800593289401</v>
      </c>
      <c r="Q15">
        <v>153580.3907553218</v>
      </c>
      <c r="R15">
        <v>406988.03550160275</v>
      </c>
      <c r="S15">
        <v>314.89999999999998</v>
      </c>
      <c r="T15">
        <v>8.8999999999999996E-2</v>
      </c>
      <c r="U15">
        <v>1.1299999999999999</v>
      </c>
    </row>
    <row r="16" spans="1:21" x14ac:dyDescent="0.25">
      <c r="A16" t="s">
        <v>14</v>
      </c>
      <c r="B16" t="s">
        <v>15</v>
      </c>
      <c r="C16">
        <v>5</v>
      </c>
      <c r="D16">
        <v>3</v>
      </c>
      <c r="E16"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2.79</v>
      </c>
      <c r="N16">
        <v>204.3636362</v>
      </c>
      <c r="O16">
        <v>223.26391564573552</v>
      </c>
      <c r="P16">
        <v>92934.52141499547</v>
      </c>
      <c r="Q16">
        <v>223346.60277576419</v>
      </c>
      <c r="R16">
        <v>591868.49735577509</v>
      </c>
      <c r="S16">
        <v>314.89999999999998</v>
      </c>
      <c r="T16">
        <v>8.8999999999999996E-2</v>
      </c>
      <c r="U16">
        <v>1.1299999999999999</v>
      </c>
    </row>
    <row r="17" spans="1:21" x14ac:dyDescent="0.25">
      <c r="A17" t="s">
        <v>14</v>
      </c>
      <c r="B17" t="s">
        <v>15</v>
      </c>
      <c r="C17">
        <v>6</v>
      </c>
      <c r="D17">
        <v>3</v>
      </c>
      <c r="E17"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2.79</v>
      </c>
      <c r="N17">
        <v>207.62604619999999</v>
      </c>
      <c r="O17">
        <v>244.73671783541019</v>
      </c>
      <c r="P17">
        <v>120072.60272624133</v>
      </c>
      <c r="Q17">
        <v>288566.6972512409</v>
      </c>
      <c r="R17">
        <v>764701.74771578831</v>
      </c>
      <c r="S17">
        <v>314.89999999999998</v>
      </c>
      <c r="T17">
        <v>8.8999999999999996E-2</v>
      </c>
      <c r="U17">
        <v>1.1299999999999999</v>
      </c>
    </row>
    <row r="18" spans="1:21" x14ac:dyDescent="0.25">
      <c r="A18" t="s">
        <v>14</v>
      </c>
      <c r="B18" t="s">
        <v>15</v>
      </c>
      <c r="C18">
        <v>7</v>
      </c>
      <c r="D18">
        <v>3</v>
      </c>
      <c r="E18"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2.79</v>
      </c>
      <c r="N18">
        <v>209.0929592</v>
      </c>
      <c r="O18">
        <v>261.1778642409468</v>
      </c>
      <c r="P18">
        <v>143954.68698504375</v>
      </c>
      <c r="Q18">
        <v>345961.75675328949</v>
      </c>
      <c r="R18">
        <v>916798.65539621713</v>
      </c>
      <c r="S18">
        <v>314.89999999999998</v>
      </c>
      <c r="T18">
        <v>8.8999999999999996E-2</v>
      </c>
      <c r="U18">
        <v>1.1299999999999999</v>
      </c>
    </row>
    <row r="19" spans="1:21" x14ac:dyDescent="0.25">
      <c r="A19" t="s">
        <v>14</v>
      </c>
      <c r="B19" t="s">
        <v>15</v>
      </c>
      <c r="C19">
        <v>8</v>
      </c>
      <c r="D19">
        <v>3</v>
      </c>
      <c r="E19"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2.79</v>
      </c>
      <c r="N19">
        <v>209.75221239999999</v>
      </c>
      <c r="O19">
        <v>273.76640730768594</v>
      </c>
      <c r="P19">
        <v>164158.73057242404</v>
      </c>
      <c r="Q19">
        <v>394517.49716996879</v>
      </c>
      <c r="R19">
        <v>1045471.3675004173</v>
      </c>
      <c r="S19">
        <v>314.89999999999998</v>
      </c>
      <c r="T19">
        <v>8.8999999999999996E-2</v>
      </c>
      <c r="U19">
        <v>1.1299999999999999</v>
      </c>
    </row>
    <row r="20" spans="1:21" x14ac:dyDescent="0.25">
      <c r="A20" t="s">
        <v>14</v>
      </c>
      <c r="B20" t="s">
        <v>15</v>
      </c>
      <c r="C20">
        <v>9</v>
      </c>
      <c r="D20">
        <v>3</v>
      </c>
      <c r="E20"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2.79</v>
      </c>
      <c r="N20">
        <v>210.0486598</v>
      </c>
      <c r="O20">
        <v>283.40511574287024</v>
      </c>
      <c r="P20">
        <v>180796.82117725868</v>
      </c>
      <c r="Q20">
        <v>434503.29530703841</v>
      </c>
      <c r="R20">
        <v>1151433.7325636516</v>
      </c>
      <c r="S20">
        <v>314.89999999999998</v>
      </c>
      <c r="T20">
        <v>8.8999999999999996E-2</v>
      </c>
      <c r="U20">
        <v>1.1299999999999999</v>
      </c>
    </row>
    <row r="21" spans="1:21" x14ac:dyDescent="0.25">
      <c r="A21" t="s">
        <v>14</v>
      </c>
      <c r="B21" t="s">
        <v>15</v>
      </c>
      <c r="C21">
        <v>10</v>
      </c>
      <c r="D21">
        <v>3</v>
      </c>
      <c r="E21"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2.79</v>
      </c>
      <c r="N21">
        <v>210.18147250000001</v>
      </c>
      <c r="O21">
        <v>290.785215235397</v>
      </c>
      <c r="P21">
        <v>194240.65083009008</v>
      </c>
      <c r="Q21">
        <v>466812.42689279042</v>
      </c>
      <c r="R21">
        <v>1237052.9312658946</v>
      </c>
      <c r="S21">
        <v>314.89999999999998</v>
      </c>
      <c r="T21">
        <v>8.8999999999999996E-2</v>
      </c>
      <c r="U21">
        <v>1.1299999999999999</v>
      </c>
    </row>
    <row r="22" spans="1:21" x14ac:dyDescent="0.25">
      <c r="A22" t="s">
        <v>16</v>
      </c>
      <c r="B22" t="s">
        <v>17</v>
      </c>
      <c r="C22">
        <v>1</v>
      </c>
      <c r="D22">
        <v>3</v>
      </c>
      <c r="E22"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v>33.658006569474125</v>
      </c>
      <c r="P22">
        <v>708.91703154675884</v>
      </c>
      <c r="Q22">
        <v>1703.7179320998771</v>
      </c>
      <c r="R22">
        <v>4514.8525200646745</v>
      </c>
      <c r="S22">
        <v>358.7</v>
      </c>
      <c r="T22">
        <v>9.1999999999999998E-2</v>
      </c>
      <c r="U22">
        <v>1.929</v>
      </c>
    </row>
    <row r="23" spans="1:21" x14ac:dyDescent="0.25">
      <c r="A23" t="s">
        <v>16</v>
      </c>
      <c r="B23" t="s">
        <v>17</v>
      </c>
      <c r="C23">
        <v>2</v>
      </c>
      <c r="D23">
        <v>3</v>
      </c>
      <c r="E23"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v>112.05393234450648</v>
      </c>
      <c r="P23">
        <v>24929.754124324838</v>
      </c>
      <c r="Q23">
        <v>59912.891430725394</v>
      </c>
      <c r="R23">
        <v>158769.16229142228</v>
      </c>
      <c r="S23">
        <v>358.7</v>
      </c>
      <c r="T23">
        <v>9.1999999999999998E-2</v>
      </c>
      <c r="U23">
        <v>1.929</v>
      </c>
    </row>
    <row r="24" spans="1:21" x14ac:dyDescent="0.25">
      <c r="A24" t="s">
        <v>16</v>
      </c>
      <c r="B24" t="s">
        <v>17</v>
      </c>
      <c r="C24">
        <v>3</v>
      </c>
      <c r="D24">
        <v>3</v>
      </c>
      <c r="E24"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v>171.54177454159952</v>
      </c>
      <c r="P24">
        <v>87932.348526784786</v>
      </c>
      <c r="Q24">
        <v>211325.03851666619</v>
      </c>
      <c r="R24">
        <v>560011.35206916532</v>
      </c>
      <c r="S24">
        <v>358.7</v>
      </c>
      <c r="T24">
        <v>9.1999999999999998E-2</v>
      </c>
      <c r="U24">
        <v>1.929</v>
      </c>
    </row>
    <row r="25" spans="1:21" x14ac:dyDescent="0.25">
      <c r="A25" t="s">
        <v>16</v>
      </c>
      <c r="B25" t="s">
        <v>17</v>
      </c>
      <c r="C25">
        <v>4</v>
      </c>
      <c r="D25">
        <v>3</v>
      </c>
      <c r="E25"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v>216.68191842383794</v>
      </c>
      <c r="P25">
        <v>175569.42327319883</v>
      </c>
      <c r="Q25">
        <v>421940.45487430628</v>
      </c>
      <c r="R25">
        <v>1118142.2054169115</v>
      </c>
      <c r="S25">
        <v>358.7</v>
      </c>
      <c r="T25">
        <v>9.1999999999999998E-2</v>
      </c>
      <c r="U25">
        <v>1.929</v>
      </c>
    </row>
    <row r="26" spans="1:21" x14ac:dyDescent="0.25">
      <c r="A26" t="s">
        <v>16</v>
      </c>
      <c r="B26" t="s">
        <v>17</v>
      </c>
      <c r="C26">
        <v>5</v>
      </c>
      <c r="D26">
        <v>3</v>
      </c>
      <c r="E26"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v>250.9348432981034</v>
      </c>
      <c r="P26">
        <v>271090.46444670385</v>
      </c>
      <c r="Q26">
        <v>651503.15896828612</v>
      </c>
      <c r="R26">
        <v>1726483.3712659581</v>
      </c>
      <c r="S26">
        <v>358.7</v>
      </c>
      <c r="T26">
        <v>9.1999999999999998E-2</v>
      </c>
      <c r="U26">
        <v>1.929</v>
      </c>
    </row>
    <row r="27" spans="1:21" x14ac:dyDescent="0.25">
      <c r="A27" t="s">
        <v>16</v>
      </c>
      <c r="B27" t="s">
        <v>17</v>
      </c>
      <c r="C27">
        <v>6</v>
      </c>
      <c r="D27">
        <v>3</v>
      </c>
      <c r="E27"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v>276.92640560908939</v>
      </c>
      <c r="P27">
        <v>362921.17215070536</v>
      </c>
      <c r="Q27">
        <v>872197.00108316599</v>
      </c>
      <c r="R27">
        <v>2311322.05287039</v>
      </c>
      <c r="S27">
        <v>358.7</v>
      </c>
      <c r="T27">
        <v>9.1999999999999998E-2</v>
      </c>
      <c r="U27">
        <v>1.929</v>
      </c>
    </row>
    <row r="28" spans="1:21" x14ac:dyDescent="0.25">
      <c r="A28" t="s">
        <v>16</v>
      </c>
      <c r="B28" t="s">
        <v>17</v>
      </c>
      <c r="C28">
        <v>7</v>
      </c>
      <c r="D28">
        <v>3</v>
      </c>
      <c r="E28"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v>296.64913918135215</v>
      </c>
      <c r="P28">
        <v>444890.69960510544</v>
      </c>
      <c r="Q28">
        <v>1069191.7798728803</v>
      </c>
      <c r="R28">
        <v>2833358.2166631329</v>
      </c>
      <c r="S28">
        <v>358.7</v>
      </c>
      <c r="T28">
        <v>9.1999999999999998E-2</v>
      </c>
      <c r="U28">
        <v>1.929</v>
      </c>
    </row>
    <row r="29" spans="1:21" x14ac:dyDescent="0.25">
      <c r="A29" t="s">
        <v>16</v>
      </c>
      <c r="B29" t="s">
        <v>17</v>
      </c>
      <c r="C29">
        <v>8</v>
      </c>
      <c r="D29">
        <v>3</v>
      </c>
      <c r="E29"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v>311.61500444594395</v>
      </c>
      <c r="P29">
        <v>514664.39223162003</v>
      </c>
      <c r="Q29">
        <v>1236876.6936592644</v>
      </c>
      <c r="R29">
        <v>3277723.2381970505</v>
      </c>
      <c r="S29">
        <v>358.7</v>
      </c>
      <c r="T29">
        <v>9.1999999999999998E-2</v>
      </c>
      <c r="U29">
        <v>1.929</v>
      </c>
    </row>
    <row r="30" spans="1:21" x14ac:dyDescent="0.25">
      <c r="A30" t="s">
        <v>16</v>
      </c>
      <c r="B30" t="s">
        <v>17</v>
      </c>
      <c r="C30">
        <v>9</v>
      </c>
      <c r="D30">
        <v>3</v>
      </c>
      <c r="E30"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v>322.97129652874668</v>
      </c>
      <c r="P30">
        <v>572188.33147296752</v>
      </c>
      <c r="Q30">
        <v>1375122.1616750001</v>
      </c>
      <c r="R30">
        <v>3644073.7284387499</v>
      </c>
      <c r="S30">
        <v>358.7</v>
      </c>
      <c r="T30">
        <v>9.1999999999999998E-2</v>
      </c>
      <c r="U30">
        <v>1.929</v>
      </c>
    </row>
    <row r="31" spans="1:21" x14ac:dyDescent="0.25">
      <c r="A31" t="s">
        <v>16</v>
      </c>
      <c r="B31" t="s">
        <v>17</v>
      </c>
      <c r="C31">
        <v>10</v>
      </c>
      <c r="D31">
        <v>3</v>
      </c>
      <c r="E31"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v>331.58859780667893</v>
      </c>
      <c r="P31">
        <v>618569.57439944637</v>
      </c>
      <c r="Q31">
        <v>1486588.7392440429</v>
      </c>
      <c r="R31">
        <v>3939460.1589967133</v>
      </c>
      <c r="S31">
        <v>358.7</v>
      </c>
      <c r="T31">
        <v>9.1999999999999998E-2</v>
      </c>
      <c r="U31">
        <v>1.929</v>
      </c>
    </row>
    <row r="32" spans="1:21" x14ac:dyDescent="0.25">
      <c r="A32" t="s">
        <v>18</v>
      </c>
      <c r="B32" t="s">
        <v>19</v>
      </c>
      <c r="C32">
        <v>1</v>
      </c>
      <c r="D32">
        <v>1</v>
      </c>
      <c r="E32"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v>27.04251454215013</v>
      </c>
      <c r="P32">
        <v>156.43329523840328</v>
      </c>
      <c r="Q32">
        <v>375.95120220716962</v>
      </c>
      <c r="R32">
        <v>996.27068584899939</v>
      </c>
      <c r="S32">
        <v>81.53</v>
      </c>
      <c r="T32">
        <v>0.31</v>
      </c>
      <c r="U32">
        <v>-0.3</v>
      </c>
    </row>
    <row r="33" spans="1:21" x14ac:dyDescent="0.25">
      <c r="A33" t="s">
        <v>18</v>
      </c>
      <c r="B33" t="s">
        <v>19</v>
      </c>
      <c r="C33">
        <v>2</v>
      </c>
      <c r="D33">
        <v>1</v>
      </c>
      <c r="E33"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v>41.56631963862479</v>
      </c>
      <c r="P33">
        <v>544.18084001262002</v>
      </c>
      <c r="Q33">
        <v>1307.8126412223505</v>
      </c>
      <c r="R33">
        <v>3465.7034992392287</v>
      </c>
      <c r="S33">
        <v>81.53</v>
      </c>
      <c r="T33">
        <v>0.31</v>
      </c>
      <c r="U33">
        <v>-0.3</v>
      </c>
    </row>
    <row r="34" spans="1:21" x14ac:dyDescent="0.25">
      <c r="A34" t="s">
        <v>18</v>
      </c>
      <c r="B34" t="s">
        <v>19</v>
      </c>
      <c r="C34">
        <v>3</v>
      </c>
      <c r="D34">
        <v>1</v>
      </c>
      <c r="E34"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v>52.218760279428949</v>
      </c>
      <c r="P34">
        <v>1054.604695513153</v>
      </c>
      <c r="Q34">
        <v>2534.4981867655683</v>
      </c>
      <c r="R34">
        <v>6716.4201949287562</v>
      </c>
      <c r="S34">
        <v>81.53</v>
      </c>
      <c r="T34">
        <v>0.31</v>
      </c>
      <c r="U34">
        <v>-0.3</v>
      </c>
    </row>
    <row r="35" spans="1:21" x14ac:dyDescent="0.25">
      <c r="A35" t="s">
        <v>18</v>
      </c>
      <c r="B35" t="s">
        <v>19</v>
      </c>
      <c r="C35">
        <v>4</v>
      </c>
      <c r="D35">
        <v>1</v>
      </c>
      <c r="E35"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v>60.031760443786673</v>
      </c>
      <c r="P35">
        <v>1580.1481796745711</v>
      </c>
      <c r="Q35">
        <v>3797.5202587708991</v>
      </c>
      <c r="R35">
        <v>10063.428685742881</v>
      </c>
      <c r="S35">
        <v>81.53</v>
      </c>
      <c r="T35">
        <v>0.31</v>
      </c>
      <c r="U35">
        <v>-0.3</v>
      </c>
    </row>
    <row r="36" spans="1:21" x14ac:dyDescent="0.25">
      <c r="A36" t="s">
        <v>18</v>
      </c>
      <c r="B36" t="s">
        <v>19</v>
      </c>
      <c r="C36">
        <v>5</v>
      </c>
      <c r="D36">
        <v>1</v>
      </c>
      <c r="E36"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v>65.762181633314725</v>
      </c>
      <c r="P36">
        <v>2058.3712194880914</v>
      </c>
      <c r="Q36">
        <v>4946.8186000675105</v>
      </c>
      <c r="R36">
        <v>13109.069290178903</v>
      </c>
      <c r="S36">
        <v>81.53</v>
      </c>
      <c r="T36">
        <v>0.31</v>
      </c>
      <c r="U36">
        <v>-0.3</v>
      </c>
    </row>
    <row r="37" spans="1:21" x14ac:dyDescent="0.25">
      <c r="A37" t="s">
        <v>18</v>
      </c>
      <c r="B37" t="s">
        <v>19</v>
      </c>
      <c r="C37">
        <v>6</v>
      </c>
      <c r="D37">
        <v>1</v>
      </c>
      <c r="E37"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v>69.965141612657234</v>
      </c>
      <c r="P37">
        <v>2463.4835460760773</v>
      </c>
      <c r="Q37">
        <v>5920.4122712715152</v>
      </c>
      <c r="R37">
        <v>15689.092518869515</v>
      </c>
      <c r="S37">
        <v>81.53</v>
      </c>
      <c r="T37">
        <v>0.31</v>
      </c>
      <c r="U37">
        <v>-0.3</v>
      </c>
    </row>
    <row r="38" spans="1:21" x14ac:dyDescent="0.25">
      <c r="A38" t="s">
        <v>18</v>
      </c>
      <c r="B38" t="s">
        <v>19</v>
      </c>
      <c r="C38">
        <v>7</v>
      </c>
      <c r="D38">
        <v>1</v>
      </c>
      <c r="E38"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v>73.047789816638513</v>
      </c>
      <c r="P38">
        <v>2791.6001798030729</v>
      </c>
      <c r="Q38">
        <v>6708.9646234152196</v>
      </c>
      <c r="R38">
        <v>17778.756252050331</v>
      </c>
      <c r="S38">
        <v>81.53</v>
      </c>
      <c r="T38">
        <v>0.31</v>
      </c>
      <c r="U38">
        <v>-0.3</v>
      </c>
    </row>
    <row r="39" spans="1:21" x14ac:dyDescent="0.25">
      <c r="A39" t="s">
        <v>18</v>
      </c>
      <c r="B39" t="s">
        <v>19</v>
      </c>
      <c r="C39">
        <v>8</v>
      </c>
      <c r="D39">
        <v>1</v>
      </c>
      <c r="E39"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v>75.308748758958842</v>
      </c>
      <c r="P39">
        <v>3049.6109460014923</v>
      </c>
      <c r="Q39">
        <v>7329.0337563121666</v>
      </c>
      <c r="R39">
        <v>19421.939454227242</v>
      </c>
      <c r="S39">
        <v>81.53</v>
      </c>
      <c r="T39">
        <v>0.31</v>
      </c>
      <c r="U39">
        <v>-0.3</v>
      </c>
    </row>
    <row r="40" spans="1:21" x14ac:dyDescent="0.25">
      <c r="A40" t="s">
        <v>18</v>
      </c>
      <c r="B40" t="s">
        <v>19</v>
      </c>
      <c r="C40">
        <v>9</v>
      </c>
      <c r="D40">
        <v>1</v>
      </c>
      <c r="E40"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v>76.967042213351789</v>
      </c>
      <c r="P40">
        <v>3248.4530720549787</v>
      </c>
      <c r="Q40">
        <v>7806.9047634101871</v>
      </c>
      <c r="R40">
        <v>20688.297623036997</v>
      </c>
      <c r="S40">
        <v>81.53</v>
      </c>
      <c r="T40">
        <v>0.31</v>
      </c>
      <c r="U40">
        <v>-0.3</v>
      </c>
    </row>
    <row r="41" spans="1:21" x14ac:dyDescent="0.25">
      <c r="A41" t="s">
        <v>18</v>
      </c>
      <c r="B41" t="s">
        <v>19</v>
      </c>
      <c r="C41">
        <v>10</v>
      </c>
      <c r="D41">
        <v>1</v>
      </c>
      <c r="E41"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v>78.183312500002941</v>
      </c>
      <c r="P41">
        <v>3399.5660148577499</v>
      </c>
      <c r="Q41">
        <v>8170.0697304920686</v>
      </c>
      <c r="R41">
        <v>21650.68478580398</v>
      </c>
      <c r="S41">
        <v>81.53</v>
      </c>
      <c r="T41">
        <v>0.31</v>
      </c>
      <c r="U41">
        <v>-0.3</v>
      </c>
    </row>
    <row r="42" spans="1:21" x14ac:dyDescent="0.25">
      <c r="A42" t="s">
        <v>20</v>
      </c>
      <c r="B42" t="s">
        <v>21</v>
      </c>
      <c r="C42">
        <v>1</v>
      </c>
      <c r="D42">
        <v>7</v>
      </c>
      <c r="E42" s="3"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v>219.26578008439506</v>
      </c>
      <c r="P42">
        <v>34260.67665967525</v>
      </c>
      <c r="Q42">
        <v>82337.603123468507</v>
      </c>
      <c r="R42">
        <v>218194.64827719153</v>
      </c>
      <c r="S42">
        <v>282</v>
      </c>
      <c r="T42">
        <v>0.18</v>
      </c>
      <c r="U42">
        <v>-1.35</v>
      </c>
    </row>
    <row r="43" spans="1:21" x14ac:dyDescent="0.25">
      <c r="A43" t="s">
        <v>20</v>
      </c>
      <c r="B43" t="s">
        <v>21</v>
      </c>
      <c r="C43">
        <v>2</v>
      </c>
      <c r="D43">
        <v>7</v>
      </c>
      <c r="E43" s="3"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v>264.20518592161659</v>
      </c>
      <c r="P43">
        <v>59938.707617156542</v>
      </c>
      <c r="Q43">
        <v>144048.80465550721</v>
      </c>
      <c r="R43">
        <v>381729.33233709406</v>
      </c>
      <c r="S43">
        <v>282</v>
      </c>
      <c r="T43">
        <v>0.18</v>
      </c>
      <c r="U43">
        <v>-1.35</v>
      </c>
    </row>
    <row r="44" spans="1:21" x14ac:dyDescent="0.25">
      <c r="A44" t="s">
        <v>20</v>
      </c>
      <c r="B44" t="s">
        <v>21</v>
      </c>
      <c r="C44">
        <v>3</v>
      </c>
      <c r="D44">
        <v>7</v>
      </c>
      <c r="E44" s="3"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v>276.95242933585172</v>
      </c>
      <c r="P44">
        <v>69039.700378839218</v>
      </c>
      <c r="Q44">
        <v>165920.93337860904</v>
      </c>
      <c r="R44">
        <v>439690.47345331393</v>
      </c>
      <c r="S44">
        <v>282</v>
      </c>
      <c r="T44">
        <v>0.18</v>
      </c>
      <c r="U44">
        <v>-1.35</v>
      </c>
    </row>
    <row r="45" spans="1:21" x14ac:dyDescent="0.25">
      <c r="A45" t="s">
        <v>20</v>
      </c>
      <c r="B45" t="s">
        <v>21</v>
      </c>
      <c r="C45">
        <v>4</v>
      </c>
      <c r="D45">
        <v>7</v>
      </c>
      <c r="E45" s="3"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v>280.56823625707221</v>
      </c>
      <c r="P45">
        <v>71779.2418875851</v>
      </c>
      <c r="Q45">
        <v>172504.78704057942</v>
      </c>
      <c r="R45">
        <v>457137.68565753545</v>
      </c>
      <c r="S45">
        <v>282</v>
      </c>
      <c r="T45">
        <v>0.18</v>
      </c>
      <c r="U45">
        <v>-1.35</v>
      </c>
    </row>
    <row r="46" spans="1:21" x14ac:dyDescent="0.25">
      <c r="A46" t="s">
        <v>20</v>
      </c>
      <c r="B46" t="s">
        <v>21</v>
      </c>
      <c r="C46">
        <v>5</v>
      </c>
      <c r="D46">
        <v>7</v>
      </c>
      <c r="E46" s="3"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v>281.59387444932219</v>
      </c>
      <c r="P46">
        <v>72569.306178378087</v>
      </c>
      <c r="Q46">
        <v>174403.5236202309</v>
      </c>
      <c r="R46">
        <v>462169.33759361185</v>
      </c>
      <c r="S46">
        <v>282</v>
      </c>
      <c r="T46">
        <v>0.18</v>
      </c>
      <c r="U46">
        <v>-1.35</v>
      </c>
    </row>
    <row r="47" spans="1:21" x14ac:dyDescent="0.25">
      <c r="A47" t="s">
        <v>20</v>
      </c>
      <c r="B47" t="s">
        <v>21</v>
      </c>
      <c r="C47">
        <v>6</v>
      </c>
      <c r="D47">
        <v>7</v>
      </c>
      <c r="E47" s="3"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v>281.88480085228576</v>
      </c>
      <c r="P47">
        <v>72794.461787243446</v>
      </c>
      <c r="Q47">
        <v>174944.632990251</v>
      </c>
      <c r="R47">
        <v>463603.27742416516</v>
      </c>
      <c r="S47">
        <v>282</v>
      </c>
      <c r="T47">
        <v>0.18</v>
      </c>
      <c r="U47">
        <v>-1.35</v>
      </c>
    </row>
    <row r="48" spans="1:21" x14ac:dyDescent="0.25">
      <c r="A48" t="s">
        <v>20</v>
      </c>
      <c r="B48" t="s">
        <v>21</v>
      </c>
      <c r="C48">
        <v>7</v>
      </c>
      <c r="D48">
        <v>7</v>
      </c>
      <c r="E48" s="3"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v>281.96732329790154</v>
      </c>
      <c r="P48">
        <v>72858.412760649226</v>
      </c>
      <c r="Q48">
        <v>175098.3243466696</v>
      </c>
      <c r="R48">
        <v>464010.55951867445</v>
      </c>
      <c r="S48">
        <v>282</v>
      </c>
      <c r="T48">
        <v>0.18</v>
      </c>
      <c r="U48">
        <v>-1.35</v>
      </c>
    </row>
    <row r="49" spans="1:21" x14ac:dyDescent="0.25">
      <c r="A49" t="s">
        <v>20</v>
      </c>
      <c r="B49" t="s">
        <v>21</v>
      </c>
      <c r="C49">
        <v>8</v>
      </c>
      <c r="D49">
        <v>7</v>
      </c>
      <c r="E49" s="3"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v>281.99073112187705</v>
      </c>
      <c r="P49">
        <v>72876.559528140191</v>
      </c>
      <c r="Q49">
        <v>175141.93590036096</v>
      </c>
      <c r="R49">
        <v>464126.13013595651</v>
      </c>
      <c r="S49">
        <v>282</v>
      </c>
      <c r="T49">
        <v>0.18</v>
      </c>
      <c r="U49">
        <v>-1.35</v>
      </c>
    </row>
    <row r="50" spans="1:21" x14ac:dyDescent="0.25">
      <c r="A50" t="s">
        <v>20</v>
      </c>
      <c r="B50" t="s">
        <v>21</v>
      </c>
      <c r="C50">
        <v>9</v>
      </c>
      <c r="D50">
        <v>7</v>
      </c>
      <c r="E50" s="3"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v>281.9973708453993</v>
      </c>
      <c r="P50">
        <v>72881.70748032369</v>
      </c>
      <c r="Q50">
        <v>175154.30781140036</v>
      </c>
      <c r="R50">
        <v>464158.91570021096</v>
      </c>
      <c r="S50">
        <v>282</v>
      </c>
      <c r="T50">
        <v>0.18</v>
      </c>
      <c r="U50">
        <v>-1.35</v>
      </c>
    </row>
    <row r="51" spans="1:21" x14ac:dyDescent="0.25">
      <c r="A51" t="s">
        <v>20</v>
      </c>
      <c r="B51" t="s">
        <v>21</v>
      </c>
      <c r="C51">
        <v>10</v>
      </c>
      <c r="D51">
        <v>7</v>
      </c>
      <c r="E51" s="3"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v>281.9992542297112</v>
      </c>
      <c r="P51">
        <v>72883.167761823832</v>
      </c>
      <c r="Q51">
        <v>175157.81725985062</v>
      </c>
      <c r="R51">
        <v>464168.21573860414</v>
      </c>
      <c r="S51">
        <v>282</v>
      </c>
      <c r="T51">
        <v>0.18</v>
      </c>
      <c r="U51">
        <v>-1.35</v>
      </c>
    </row>
    <row r="52" spans="1:21" x14ac:dyDescent="0.25">
      <c r="A52" s="3" t="s">
        <v>185</v>
      </c>
      <c r="B52" t="s">
        <v>194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v>20.469999999626999</v>
      </c>
      <c r="I52">
        <v>2.0469999999626998E-2</v>
      </c>
      <c r="J52">
        <v>2.0469999999626999E-5</v>
      </c>
      <c r="K52">
        <v>4.5128571399177669E-2</v>
      </c>
      <c r="L52" s="4">
        <v>1.1599999999999999E-2</v>
      </c>
      <c r="M52" s="4">
        <v>3</v>
      </c>
      <c r="N52">
        <v>12.084256948656494</v>
      </c>
      <c r="O52" s="3">
        <v>17.621741541719221</v>
      </c>
      <c r="P52" s="3">
        <v>63.475257401935856</v>
      </c>
      <c r="Q52" s="3">
        <v>152.54808315774056</v>
      </c>
      <c r="R52" s="3">
        <v>404.25242036801251</v>
      </c>
      <c r="S52" s="3">
        <v>29.172666666666665</v>
      </c>
      <c r="T52" s="3">
        <v>0.92646666666666677</v>
      </c>
      <c r="U52" s="3">
        <v>0</v>
      </c>
    </row>
    <row r="53" spans="1:21" x14ac:dyDescent="0.25">
      <c r="A53" s="3" t="s">
        <v>185</v>
      </c>
      <c r="B53" t="s">
        <v>194</v>
      </c>
      <c r="C53">
        <v>2</v>
      </c>
      <c r="D53">
        <v>1</v>
      </c>
      <c r="E53">
        <v>2</v>
      </c>
      <c r="F53">
        <v>86.10910835</v>
      </c>
      <c r="G53">
        <v>228.18913710000001</v>
      </c>
      <c r="H53">
        <v>35.829999984435005</v>
      </c>
      <c r="I53">
        <v>3.5829999984435007E-2</v>
      </c>
      <c r="J53">
        <v>3.5829999984435005E-5</v>
      </c>
      <c r="K53">
        <v>7.8991534565685098E-2</v>
      </c>
      <c r="L53" s="4">
        <v>1.1599999999999999E-2</v>
      </c>
      <c r="M53" s="4">
        <v>3</v>
      </c>
      <c r="N53">
        <v>14.563405416509527</v>
      </c>
      <c r="O53" s="3">
        <v>24.599074791550386</v>
      </c>
      <c r="P53" s="3">
        <v>172.6689738425456</v>
      </c>
      <c r="Q53" s="3">
        <v>414.9698962810516</v>
      </c>
      <c r="R53" s="3">
        <v>1099.6702251447866</v>
      </c>
      <c r="S53" s="3">
        <v>29.172666666666665</v>
      </c>
      <c r="T53" s="3">
        <v>0.92646666666666677</v>
      </c>
      <c r="U53" s="3">
        <v>0</v>
      </c>
    </row>
    <row r="54" spans="1:21" x14ac:dyDescent="0.25">
      <c r="A54" s="3" t="s">
        <v>185</v>
      </c>
      <c r="B54" t="s">
        <v>194</v>
      </c>
      <c r="C54">
        <v>3</v>
      </c>
      <c r="D54">
        <v>1</v>
      </c>
      <c r="E54">
        <v>3</v>
      </c>
      <c r="F54">
        <v>123.02331169999999</v>
      </c>
      <c r="G54">
        <v>326.011776</v>
      </c>
      <c r="H54">
        <v>51.189999998369998</v>
      </c>
      <c r="I54">
        <v>5.1189999998369998E-2</v>
      </c>
      <c r="J54">
        <v>5.118999999837E-5</v>
      </c>
      <c r="K54">
        <v>0.11285449779640645</v>
      </c>
      <c r="L54" s="4">
        <v>1.1599999999999999E-2</v>
      </c>
      <c r="M54" s="4">
        <v>3</v>
      </c>
      <c r="N54">
        <v>16.402462244751348</v>
      </c>
      <c r="O54" s="3">
        <v>27.361751747397392</v>
      </c>
      <c r="P54" s="3">
        <v>237.62366170011049</v>
      </c>
      <c r="Q54" s="3">
        <v>571.0734479695036</v>
      </c>
      <c r="R54" s="3">
        <v>1513.3446371191844</v>
      </c>
      <c r="S54" s="3">
        <v>29.172666666666665</v>
      </c>
      <c r="T54" s="3">
        <v>0.92646666666666677</v>
      </c>
      <c r="U54" s="3">
        <v>0</v>
      </c>
    </row>
    <row r="55" spans="1:21" x14ac:dyDescent="0.25">
      <c r="A55" s="3" t="s">
        <v>185</v>
      </c>
      <c r="B55" t="s">
        <v>194</v>
      </c>
      <c r="C55">
        <v>4</v>
      </c>
      <c r="D55">
        <v>1</v>
      </c>
      <c r="E55">
        <v>4</v>
      </c>
      <c r="F55">
        <v>164.56380680000001</v>
      </c>
      <c r="G55">
        <v>436.094088</v>
      </c>
      <c r="H55">
        <v>68.475000009479999</v>
      </c>
      <c r="I55">
        <v>6.8475000009479994E-2</v>
      </c>
      <c r="J55">
        <v>6.847500000947999E-5</v>
      </c>
      <c r="K55">
        <v>0.15096135452089976</v>
      </c>
      <c r="L55" s="4">
        <v>1.1599999999999999E-2</v>
      </c>
      <c r="M55" s="4">
        <v>3</v>
      </c>
      <c r="N55">
        <v>18.072768429706162</v>
      </c>
      <c r="O55" s="3">
        <v>28.455634422780964</v>
      </c>
      <c r="P55" s="3">
        <v>267.27775043602952</v>
      </c>
      <c r="Q55" s="3">
        <v>642.34018369629791</v>
      </c>
      <c r="R55" s="3">
        <v>1702.2014867951893</v>
      </c>
      <c r="S55" s="3">
        <v>29.172666666666665</v>
      </c>
      <c r="T55" s="3">
        <v>0.92646666666666677</v>
      </c>
      <c r="U55" s="3">
        <v>0</v>
      </c>
    </row>
    <row r="56" spans="1:21" x14ac:dyDescent="0.25">
      <c r="A56" s="3" t="s">
        <v>185</v>
      </c>
      <c r="B56" t="s">
        <v>194</v>
      </c>
      <c r="C56">
        <v>5</v>
      </c>
      <c r="D56">
        <v>1</v>
      </c>
      <c r="E56">
        <v>5</v>
      </c>
      <c r="F56">
        <v>206.1043018</v>
      </c>
      <c r="G56">
        <v>546.17639980000001</v>
      </c>
      <c r="H56">
        <v>85.759999978980019</v>
      </c>
      <c r="I56">
        <v>8.5759999978980025E-2</v>
      </c>
      <c r="J56">
        <v>8.5759999978980022E-5</v>
      </c>
      <c r="K56">
        <v>0.18906821115365893</v>
      </c>
      <c r="L56" s="4">
        <v>1.1599999999999999E-2</v>
      </c>
      <c r="M56" s="4">
        <v>3</v>
      </c>
      <c r="N56">
        <v>19.480895992192735</v>
      </c>
      <c r="O56" s="3">
        <v>28.888757559010063</v>
      </c>
      <c r="P56" s="3">
        <v>279.66916248891692</v>
      </c>
      <c r="Q56" s="3">
        <v>672.12007327305196</v>
      </c>
      <c r="R56" s="3">
        <v>1781.1181941735877</v>
      </c>
      <c r="S56" s="3">
        <v>29.172666666666665</v>
      </c>
      <c r="T56" s="3">
        <v>0.92646666666666677</v>
      </c>
      <c r="U56" s="3">
        <v>0</v>
      </c>
    </row>
    <row r="57" spans="1:21" x14ac:dyDescent="0.25">
      <c r="A57" s="3" t="s">
        <v>185</v>
      </c>
      <c r="B57" t="s">
        <v>194</v>
      </c>
      <c r="C57">
        <v>6</v>
      </c>
      <c r="D57">
        <v>1</v>
      </c>
      <c r="E57">
        <v>6</v>
      </c>
      <c r="F57">
        <v>244.71280949999999</v>
      </c>
      <c r="G57">
        <v>648.48894510000002</v>
      </c>
      <c r="H57">
        <v>101.82500003294999</v>
      </c>
      <c r="I57">
        <v>0.10182500003294999</v>
      </c>
      <c r="J57">
        <v>1.0182500003294998E-4</v>
      </c>
      <c r="K57">
        <v>0.2244854315726422</v>
      </c>
      <c r="L57" s="4">
        <v>1.1599999999999999E-2</v>
      </c>
      <c r="M57" s="4">
        <v>3</v>
      </c>
      <c r="N57">
        <v>20.628396791384404</v>
      </c>
      <c r="O57" s="3">
        <v>29.060252779986254</v>
      </c>
      <c r="P57" s="3">
        <v>284.67947239585664</v>
      </c>
      <c r="Q57" s="3">
        <v>684.1611929724985</v>
      </c>
      <c r="R57" s="3">
        <v>1813.027161377121</v>
      </c>
      <c r="S57" s="3">
        <v>29.172666666666665</v>
      </c>
      <c r="T57" s="3">
        <v>0.92646666666666677</v>
      </c>
      <c r="U57" s="3">
        <v>0</v>
      </c>
    </row>
    <row r="58" spans="1:21" x14ac:dyDescent="0.25">
      <c r="A58" s="3" t="s">
        <v>185</v>
      </c>
      <c r="B58" t="s">
        <v>194</v>
      </c>
      <c r="C58">
        <v>7</v>
      </c>
      <c r="D58">
        <v>1</v>
      </c>
      <c r="E58">
        <v>7</v>
      </c>
      <c r="F58">
        <v>283.32131700000002</v>
      </c>
      <c r="G58">
        <v>750.80149010000002</v>
      </c>
      <c r="H58">
        <v>117.89000000370002</v>
      </c>
      <c r="I58">
        <v>0.11789000000370002</v>
      </c>
      <c r="J58">
        <v>1.1789000000370003E-4</v>
      </c>
      <c r="K58">
        <v>0.25990265180815714</v>
      </c>
      <c r="L58" s="4">
        <v>1.1599999999999999E-2</v>
      </c>
      <c r="M58" s="4">
        <v>3</v>
      </c>
      <c r="N58">
        <v>21.66072520689421</v>
      </c>
      <c r="O58" s="3">
        <v>29.128156358339815</v>
      </c>
      <c r="P58" s="3">
        <v>286.67972607794462</v>
      </c>
      <c r="Q58" s="3">
        <v>688.96833952882616</v>
      </c>
      <c r="R58" s="3">
        <v>1825.7660997513892</v>
      </c>
      <c r="S58" s="3">
        <v>29.172666666666665</v>
      </c>
      <c r="T58" s="3">
        <v>0.92646666666666677</v>
      </c>
      <c r="U58" s="3">
        <v>0</v>
      </c>
    </row>
    <row r="59" spans="1:21" x14ac:dyDescent="0.25">
      <c r="A59" s="3" t="s">
        <v>185</v>
      </c>
      <c r="B59" t="s">
        <v>194</v>
      </c>
      <c r="C59">
        <v>8</v>
      </c>
      <c r="D59">
        <v>1</v>
      </c>
      <c r="E59">
        <v>8</v>
      </c>
      <c r="F59">
        <v>314.44364339999998</v>
      </c>
      <c r="G59">
        <v>833.27565500000003</v>
      </c>
      <c r="H59">
        <v>130.84000001874</v>
      </c>
      <c r="I59">
        <v>0.13084000001873999</v>
      </c>
      <c r="J59">
        <v>1.3084000001873999E-4</v>
      </c>
      <c r="K59">
        <v>0.28845248084131453</v>
      </c>
      <c r="L59" s="4">
        <v>1.1599999999999999E-2</v>
      </c>
      <c r="M59" s="4">
        <v>3</v>
      </c>
      <c r="N59">
        <v>22.426466342807739</v>
      </c>
      <c r="O59" s="3">
        <v>29.155042798247422</v>
      </c>
      <c r="P59" s="3">
        <v>287.47430922185566</v>
      </c>
      <c r="Q59" s="3">
        <v>690.87793612558437</v>
      </c>
      <c r="R59" s="3">
        <v>1830.8265307327986</v>
      </c>
      <c r="S59" s="3">
        <v>29.172666666666665</v>
      </c>
      <c r="T59" s="3">
        <v>0.92646666666666677</v>
      </c>
      <c r="U59" s="3">
        <v>0</v>
      </c>
    </row>
    <row r="60" spans="1:21" x14ac:dyDescent="0.25">
      <c r="A60" s="3" t="s">
        <v>185</v>
      </c>
      <c r="B60" t="s">
        <v>194</v>
      </c>
      <c r="C60">
        <v>9</v>
      </c>
      <c r="D60">
        <v>1</v>
      </c>
      <c r="E60">
        <v>9</v>
      </c>
      <c r="F60">
        <v>345.5659698</v>
      </c>
      <c r="G60">
        <v>915.74981979999995</v>
      </c>
      <c r="H60">
        <v>143.79000003377999</v>
      </c>
      <c r="I60">
        <v>0.14379000003377998</v>
      </c>
      <c r="J60">
        <v>1.4379000003377998E-4</v>
      </c>
      <c r="K60">
        <v>0.31700230987447198</v>
      </c>
      <c r="L60" s="4">
        <v>1.1599999999999999E-2</v>
      </c>
      <c r="M60" s="4">
        <v>3</v>
      </c>
      <c r="N60">
        <v>23.143208333852019</v>
      </c>
      <c r="O60" s="3">
        <v>29.165688491279113</v>
      </c>
      <c r="P60" s="3">
        <v>287.78932994100325</v>
      </c>
      <c r="Q60" s="3">
        <v>691.63501547945987</v>
      </c>
      <c r="R60" s="3">
        <v>1832.8327910205685</v>
      </c>
      <c r="S60" s="3">
        <v>29.172666666666665</v>
      </c>
      <c r="T60" s="3">
        <v>0.92646666666666677</v>
      </c>
      <c r="U60" s="3">
        <v>0</v>
      </c>
    </row>
    <row r="61" spans="1:21" x14ac:dyDescent="0.25">
      <c r="A61" s="3" t="s">
        <v>185</v>
      </c>
      <c r="B61" t="s">
        <v>194</v>
      </c>
      <c r="C61">
        <v>10</v>
      </c>
      <c r="D61">
        <v>1</v>
      </c>
      <c r="E61">
        <v>10</v>
      </c>
      <c r="F61">
        <v>372.74693589999998</v>
      </c>
      <c r="G61">
        <v>987.77937999999995</v>
      </c>
      <c r="H61">
        <v>155.10000002799001</v>
      </c>
      <c r="I61">
        <v>0.15510000002799001</v>
      </c>
      <c r="J61">
        <v>1.5510000002799001E-4</v>
      </c>
      <c r="K61">
        <v>0.34193656206170731</v>
      </c>
      <c r="L61" s="4">
        <v>1.1599999999999999E-2</v>
      </c>
      <c r="M61" s="4">
        <v>3</v>
      </c>
      <c r="N61">
        <v>23.734746790222747</v>
      </c>
      <c r="O61" s="3">
        <v>29.169903656266161</v>
      </c>
      <c r="P61" s="3">
        <v>287.91412605230533</v>
      </c>
      <c r="Q61" s="3">
        <v>691.93493403582147</v>
      </c>
      <c r="R61" s="3">
        <v>1833.6275751949267</v>
      </c>
      <c r="S61" s="3">
        <v>29.172666666666665</v>
      </c>
      <c r="T61" s="3">
        <v>0.92646666666666677</v>
      </c>
      <c r="U61" s="3">
        <v>0</v>
      </c>
    </row>
    <row r="62" spans="1:21" x14ac:dyDescent="0.25">
      <c r="A62" t="s">
        <v>22</v>
      </c>
      <c r="B62" t="s">
        <v>23</v>
      </c>
      <c r="C62">
        <v>1</v>
      </c>
      <c r="D62">
        <v>2</v>
      </c>
      <c r="E62"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v>19.198812834563672</v>
      </c>
      <c r="P62">
        <v>106.1486275676733</v>
      </c>
      <c r="Q62">
        <v>255.10364712250257</v>
      </c>
      <c r="R62">
        <v>676.02466487463175</v>
      </c>
      <c r="S62" s="6">
        <v>58.9</v>
      </c>
      <c r="T62" s="6">
        <v>0.22</v>
      </c>
      <c r="U62" s="6">
        <v>0.20699999999999999</v>
      </c>
    </row>
    <row r="63" spans="1:21" x14ac:dyDescent="0.25">
      <c r="A63" t="s">
        <v>22</v>
      </c>
      <c r="B63" t="s">
        <v>23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v>33.330989505220444</v>
      </c>
      <c r="P63">
        <v>555.43837239001323</v>
      </c>
      <c r="Q63">
        <v>1334.8675135544656</v>
      </c>
      <c r="R63">
        <v>3537.398910919334</v>
      </c>
      <c r="S63" s="6">
        <v>58.9</v>
      </c>
      <c r="T63" s="6">
        <v>0.22</v>
      </c>
      <c r="U63" s="6">
        <v>0.20699999999999999</v>
      </c>
    </row>
    <row r="64" spans="1:21" x14ac:dyDescent="0.25">
      <c r="A64" t="s">
        <v>22</v>
      </c>
      <c r="B64" t="s">
        <v>23</v>
      </c>
      <c r="C64">
        <v>3</v>
      </c>
      <c r="D64">
        <v>2</v>
      </c>
      <c r="E64"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v>42.432625990304892</v>
      </c>
      <c r="P64">
        <v>1146.0168080164115</v>
      </c>
      <c r="Q64">
        <v>2754.1860322432385</v>
      </c>
      <c r="R64">
        <v>7298.5929854445822</v>
      </c>
      <c r="S64" s="6">
        <v>58.9</v>
      </c>
      <c r="T64" s="6">
        <v>0.22</v>
      </c>
      <c r="U64" s="6">
        <v>0.20699999999999999</v>
      </c>
    </row>
    <row r="65" spans="1:21" x14ac:dyDescent="0.25">
      <c r="A65" t="s">
        <v>22</v>
      </c>
      <c r="B65" t="s">
        <v>23</v>
      </c>
      <c r="C65">
        <v>4</v>
      </c>
      <c r="D65">
        <v>2</v>
      </c>
      <c r="E65"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v>48.294411378158422</v>
      </c>
      <c r="P65">
        <v>1689.5921790812824</v>
      </c>
      <c r="Q65">
        <v>4060.5435690489849</v>
      </c>
      <c r="R65">
        <v>10760.44045797981</v>
      </c>
      <c r="S65" s="6">
        <v>58.9</v>
      </c>
      <c r="T65" s="6">
        <v>0.22</v>
      </c>
      <c r="U65" s="6">
        <v>0.20699999999999999</v>
      </c>
    </row>
    <row r="66" spans="1:21" x14ac:dyDescent="0.25">
      <c r="A66" t="s">
        <v>22</v>
      </c>
      <c r="B66" t="s">
        <v>23</v>
      </c>
      <c r="C66">
        <v>5</v>
      </c>
      <c r="D66">
        <v>2</v>
      </c>
      <c r="E66"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v>52.06961466050906</v>
      </c>
      <c r="P66">
        <v>2117.6020570614833</v>
      </c>
      <c r="Q66">
        <v>5089.166202983617</v>
      </c>
      <c r="R66">
        <v>13486.290437906584</v>
      </c>
      <c r="S66" s="6">
        <v>58.9</v>
      </c>
      <c r="T66" s="6">
        <v>0.22</v>
      </c>
      <c r="U66" s="6">
        <v>0.20699999999999999</v>
      </c>
    </row>
    <row r="67" spans="1:21" x14ac:dyDescent="0.25">
      <c r="A67" t="s">
        <v>22</v>
      </c>
      <c r="B67" t="s">
        <v>23</v>
      </c>
      <c r="C67">
        <v>6</v>
      </c>
      <c r="D67">
        <v>2</v>
      </c>
      <c r="E67"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v>54.500983071335504</v>
      </c>
      <c r="P67">
        <v>2428.3107759137242</v>
      </c>
      <c r="Q67">
        <v>5835.8826626140935</v>
      </c>
      <c r="R67">
        <v>15465.089055927347</v>
      </c>
      <c r="S67" s="6">
        <v>58.9</v>
      </c>
      <c r="T67" s="6">
        <v>0.22</v>
      </c>
      <c r="U67" s="6">
        <v>0.20699999999999999</v>
      </c>
    </row>
    <row r="68" spans="1:21" x14ac:dyDescent="0.25">
      <c r="A68" t="s">
        <v>22</v>
      </c>
      <c r="B68" t="s">
        <v>23</v>
      </c>
      <c r="C68">
        <v>7</v>
      </c>
      <c r="D68">
        <v>2</v>
      </c>
      <c r="E68"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v>56.066872880978764</v>
      </c>
      <c r="P68">
        <v>2643.6883748447081</v>
      </c>
      <c r="Q68">
        <v>6353.4928499031676</v>
      </c>
      <c r="R68">
        <v>16836.756052243392</v>
      </c>
      <c r="S68" s="6">
        <v>58.9</v>
      </c>
      <c r="T68" s="6">
        <v>0.22</v>
      </c>
      <c r="U68" s="6">
        <v>0.20699999999999999</v>
      </c>
    </row>
    <row r="69" spans="1:21" x14ac:dyDescent="0.25">
      <c r="A69" t="s">
        <v>22</v>
      </c>
      <c r="B69" t="s">
        <v>23</v>
      </c>
      <c r="C69">
        <v>8</v>
      </c>
      <c r="D69">
        <v>2</v>
      </c>
      <c r="E69"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v>57.075362949791973</v>
      </c>
      <c r="P69">
        <v>2788.928014602604</v>
      </c>
      <c r="Q69">
        <v>6702.5426931088768</v>
      </c>
      <c r="R69">
        <v>17761.738136738524</v>
      </c>
      <c r="S69" s="6">
        <v>58.9</v>
      </c>
      <c r="T69" s="6">
        <v>0.22</v>
      </c>
      <c r="U69" s="6">
        <v>0.20699999999999999</v>
      </c>
    </row>
    <row r="70" spans="1:21" x14ac:dyDescent="0.25">
      <c r="A70" t="s">
        <v>22</v>
      </c>
      <c r="B70" t="s">
        <v>23</v>
      </c>
      <c r="C70">
        <v>9</v>
      </c>
      <c r="D70">
        <v>2</v>
      </c>
      <c r="E70"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v>57.724867284408319</v>
      </c>
      <c r="P70">
        <v>2885.2276689179434</v>
      </c>
      <c r="Q70">
        <v>6933.976613597556</v>
      </c>
      <c r="R70">
        <v>18375.038026033522</v>
      </c>
      <c r="S70" s="6">
        <v>58.9</v>
      </c>
      <c r="T70" s="6">
        <v>0.22</v>
      </c>
      <c r="U70" s="6">
        <v>0.20699999999999999</v>
      </c>
    </row>
    <row r="71" spans="1:21" x14ac:dyDescent="0.25">
      <c r="A71" t="s">
        <v>22</v>
      </c>
      <c r="B71" t="s">
        <v>23</v>
      </c>
      <c r="C71">
        <v>10</v>
      </c>
      <c r="D71">
        <v>2</v>
      </c>
      <c r="E71"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v>58.14317173155262</v>
      </c>
      <c r="P71">
        <v>2948.4068809014666</v>
      </c>
      <c r="Q71">
        <v>7085.8132201429144</v>
      </c>
      <c r="R71">
        <v>18777.405033378724</v>
      </c>
      <c r="S71" s="6">
        <v>58.9</v>
      </c>
      <c r="T71" s="6">
        <v>0.22</v>
      </c>
      <c r="U71" s="6">
        <v>0.20699999999999999</v>
      </c>
    </row>
    <row r="72" spans="1:21" x14ac:dyDescent="0.25">
      <c r="A72" t="s">
        <v>24</v>
      </c>
      <c r="B72" t="s">
        <v>25</v>
      </c>
      <c r="C72">
        <v>1</v>
      </c>
      <c r="D72">
        <v>1</v>
      </c>
      <c r="E72"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v>12.644084665180449</v>
      </c>
      <c r="P72">
        <v>42.450370046910848</v>
      </c>
      <c r="Q72">
        <v>102.0196348159357</v>
      </c>
      <c r="R72">
        <v>270.35203226222961</v>
      </c>
      <c r="S72" s="6">
        <v>21.02</v>
      </c>
      <c r="T72" s="6">
        <v>0.86</v>
      </c>
      <c r="U72" s="6">
        <v>-6.9989999999999997E-2</v>
      </c>
    </row>
    <row r="73" spans="1:21" x14ac:dyDescent="0.25">
      <c r="A73" t="s">
        <v>24</v>
      </c>
      <c r="B73" t="s">
        <v>25</v>
      </c>
      <c r="C73">
        <v>2</v>
      </c>
      <c r="D73">
        <v>1</v>
      </c>
      <c r="E73"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v>17.475630225600593</v>
      </c>
      <c r="P73">
        <v>112.07734512046073</v>
      </c>
      <c r="Q73">
        <v>269.35194693693995</v>
      </c>
      <c r="R73">
        <v>713.78265938289087</v>
      </c>
      <c r="S73" s="6">
        <v>21.02</v>
      </c>
      <c r="T73" s="6">
        <v>0.86</v>
      </c>
      <c r="U73" s="6">
        <v>-6.9989999999999997E-2</v>
      </c>
    </row>
    <row r="74" spans="1:21" x14ac:dyDescent="0.25">
      <c r="A74" t="s">
        <v>24</v>
      </c>
      <c r="B74" t="s">
        <v>25</v>
      </c>
      <c r="C74">
        <v>3</v>
      </c>
      <c r="D74">
        <v>1</v>
      </c>
      <c r="E74"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v>19.520157105761058</v>
      </c>
      <c r="P74">
        <v>156.19575290882494</v>
      </c>
      <c r="Q74">
        <v>375.380324222122</v>
      </c>
      <c r="R74">
        <v>994.75785918862323</v>
      </c>
      <c r="S74" s="6">
        <v>21.02</v>
      </c>
      <c r="T74" s="6">
        <v>0.86</v>
      </c>
      <c r="U74" s="6">
        <v>-6.9989999999999997E-2</v>
      </c>
    </row>
    <row r="75" spans="1:21" x14ac:dyDescent="0.25">
      <c r="A75" t="s">
        <v>24</v>
      </c>
      <c r="B75" t="s">
        <v>25</v>
      </c>
      <c r="C75">
        <v>4</v>
      </c>
      <c r="D75">
        <v>1</v>
      </c>
      <c r="E75"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v>20.385323357724371</v>
      </c>
      <c r="P75">
        <v>177.89842738929704</v>
      </c>
      <c r="Q75">
        <v>427.53767697499887</v>
      </c>
      <c r="R75">
        <v>1132.974843983747</v>
      </c>
      <c r="S75" s="6">
        <v>21.02</v>
      </c>
      <c r="T75" s="6">
        <v>0.86</v>
      </c>
      <c r="U75" s="6">
        <v>-6.9989999999999997E-2</v>
      </c>
    </row>
    <row r="76" spans="1:21" x14ac:dyDescent="0.25">
      <c r="A76" t="s">
        <v>24</v>
      </c>
      <c r="B76" t="s">
        <v>25</v>
      </c>
      <c r="C76">
        <v>5</v>
      </c>
      <c r="D76">
        <v>1</v>
      </c>
      <c r="E76"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v>20.751428910456205</v>
      </c>
      <c r="P76">
        <v>187.65637186545774</v>
      </c>
      <c r="Q76">
        <v>450.98863702345051</v>
      </c>
      <c r="R76">
        <v>1195.1198881121438</v>
      </c>
      <c r="S76" s="6">
        <v>21.02</v>
      </c>
      <c r="T76" s="6">
        <v>0.86</v>
      </c>
      <c r="U76" s="6">
        <v>-6.9989999999999997E-2</v>
      </c>
    </row>
    <row r="77" spans="1:21" x14ac:dyDescent="0.25">
      <c r="A77" t="s">
        <v>24</v>
      </c>
      <c r="B77" t="s">
        <v>25</v>
      </c>
      <c r="C77">
        <v>6</v>
      </c>
      <c r="D77">
        <v>1</v>
      </c>
      <c r="E77"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v>20.9063508984983</v>
      </c>
      <c r="P77">
        <v>191.89073267934253</v>
      </c>
      <c r="Q77">
        <v>461.16494275256559</v>
      </c>
      <c r="R77">
        <v>1222.0870982942988</v>
      </c>
      <c r="S77" s="6">
        <v>21.02</v>
      </c>
      <c r="T77" s="6">
        <v>0.86</v>
      </c>
      <c r="U77" s="6">
        <v>-6.9989999999999997E-2</v>
      </c>
    </row>
    <row r="78" spans="1:21" x14ac:dyDescent="0.25">
      <c r="A78" t="s">
        <v>24</v>
      </c>
      <c r="B78" t="s">
        <v>25</v>
      </c>
      <c r="C78">
        <v>7</v>
      </c>
      <c r="D78">
        <v>1</v>
      </c>
      <c r="E78"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v>20.971908009554998</v>
      </c>
      <c r="P78">
        <v>193.70156382249962</v>
      </c>
      <c r="Q78">
        <v>465.51685609829281</v>
      </c>
      <c r="R78">
        <v>1233.6196686604758</v>
      </c>
      <c r="S78" s="6">
        <v>21.02</v>
      </c>
      <c r="T78" s="6">
        <v>0.86</v>
      </c>
      <c r="U78" s="6">
        <v>-6.9989999999999997E-2</v>
      </c>
    </row>
    <row r="79" spans="1:21" x14ac:dyDescent="0.25">
      <c r="A79" t="s">
        <v>24</v>
      </c>
      <c r="B79" t="s">
        <v>25</v>
      </c>
      <c r="C79">
        <v>8</v>
      </c>
      <c r="D79">
        <v>1</v>
      </c>
      <c r="E79"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v>20.999649293180489</v>
      </c>
      <c r="P79">
        <v>194.4712564751554</v>
      </c>
      <c r="Q79">
        <v>467.36663416283449</v>
      </c>
      <c r="R79">
        <v>1238.5215805315113</v>
      </c>
      <c r="S79" s="6">
        <v>21.02</v>
      </c>
      <c r="T79" s="6">
        <v>0.86</v>
      </c>
      <c r="U79" s="6">
        <v>-6.9989999999999997E-2</v>
      </c>
    </row>
    <row r="80" spans="1:21" x14ac:dyDescent="0.25">
      <c r="A80" t="s">
        <v>24</v>
      </c>
      <c r="B80" t="s">
        <v>25</v>
      </c>
      <c r="C80">
        <v>9</v>
      </c>
      <c r="D80">
        <v>1</v>
      </c>
      <c r="E80"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v>21.011388352525618</v>
      </c>
      <c r="P80">
        <v>194.79757421515683</v>
      </c>
      <c r="Q80">
        <v>468.15086329045141</v>
      </c>
      <c r="R80">
        <v>1240.5997877196962</v>
      </c>
      <c r="S80" s="6">
        <v>21.02</v>
      </c>
      <c r="T80" s="6">
        <v>0.86</v>
      </c>
      <c r="U80" s="6">
        <v>-6.9989999999999997E-2</v>
      </c>
    </row>
    <row r="81" spans="1:21" x14ac:dyDescent="0.25">
      <c r="A81" t="s">
        <v>24</v>
      </c>
      <c r="B81" t="s">
        <v>25</v>
      </c>
      <c r="C81">
        <v>10</v>
      </c>
      <c r="D81">
        <v>1</v>
      </c>
      <c r="E81"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v>21.016355877322553</v>
      </c>
      <c r="P81">
        <v>194.93576935351521</v>
      </c>
      <c r="Q81">
        <v>468.48298330573226</v>
      </c>
      <c r="R81">
        <v>1241.4799057601904</v>
      </c>
      <c r="S81" s="6">
        <v>21.02</v>
      </c>
      <c r="T81" s="6">
        <v>0.86</v>
      </c>
      <c r="U81" s="6">
        <v>-6.9989999999999997E-2</v>
      </c>
    </row>
    <row r="82" spans="1:21" x14ac:dyDescent="0.25">
      <c r="A82" t="s">
        <v>26</v>
      </c>
      <c r="B82" t="s">
        <v>27</v>
      </c>
      <c r="C82">
        <v>1</v>
      </c>
      <c r="D82">
        <v>9</v>
      </c>
      <c r="E82"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3">
        <v>6.0000000000000001E-3</v>
      </c>
      <c r="M82">
        <v>3</v>
      </c>
      <c r="N82">
        <v>1465.5893920000001</v>
      </c>
      <c r="O82" s="3">
        <v>2074.8606889219695</v>
      </c>
      <c r="P82" s="3">
        <v>53594235.192170553</v>
      </c>
      <c r="Q82" s="3">
        <v>128801334.27582446</v>
      </c>
      <c r="R82" s="3">
        <v>341323535.83093482</v>
      </c>
      <c r="S82" s="3">
        <v>2097.3599999999997</v>
      </c>
      <c r="T82" s="3">
        <v>0.5</v>
      </c>
      <c r="U82" s="3">
        <v>0</v>
      </c>
    </row>
    <row r="83" spans="1:21" x14ac:dyDescent="0.25">
      <c r="A83" t="s">
        <v>26</v>
      </c>
      <c r="B83" t="s">
        <v>27</v>
      </c>
      <c r="C83">
        <v>2</v>
      </c>
      <c r="D83">
        <v>9</v>
      </c>
      <c r="E83"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3">
        <v>6.0000000000000001E-3</v>
      </c>
      <c r="M83">
        <v>3</v>
      </c>
      <c r="N83">
        <v>1542.0432000000001</v>
      </c>
      <c r="O83" s="3">
        <v>2097.1100552311209</v>
      </c>
      <c r="P83" s="3">
        <v>55336911.736742258</v>
      </c>
      <c r="Q83" s="3">
        <v>132989453.82538395</v>
      </c>
      <c r="R83" s="3">
        <v>352422052.63726747</v>
      </c>
      <c r="S83" s="3">
        <v>2097.3599999999997</v>
      </c>
      <c r="T83" s="3">
        <v>0.5</v>
      </c>
      <c r="U83" s="3">
        <v>0</v>
      </c>
    </row>
    <row r="84" spans="1:21" x14ac:dyDescent="0.25">
      <c r="A84" t="s">
        <v>26</v>
      </c>
      <c r="B84" t="s">
        <v>27</v>
      </c>
      <c r="C84">
        <v>3</v>
      </c>
      <c r="D84">
        <v>9</v>
      </c>
      <c r="E84"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3">
        <v>6.0000000000000001E-3</v>
      </c>
      <c r="M84">
        <v>3</v>
      </c>
      <c r="N84">
        <v>1544.863059</v>
      </c>
      <c r="O84" s="3">
        <v>2097.3572233644272</v>
      </c>
      <c r="P84" s="3">
        <v>55356480.285264529</v>
      </c>
      <c r="Q84" s="3">
        <v>133036482.30056366</v>
      </c>
      <c r="R84" s="3">
        <v>352546678.09649372</v>
      </c>
      <c r="S84" s="3">
        <v>2097.3599999999997</v>
      </c>
      <c r="T84" s="3">
        <v>0.5</v>
      </c>
      <c r="U84" s="3">
        <v>0</v>
      </c>
    </row>
    <row r="85" spans="1:21" x14ac:dyDescent="0.25">
      <c r="A85" t="s">
        <v>26</v>
      </c>
      <c r="B85" t="s">
        <v>27</v>
      </c>
      <c r="C85">
        <v>4</v>
      </c>
      <c r="D85">
        <v>9</v>
      </c>
      <c r="E85"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3">
        <v>6.0000000000000001E-3</v>
      </c>
      <c r="M85">
        <v>3</v>
      </c>
      <c r="N85">
        <v>1544.9670639999999</v>
      </c>
      <c r="O85" s="3">
        <v>2097.3599691543645</v>
      </c>
      <c r="P85" s="3">
        <v>55356697.698107451</v>
      </c>
      <c r="Q85" s="3">
        <v>133037004.8019886</v>
      </c>
      <c r="R85" s="3">
        <v>352548062.72526979</v>
      </c>
      <c r="S85" s="3">
        <v>2097.3599999999997</v>
      </c>
      <c r="T85" s="3">
        <v>0.5</v>
      </c>
      <c r="U85" s="3">
        <v>0</v>
      </c>
    </row>
    <row r="86" spans="1:21" x14ac:dyDescent="0.25">
      <c r="A86" t="s">
        <v>26</v>
      </c>
      <c r="B86" t="s">
        <v>27</v>
      </c>
      <c r="C86">
        <v>5</v>
      </c>
      <c r="D86">
        <v>9</v>
      </c>
      <c r="E86"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3">
        <v>6.0000000000000001E-3</v>
      </c>
      <c r="M86">
        <v>3</v>
      </c>
      <c r="N86">
        <v>1544.9709</v>
      </c>
      <c r="O86" s="3">
        <v>2097.3599996573357</v>
      </c>
      <c r="P86" s="3">
        <v>55356700.113349192</v>
      </c>
      <c r="Q86" s="3">
        <v>133037010.60646287</v>
      </c>
      <c r="R86" s="3">
        <v>352548078.10712659</v>
      </c>
      <c r="S86" s="3">
        <v>2097.3599999999997</v>
      </c>
      <c r="T86" s="3">
        <v>0.5</v>
      </c>
      <c r="U86" s="3">
        <v>0</v>
      </c>
    </row>
    <row r="87" spans="1:21" x14ac:dyDescent="0.25">
      <c r="A87" t="s">
        <v>26</v>
      </c>
      <c r="B87" t="s">
        <v>27</v>
      </c>
      <c r="C87">
        <v>6</v>
      </c>
      <c r="D87">
        <v>9</v>
      </c>
      <c r="E87"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3">
        <v>6.0000000000000001E-3</v>
      </c>
      <c r="M87">
        <v>3</v>
      </c>
      <c r="N87">
        <v>1544.971041</v>
      </c>
      <c r="O87" s="3">
        <v>2097.359999996193</v>
      </c>
      <c r="P87" s="3">
        <v>55356700.140180096</v>
      </c>
      <c r="Q87" s="3">
        <v>133037010.67094471</v>
      </c>
      <c r="R87" s="3">
        <v>352548078.27800345</v>
      </c>
      <c r="S87" s="3">
        <v>2097.3599999999997</v>
      </c>
      <c r="T87" s="3">
        <v>0.5</v>
      </c>
      <c r="U87" s="3">
        <v>0</v>
      </c>
    </row>
    <row r="88" spans="1:21" x14ac:dyDescent="0.25">
      <c r="A88" t="s">
        <v>26</v>
      </c>
      <c r="B88" t="s">
        <v>27</v>
      </c>
      <c r="C88">
        <v>7</v>
      </c>
      <c r="D88">
        <v>9</v>
      </c>
      <c r="E88"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3">
        <v>6.0000000000000001E-3</v>
      </c>
      <c r="M88">
        <v>3</v>
      </c>
      <c r="N88">
        <v>1544.971047</v>
      </c>
      <c r="O88" s="3">
        <v>2097.3599999999574</v>
      </c>
      <c r="P88" s="3">
        <v>55356700.140478171</v>
      </c>
      <c r="Q88" s="3">
        <v>133037010.67166106</v>
      </c>
      <c r="R88" s="3">
        <v>352548078.2799018</v>
      </c>
      <c r="S88" s="3">
        <v>2097.3599999999997</v>
      </c>
      <c r="T88" s="3">
        <v>0.5</v>
      </c>
      <c r="U88" s="3">
        <v>0</v>
      </c>
    </row>
    <row r="89" spans="1:21" x14ac:dyDescent="0.25">
      <c r="A89" t="s">
        <v>26</v>
      </c>
      <c r="B89" t="s">
        <v>27</v>
      </c>
      <c r="C89">
        <v>8</v>
      </c>
      <c r="D89">
        <v>9</v>
      </c>
      <c r="E89"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3">
        <v>6.0000000000000001E-3</v>
      </c>
      <c r="M89">
        <v>3</v>
      </c>
      <c r="N89">
        <v>1544.971047</v>
      </c>
      <c r="O89" s="3">
        <v>2097.3599999999992</v>
      </c>
      <c r="P89" s="3">
        <v>55356700.140481479</v>
      </c>
      <c r="Q89" s="3">
        <v>133037010.67166904</v>
      </c>
      <c r="R89" s="3">
        <v>352548078.27992296</v>
      </c>
      <c r="S89" s="3">
        <v>2097.3599999999997</v>
      </c>
      <c r="T89" s="3">
        <v>0.5</v>
      </c>
      <c r="U89" s="3">
        <v>0</v>
      </c>
    </row>
    <row r="90" spans="1:21" x14ac:dyDescent="0.25">
      <c r="A90" t="s">
        <v>26</v>
      </c>
      <c r="B90" t="s">
        <v>27</v>
      </c>
      <c r="C90">
        <v>9</v>
      </c>
      <c r="D90">
        <v>9</v>
      </c>
      <c r="E90"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3">
        <v>6.0000000000000001E-3</v>
      </c>
      <c r="M90">
        <v>3</v>
      </c>
      <c r="N90">
        <v>1544.971047</v>
      </c>
      <c r="O90" s="3">
        <v>2097.3599999999997</v>
      </c>
      <c r="P90" s="3">
        <v>55356700.140481509</v>
      </c>
      <c r="Q90" s="3">
        <v>133037010.6716691</v>
      </c>
      <c r="R90" s="3">
        <v>352548078.27992308</v>
      </c>
      <c r="S90" s="3">
        <v>2097.3599999999997</v>
      </c>
      <c r="T90" s="3">
        <v>0.5</v>
      </c>
      <c r="U90" s="3">
        <v>0</v>
      </c>
    </row>
    <row r="91" spans="1:21" x14ac:dyDescent="0.25">
      <c r="A91" t="s">
        <v>26</v>
      </c>
      <c r="B91" t="s">
        <v>27</v>
      </c>
      <c r="C91">
        <v>10</v>
      </c>
      <c r="D91">
        <v>9</v>
      </c>
      <c r="E91"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3">
        <v>6.0000000000000001E-3</v>
      </c>
      <c r="M91">
        <v>3</v>
      </c>
      <c r="N91">
        <v>1544.971047</v>
      </c>
      <c r="O91" s="3">
        <v>2097.3599999999997</v>
      </c>
      <c r="P91" s="3">
        <v>55356700.140481509</v>
      </c>
      <c r="Q91" s="3">
        <v>133037010.6716691</v>
      </c>
      <c r="R91" s="3">
        <v>352548078.27992308</v>
      </c>
      <c r="S91" s="3">
        <v>2097.3599999999997</v>
      </c>
      <c r="T91" s="3">
        <v>0.5</v>
      </c>
      <c r="U91" s="3">
        <v>0</v>
      </c>
    </row>
    <row r="92" spans="1:21" x14ac:dyDescent="0.25">
      <c r="A92" t="s">
        <v>28</v>
      </c>
      <c r="B92" t="s">
        <v>29</v>
      </c>
      <c r="C92">
        <v>1</v>
      </c>
      <c r="D92">
        <v>2</v>
      </c>
      <c r="E92"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v>28.061318720772793</v>
      </c>
      <c r="P92">
        <v>265.15845240718266</v>
      </c>
      <c r="Q92">
        <v>637.24694161783873</v>
      </c>
      <c r="R92">
        <v>1688.7043952872725</v>
      </c>
      <c r="S92">
        <v>150.93</v>
      </c>
      <c r="T92">
        <v>0.11</v>
      </c>
      <c r="U92">
        <v>0.13</v>
      </c>
    </row>
    <row r="93" spans="1:21" x14ac:dyDescent="0.25">
      <c r="A93" t="s">
        <v>28</v>
      </c>
      <c r="B93" t="s">
        <v>29</v>
      </c>
      <c r="C93">
        <v>2</v>
      </c>
      <c r="D93">
        <v>2</v>
      </c>
      <c r="E93"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v>52.325573592559707</v>
      </c>
      <c r="P93">
        <v>1719.1874784798999</v>
      </c>
      <c r="Q93">
        <v>4131.6690182165348</v>
      </c>
      <c r="R93">
        <v>10948.922898273817</v>
      </c>
      <c r="S93">
        <v>150.93</v>
      </c>
      <c r="T93">
        <v>0.11</v>
      </c>
      <c r="U93">
        <v>0.13</v>
      </c>
    </row>
    <row r="94" spans="1:21" x14ac:dyDescent="0.25">
      <c r="A94" t="s">
        <v>28</v>
      </c>
      <c r="B94" t="s">
        <v>29</v>
      </c>
      <c r="C94">
        <v>3</v>
      </c>
      <c r="D94">
        <v>2</v>
      </c>
      <c r="E94"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v>71.798094245721344</v>
      </c>
      <c r="P94">
        <v>4441.4011070429005</v>
      </c>
      <c r="Q94">
        <v>10673.879132523194</v>
      </c>
      <c r="R94">
        <v>28285.779701186464</v>
      </c>
      <c r="S94">
        <v>150.93</v>
      </c>
      <c r="T94">
        <v>0.11</v>
      </c>
      <c r="U94">
        <v>0.13</v>
      </c>
    </row>
    <row r="95" spans="1:21" x14ac:dyDescent="0.25">
      <c r="A95" t="s">
        <v>28</v>
      </c>
      <c r="B95" t="s">
        <v>29</v>
      </c>
      <c r="C95">
        <v>4</v>
      </c>
      <c r="D95">
        <v>2</v>
      </c>
      <c r="E95"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v>87.425158113596154</v>
      </c>
      <c r="P95">
        <v>8018.4518441494665</v>
      </c>
      <c r="Q95">
        <v>19270.492295480573</v>
      </c>
      <c r="R95">
        <v>51066.804583023521</v>
      </c>
      <c r="S95">
        <v>150.93</v>
      </c>
      <c r="T95">
        <v>0.11</v>
      </c>
      <c r="U95">
        <v>0.13</v>
      </c>
    </row>
    <row r="96" spans="1:21" x14ac:dyDescent="0.25">
      <c r="A96" t="s">
        <v>28</v>
      </c>
      <c r="B96" t="s">
        <v>29</v>
      </c>
      <c r="C96">
        <v>5</v>
      </c>
      <c r="D96">
        <v>2</v>
      </c>
      <c r="E96"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v>99.96617062452593</v>
      </c>
      <c r="P96">
        <v>11987.825544300675</v>
      </c>
      <c r="Q96">
        <v>28809.962855805512</v>
      </c>
      <c r="R96">
        <v>76346.401567884604</v>
      </c>
      <c r="S96">
        <v>150.93</v>
      </c>
      <c r="T96">
        <v>0.11</v>
      </c>
      <c r="U96">
        <v>0.13</v>
      </c>
    </row>
    <row r="97" spans="1:21" x14ac:dyDescent="0.25">
      <c r="A97" t="s">
        <v>28</v>
      </c>
      <c r="B97" t="s">
        <v>29</v>
      </c>
      <c r="C97">
        <v>6</v>
      </c>
      <c r="D97">
        <v>2</v>
      </c>
      <c r="E97"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v>110.0305689100297</v>
      </c>
      <c r="P97">
        <v>15985.319518006434</v>
      </c>
      <c r="Q97">
        <v>38417.013982231285</v>
      </c>
      <c r="R97">
        <v>101805.0870529129</v>
      </c>
      <c r="S97">
        <v>150.93</v>
      </c>
      <c r="T97">
        <v>0.11</v>
      </c>
      <c r="U97">
        <v>0.13</v>
      </c>
    </row>
    <row r="98" spans="1:21" x14ac:dyDescent="0.25">
      <c r="A98" t="s">
        <v>28</v>
      </c>
      <c r="B98" t="s">
        <v>29</v>
      </c>
      <c r="C98">
        <v>7</v>
      </c>
      <c r="D98">
        <v>2</v>
      </c>
      <c r="E98"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v>118.10743772432782</v>
      </c>
      <c r="P98">
        <v>19770.28771241799</v>
      </c>
      <c r="Q98">
        <v>47513.308609512111</v>
      </c>
      <c r="R98">
        <v>125910.26781520709</v>
      </c>
      <c r="S98">
        <v>150.93</v>
      </c>
      <c r="T98">
        <v>0.11</v>
      </c>
      <c r="U98">
        <v>0.13</v>
      </c>
    </row>
    <row r="99" spans="1:21" x14ac:dyDescent="0.25">
      <c r="A99" t="s">
        <v>28</v>
      </c>
      <c r="B99" t="s">
        <v>29</v>
      </c>
      <c r="C99">
        <v>8</v>
      </c>
      <c r="D99">
        <v>2</v>
      </c>
      <c r="E99"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v>124.58927677647897</v>
      </c>
      <c r="P99">
        <v>23207.226476381566</v>
      </c>
      <c r="Q99">
        <v>55773.195088636297</v>
      </c>
      <c r="R99">
        <v>147798.96698488618</v>
      </c>
      <c r="S99">
        <v>150.93</v>
      </c>
      <c r="T99">
        <v>0.11</v>
      </c>
      <c r="U99">
        <v>0.13</v>
      </c>
    </row>
    <row r="100" spans="1:21" x14ac:dyDescent="0.25">
      <c r="A100" t="s">
        <v>28</v>
      </c>
      <c r="B100" t="s">
        <v>29</v>
      </c>
      <c r="C100">
        <v>9</v>
      </c>
      <c r="D100">
        <v>2</v>
      </c>
      <c r="E100"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v>129.79107446119755</v>
      </c>
      <c r="P100">
        <v>26237.093874199669</v>
      </c>
      <c r="Q100">
        <v>63054.779798605312</v>
      </c>
      <c r="R100">
        <v>167095.16646630407</v>
      </c>
      <c r="S100">
        <v>150.93</v>
      </c>
      <c r="T100">
        <v>0.11</v>
      </c>
      <c r="U100">
        <v>0.13</v>
      </c>
    </row>
    <row r="101" spans="1:21" x14ac:dyDescent="0.25">
      <c r="A101" t="s">
        <v>28</v>
      </c>
      <c r="B101" t="s">
        <v>29</v>
      </c>
      <c r="C101">
        <v>10</v>
      </c>
      <c r="D101">
        <v>2</v>
      </c>
      <c r="E101"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v>133.96561488638193</v>
      </c>
      <c r="P101">
        <v>28851.026615496656</v>
      </c>
      <c r="Q101">
        <v>69336.76187333971</v>
      </c>
      <c r="R101">
        <v>183742.41896435022</v>
      </c>
      <c r="S101">
        <v>150.93</v>
      </c>
      <c r="T101">
        <v>0.11</v>
      </c>
      <c r="U101">
        <v>0.13</v>
      </c>
    </row>
    <row r="102" spans="1:21" x14ac:dyDescent="0.25">
      <c r="A102" t="s">
        <v>30</v>
      </c>
      <c r="B102" t="s">
        <v>31</v>
      </c>
      <c r="C102">
        <v>1</v>
      </c>
      <c r="D102">
        <v>4</v>
      </c>
      <c r="E102"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v>36.422627340305503</v>
      </c>
      <c r="P102">
        <v>927.58931316686903</v>
      </c>
      <c r="Q102">
        <v>2229.246126332298</v>
      </c>
      <c r="R102">
        <v>5907.5022347805898</v>
      </c>
      <c r="S102">
        <v>91.5</v>
      </c>
      <c r="T102">
        <v>0.12690000000000001</v>
      </c>
      <c r="U102">
        <v>0</v>
      </c>
    </row>
    <row r="103" spans="1:21" x14ac:dyDescent="0.25">
      <c r="A103" t="s">
        <v>30</v>
      </c>
      <c r="B103" t="s">
        <v>31</v>
      </c>
      <c r="C103">
        <v>2</v>
      </c>
      <c r="D103">
        <v>4</v>
      </c>
      <c r="E103"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v>58.34680897164084</v>
      </c>
      <c r="P103">
        <v>3997.2180213995657</v>
      </c>
      <c r="Q103">
        <v>9606.3879389559388</v>
      </c>
      <c r="R103">
        <v>25456.928038233236</v>
      </c>
      <c r="S103">
        <v>91.5</v>
      </c>
      <c r="T103">
        <v>0.12690000000000001</v>
      </c>
      <c r="U103">
        <v>0</v>
      </c>
    </row>
    <row r="104" spans="1:21" x14ac:dyDescent="0.25">
      <c r="A104" t="s">
        <v>30</v>
      </c>
      <c r="B104" t="s">
        <v>31</v>
      </c>
      <c r="C104">
        <v>3</v>
      </c>
      <c r="D104">
        <v>4</v>
      </c>
      <c r="E104"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v>71.543817954896411</v>
      </c>
      <c r="P104">
        <v>7521.0477792886577</v>
      </c>
      <c r="Q104">
        <v>18075.096801943422</v>
      </c>
      <c r="R104">
        <v>47899.006525150064</v>
      </c>
      <c r="S104">
        <v>91.5</v>
      </c>
      <c r="T104">
        <v>0.12690000000000001</v>
      </c>
      <c r="U104">
        <v>0</v>
      </c>
    </row>
    <row r="105" spans="1:21" x14ac:dyDescent="0.25">
      <c r="A105" t="s">
        <v>30</v>
      </c>
      <c r="B105" t="s">
        <v>31</v>
      </c>
      <c r="C105">
        <v>4</v>
      </c>
      <c r="D105">
        <v>4</v>
      </c>
      <c r="E105"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v>79.487605733739073</v>
      </c>
      <c r="P105">
        <v>10423.966019967243</v>
      </c>
      <c r="Q105">
        <v>25051.588608428843</v>
      </c>
      <c r="R105">
        <v>66386.709812336427</v>
      </c>
      <c r="S105">
        <v>91.5</v>
      </c>
      <c r="T105">
        <v>0.12690000000000001</v>
      </c>
      <c r="U105">
        <v>0</v>
      </c>
    </row>
    <row r="106" spans="1:21" x14ac:dyDescent="0.25">
      <c r="A106" t="s">
        <v>30</v>
      </c>
      <c r="B106" t="s">
        <v>31</v>
      </c>
      <c r="C106">
        <v>5</v>
      </c>
      <c r="D106">
        <v>4</v>
      </c>
      <c r="E106"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v>84.269277425813883</v>
      </c>
      <c r="P106">
        <v>12493.368083817328</v>
      </c>
      <c r="Q106">
        <v>30024.917288674184</v>
      </c>
      <c r="R106">
        <v>79566.030814986589</v>
      </c>
      <c r="S106">
        <v>91.5</v>
      </c>
      <c r="T106">
        <v>0.12690000000000001</v>
      </c>
      <c r="U106">
        <v>0</v>
      </c>
    </row>
    <row r="107" spans="1:21" x14ac:dyDescent="0.25">
      <c r="A107" t="s">
        <v>30</v>
      </c>
      <c r="B107" t="s">
        <v>31</v>
      </c>
      <c r="C107">
        <v>6</v>
      </c>
      <c r="D107">
        <v>4</v>
      </c>
      <c r="E107"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v>87.147549706914589</v>
      </c>
      <c r="P107">
        <v>13864.233325167126</v>
      </c>
      <c r="Q107">
        <v>33319.474465674422</v>
      </c>
      <c r="R107">
        <v>88296.60733403721</v>
      </c>
      <c r="S107">
        <v>91.5</v>
      </c>
      <c r="T107">
        <v>0.12690000000000001</v>
      </c>
      <c r="U107">
        <v>0</v>
      </c>
    </row>
    <row r="108" spans="1:21" x14ac:dyDescent="0.25">
      <c r="A108" t="s">
        <v>30</v>
      </c>
      <c r="B108" t="s">
        <v>31</v>
      </c>
      <c r="C108">
        <v>7</v>
      </c>
      <c r="D108">
        <v>4</v>
      </c>
      <c r="E108"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v>88.880092603551248</v>
      </c>
      <c r="P108">
        <v>14736.649133285309</v>
      </c>
      <c r="Q108">
        <v>35416.123848318457</v>
      </c>
      <c r="R108">
        <v>93852.728198043915</v>
      </c>
      <c r="S108">
        <v>91.5</v>
      </c>
      <c r="T108">
        <v>0.12690000000000001</v>
      </c>
      <c r="U108">
        <v>0</v>
      </c>
    </row>
    <row r="109" spans="1:21" x14ac:dyDescent="0.25">
      <c r="A109" t="s">
        <v>30</v>
      </c>
      <c r="B109" t="s">
        <v>31</v>
      </c>
      <c r="C109">
        <v>8</v>
      </c>
      <c r="D109">
        <v>4</v>
      </c>
      <c r="E109"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v>89.922976874228439</v>
      </c>
      <c r="P109">
        <v>15279.315297302403</v>
      </c>
      <c r="Q109">
        <v>36720.296316516229</v>
      </c>
      <c r="R109">
        <v>97308.785238768003</v>
      </c>
      <c r="S109">
        <v>91.5</v>
      </c>
      <c r="T109">
        <v>0.12690000000000001</v>
      </c>
      <c r="U109">
        <v>0</v>
      </c>
    </row>
    <row r="110" spans="1:21" x14ac:dyDescent="0.25">
      <c r="A110" t="s">
        <v>30</v>
      </c>
      <c r="B110" t="s">
        <v>31</v>
      </c>
      <c r="C110">
        <v>9</v>
      </c>
      <c r="D110">
        <v>4</v>
      </c>
      <c r="E110"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v>90.550729066764177</v>
      </c>
      <c r="P110">
        <v>15612.40639755655</v>
      </c>
      <c r="Q110">
        <v>37520.803647095767</v>
      </c>
      <c r="R110">
        <v>99430.129664803782</v>
      </c>
      <c r="S110">
        <v>91.5</v>
      </c>
      <c r="T110">
        <v>0.12690000000000001</v>
      </c>
      <c r="U110">
        <v>0</v>
      </c>
    </row>
    <row r="111" spans="1:21" x14ac:dyDescent="0.25">
      <c r="A111" t="s">
        <v>30</v>
      </c>
      <c r="B111" t="s">
        <v>31</v>
      </c>
      <c r="C111">
        <v>10</v>
      </c>
      <c r="D111">
        <v>4</v>
      </c>
      <c r="E111"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v>90.92859727929131</v>
      </c>
      <c r="P111">
        <v>15815.259483201911</v>
      </c>
      <c r="Q111">
        <v>38008.314066815459</v>
      </c>
      <c r="R111">
        <v>100722.03227706096</v>
      </c>
      <c r="S111">
        <v>91.5</v>
      </c>
      <c r="T111">
        <v>0.12690000000000001</v>
      </c>
      <c r="U111">
        <v>0</v>
      </c>
    </row>
    <row r="112" spans="1:21" x14ac:dyDescent="0.25">
      <c r="A112" t="s">
        <v>32</v>
      </c>
      <c r="B112" t="s">
        <v>33</v>
      </c>
      <c r="C112">
        <v>1</v>
      </c>
      <c r="D112">
        <v>2</v>
      </c>
      <c r="E112"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 s="3">
        <v>28.189444998261614</v>
      </c>
      <c r="P112" s="3">
        <v>322.56858449086275</v>
      </c>
      <c r="Q112" s="3">
        <v>775.21890048272712</v>
      </c>
      <c r="R112" s="3">
        <v>2054.3300862792266</v>
      </c>
      <c r="S112" s="3">
        <v>47.633333333333333</v>
      </c>
      <c r="T112" s="3">
        <v>0.44799999999999995</v>
      </c>
      <c r="U112" s="3">
        <v>0</v>
      </c>
    </row>
    <row r="113" spans="1:21" x14ac:dyDescent="0.25">
      <c r="A113" t="s">
        <v>32</v>
      </c>
      <c r="B113" t="s">
        <v>33</v>
      </c>
      <c r="C113">
        <v>2</v>
      </c>
      <c r="D113">
        <v>2</v>
      </c>
      <c r="E113"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 s="3">
        <v>39.696353761883266</v>
      </c>
      <c r="P113" s="3">
        <v>900.77089226532553</v>
      </c>
      <c r="Q113" s="3">
        <v>2164.7942616326013</v>
      </c>
      <c r="R113" s="3">
        <v>5736.704793326393</v>
      </c>
      <c r="S113" s="3">
        <v>47.633333333333333</v>
      </c>
      <c r="T113" s="3">
        <v>0.44799999999999995</v>
      </c>
      <c r="U113" s="3">
        <v>0</v>
      </c>
    </row>
    <row r="114" spans="1:21" x14ac:dyDescent="0.25">
      <c r="A114" t="s">
        <v>32</v>
      </c>
      <c r="B114" t="s">
        <v>33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 s="3">
        <v>44.393464659330107</v>
      </c>
      <c r="P114" s="3">
        <v>1259.8522439217716</v>
      </c>
      <c r="Q114" s="3">
        <v>3027.7631432871221</v>
      </c>
      <c r="R114" s="3">
        <v>8023.5723297108734</v>
      </c>
      <c r="S114" s="3">
        <v>47.633333333333333</v>
      </c>
      <c r="T114" s="3">
        <v>0.44799999999999995</v>
      </c>
      <c r="U114" s="3">
        <v>0</v>
      </c>
    </row>
    <row r="115" spans="1:21" x14ac:dyDescent="0.25">
      <c r="A115" t="s">
        <v>32</v>
      </c>
      <c r="B115" t="s">
        <v>33</v>
      </c>
      <c r="C115">
        <v>4</v>
      </c>
      <c r="D115">
        <v>2</v>
      </c>
      <c r="E115"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 s="3">
        <v>46.310821547799065</v>
      </c>
      <c r="P115" s="3">
        <v>1430.2433865409987</v>
      </c>
      <c r="Q115" s="3">
        <v>3437.2587996659422</v>
      </c>
      <c r="R115" s="3">
        <v>9108.7358191147468</v>
      </c>
      <c r="S115" s="3">
        <v>47.633333333333333</v>
      </c>
      <c r="T115" s="3">
        <v>0.44799999999999995</v>
      </c>
      <c r="U115" s="3">
        <v>0</v>
      </c>
    </row>
    <row r="116" spans="1:21" x14ac:dyDescent="0.25">
      <c r="A116" t="s">
        <v>32</v>
      </c>
      <c r="B116" t="s">
        <v>33</v>
      </c>
      <c r="C116">
        <v>5</v>
      </c>
      <c r="D116">
        <v>2</v>
      </c>
      <c r="E116"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 s="3">
        <v>47.093485086732677</v>
      </c>
      <c r="P116" s="3">
        <v>1503.9901260122399</v>
      </c>
      <c r="Q116" s="3">
        <v>3614.4920115651048</v>
      </c>
      <c r="R116" s="3">
        <v>9578.4038306475268</v>
      </c>
      <c r="S116" s="3">
        <v>47.633333333333333</v>
      </c>
      <c r="T116" s="3">
        <v>0.44799999999999995</v>
      </c>
      <c r="U116" s="3">
        <v>0</v>
      </c>
    </row>
    <row r="117" spans="1:21" x14ac:dyDescent="0.25">
      <c r="A117" t="s">
        <v>32</v>
      </c>
      <c r="B117" t="s">
        <v>33</v>
      </c>
      <c r="C117">
        <v>6</v>
      </c>
      <c r="D117">
        <v>2</v>
      </c>
      <c r="E117"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 s="3">
        <v>47.412967713498745</v>
      </c>
      <c r="P117" s="3">
        <v>1534.8074966596882</v>
      </c>
      <c r="Q117" s="3">
        <v>3688.5544260026159</v>
      </c>
      <c r="R117" s="3">
        <v>9774.6692289069324</v>
      </c>
      <c r="S117" s="3">
        <v>47.633333333333333</v>
      </c>
      <c r="T117" s="3">
        <v>0.44799999999999995</v>
      </c>
      <c r="U117" s="3">
        <v>0</v>
      </c>
    </row>
    <row r="118" spans="1:21" x14ac:dyDescent="0.25">
      <c r="A118" t="s">
        <v>32</v>
      </c>
      <c r="B118" t="s">
        <v>33</v>
      </c>
      <c r="C118">
        <v>7</v>
      </c>
      <c r="D118">
        <v>2</v>
      </c>
      <c r="E118"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 s="3">
        <v>47.543380264649933</v>
      </c>
      <c r="P118" s="3">
        <v>1547.5071371217587</v>
      </c>
      <c r="Q118" s="3">
        <v>3719.0750711890378</v>
      </c>
      <c r="R118" s="3">
        <v>9855.5489386509489</v>
      </c>
      <c r="S118" s="3">
        <v>47.633333333333333</v>
      </c>
      <c r="T118" s="3">
        <v>0.44799999999999995</v>
      </c>
      <c r="U118" s="3">
        <v>0</v>
      </c>
    </row>
    <row r="119" spans="1:21" x14ac:dyDescent="0.25">
      <c r="A119" t="s">
        <v>32</v>
      </c>
      <c r="B119" t="s">
        <v>33</v>
      </c>
      <c r="C119">
        <v>8</v>
      </c>
      <c r="D119">
        <v>2</v>
      </c>
      <c r="E119"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 s="3">
        <v>47.596614563083989</v>
      </c>
      <c r="P119" s="3">
        <v>1552.7111885852785</v>
      </c>
      <c r="Q119" s="3">
        <v>3731.5818038579146</v>
      </c>
      <c r="R119" s="3">
        <v>9888.691780223473</v>
      </c>
      <c r="S119" s="3">
        <v>47.633333333333333</v>
      </c>
      <c r="T119" s="3">
        <v>0.44799999999999995</v>
      </c>
      <c r="U119" s="3">
        <v>0</v>
      </c>
    </row>
    <row r="120" spans="1:21" x14ac:dyDescent="0.25">
      <c r="A120" t="s">
        <v>32</v>
      </c>
      <c r="B120" t="s">
        <v>33</v>
      </c>
      <c r="C120">
        <v>9</v>
      </c>
      <c r="D120">
        <v>2</v>
      </c>
      <c r="E120"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 s="3">
        <v>47.618344760865959</v>
      </c>
      <c r="P120" s="3">
        <v>1554.8388269591867</v>
      </c>
      <c r="Q120" s="3">
        <v>3736.6950900244819</v>
      </c>
      <c r="R120" s="3">
        <v>9902.241988564876</v>
      </c>
      <c r="S120" s="3">
        <v>47.633333333333333</v>
      </c>
      <c r="T120" s="3">
        <v>0.44799999999999995</v>
      </c>
      <c r="U120" s="3">
        <v>0</v>
      </c>
    </row>
    <row r="121" spans="1:21" x14ac:dyDescent="0.25">
      <c r="A121" t="s">
        <v>32</v>
      </c>
      <c r="B121" t="s">
        <v>33</v>
      </c>
      <c r="C121">
        <v>10</v>
      </c>
      <c r="D121">
        <v>2</v>
      </c>
      <c r="E121"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 s="3">
        <v>47.62721501011378</v>
      </c>
      <c r="P121" s="3">
        <v>1555.7078855504262</v>
      </c>
      <c r="Q121" s="3">
        <v>3738.783671113737</v>
      </c>
      <c r="R121" s="3">
        <v>9907.776728451403</v>
      </c>
      <c r="S121" s="3">
        <v>47.633333333333333</v>
      </c>
      <c r="T121" s="3">
        <v>0.44799999999999995</v>
      </c>
      <c r="U121" s="3">
        <v>0</v>
      </c>
    </row>
    <row r="122" spans="1:21" x14ac:dyDescent="0.25">
      <c r="A122" t="s">
        <v>34</v>
      </c>
      <c r="B122" t="s">
        <v>35</v>
      </c>
      <c r="C122">
        <v>1</v>
      </c>
      <c r="D122">
        <v>5</v>
      </c>
      <c r="E122"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 s="3">
        <v>210.25548566593963</v>
      </c>
      <c r="P122" s="3">
        <v>107272.06964857042</v>
      </c>
      <c r="Q122" s="3">
        <v>257803.58002540361</v>
      </c>
      <c r="R122" s="3">
        <v>683179.48706731957</v>
      </c>
      <c r="S122" s="3">
        <v>300.78571428571428</v>
      </c>
      <c r="T122" s="3">
        <v>0.24014285714285719</v>
      </c>
      <c r="U122" s="3">
        <v>0</v>
      </c>
    </row>
    <row r="123" spans="1:21" x14ac:dyDescent="0.25">
      <c r="A123" t="s">
        <v>34</v>
      </c>
      <c r="B123" t="s">
        <v>35</v>
      </c>
      <c r="C123">
        <v>2</v>
      </c>
      <c r="D123">
        <v>5</v>
      </c>
      <c r="E123"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 s="3">
        <v>266.14213576925488</v>
      </c>
      <c r="P123" s="3">
        <v>228065.09730942317</v>
      </c>
      <c r="Q123" s="3">
        <v>548101.6517890488</v>
      </c>
      <c r="R123" s="3">
        <v>1452469.3772409793</v>
      </c>
      <c r="S123" s="3">
        <v>300.78571428571428</v>
      </c>
      <c r="T123" s="3">
        <v>0.24014285714285719</v>
      </c>
      <c r="U123" s="3">
        <v>1</v>
      </c>
    </row>
    <row r="124" spans="1:21" x14ac:dyDescent="0.25">
      <c r="A124" t="s">
        <v>34</v>
      </c>
      <c r="B124" t="s">
        <v>35</v>
      </c>
      <c r="C124">
        <v>3</v>
      </c>
      <c r="D124">
        <v>5</v>
      </c>
      <c r="E124"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 s="3">
        <v>287.5285122359237</v>
      </c>
      <c r="P124" s="3">
        <v>292061.37189564627</v>
      </c>
      <c r="Q124" s="3">
        <v>701901.87910513394</v>
      </c>
      <c r="R124" s="3">
        <v>1860039.9796286048</v>
      </c>
      <c r="S124" s="3">
        <v>300.78571428571428</v>
      </c>
      <c r="T124" s="3">
        <v>0.24014285714285719</v>
      </c>
      <c r="U124" s="3">
        <v>2</v>
      </c>
    </row>
    <row r="125" spans="1:21" x14ac:dyDescent="0.25">
      <c r="A125" t="s">
        <v>34</v>
      </c>
      <c r="B125" t="s">
        <v>35</v>
      </c>
      <c r="C125">
        <v>4</v>
      </c>
      <c r="D125">
        <v>5</v>
      </c>
      <c r="E125"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 s="3">
        <v>295.71252572623939</v>
      </c>
      <c r="P125" s="3">
        <v>319505.46579705627</v>
      </c>
      <c r="Q125" s="3">
        <v>767857.40398235095</v>
      </c>
      <c r="R125" s="3">
        <v>2034822.1205532299</v>
      </c>
      <c r="S125" s="3">
        <v>300.78571428571428</v>
      </c>
      <c r="T125" s="3">
        <v>0.24014285714285719</v>
      </c>
      <c r="U125" s="3">
        <v>3</v>
      </c>
    </row>
    <row r="126" spans="1:21" x14ac:dyDescent="0.25">
      <c r="A126" t="s">
        <v>34</v>
      </c>
      <c r="B126" t="s">
        <v>35</v>
      </c>
      <c r="C126">
        <v>5</v>
      </c>
      <c r="D126">
        <v>5</v>
      </c>
      <c r="E126"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 s="3">
        <v>298.84433615303408</v>
      </c>
      <c r="P126" s="3">
        <v>330460.2899861114</v>
      </c>
      <c r="Q126" s="3">
        <v>794184.78727736452</v>
      </c>
      <c r="R126" s="3">
        <v>2104589.6862850161</v>
      </c>
      <c r="S126" s="3">
        <v>300.78571428571428</v>
      </c>
      <c r="T126" s="3">
        <v>0.24014285714285719</v>
      </c>
      <c r="U126" s="3">
        <v>4</v>
      </c>
    </row>
    <row r="127" spans="1:21" x14ac:dyDescent="0.25">
      <c r="A127" t="s">
        <v>34</v>
      </c>
      <c r="B127" t="s">
        <v>35</v>
      </c>
      <c r="C127">
        <v>6</v>
      </c>
      <c r="D127">
        <v>5</v>
      </c>
      <c r="E127"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 s="3">
        <v>300.04279905402831</v>
      </c>
      <c r="P127" s="3">
        <v>334719.83781043056</v>
      </c>
      <c r="Q127" s="3">
        <v>804421.62415388261</v>
      </c>
      <c r="R127" s="3">
        <v>2131717.3040077887</v>
      </c>
      <c r="S127" s="3">
        <v>300.78571428571428</v>
      </c>
      <c r="T127" s="3">
        <v>0.24014285714285719</v>
      </c>
      <c r="U127" s="3">
        <v>5</v>
      </c>
    </row>
    <row r="128" spans="1:21" x14ac:dyDescent="0.25">
      <c r="A128" t="s">
        <v>34</v>
      </c>
      <c r="B128" t="s">
        <v>35</v>
      </c>
      <c r="C128">
        <v>7</v>
      </c>
      <c r="D128">
        <v>5</v>
      </c>
      <c r="E128"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 s="3">
        <v>300.50141982901869</v>
      </c>
      <c r="P128" s="3">
        <v>336359.79302631918</v>
      </c>
      <c r="Q128" s="3">
        <v>808362.87677558069</v>
      </c>
      <c r="R128" s="3">
        <v>2142161.6234552888</v>
      </c>
      <c r="S128" s="3">
        <v>300.78571428571428</v>
      </c>
      <c r="T128" s="3">
        <v>0.24014285714285719</v>
      </c>
      <c r="U128" s="3">
        <v>6</v>
      </c>
    </row>
    <row r="129" spans="1:21" x14ac:dyDescent="0.25">
      <c r="A129" t="s">
        <v>34</v>
      </c>
      <c r="B129" t="s">
        <v>35</v>
      </c>
      <c r="C129">
        <v>8</v>
      </c>
      <c r="D129">
        <v>5</v>
      </c>
      <c r="E129"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 s="3">
        <v>300.67692214542603</v>
      </c>
      <c r="P129" s="3">
        <v>336988.82013305963</v>
      </c>
      <c r="Q129" s="3">
        <v>809874.5977723134</v>
      </c>
      <c r="R129" s="3">
        <v>2146167.6840966307</v>
      </c>
      <c r="S129" s="3">
        <v>300.78571428571428</v>
      </c>
      <c r="T129" s="3">
        <v>0.24014285714285719</v>
      </c>
      <c r="U129" s="3">
        <v>7</v>
      </c>
    </row>
    <row r="130" spans="1:21" x14ac:dyDescent="0.25">
      <c r="A130" t="s">
        <v>34</v>
      </c>
      <c r="B130" t="s">
        <v>35</v>
      </c>
      <c r="C130">
        <v>9</v>
      </c>
      <c r="D130">
        <v>5</v>
      </c>
      <c r="E130"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 s="3">
        <v>300.74408234562634</v>
      </c>
      <c r="P130" s="3">
        <v>337229.74634921225</v>
      </c>
      <c r="Q130" s="3">
        <v>810453.60814518679</v>
      </c>
      <c r="R130" s="3">
        <v>2147702.0615847451</v>
      </c>
      <c r="S130" s="3">
        <v>300.78571428571428</v>
      </c>
      <c r="T130" s="3">
        <v>0.24014285714285719</v>
      </c>
      <c r="U130" s="3">
        <v>8</v>
      </c>
    </row>
    <row r="131" spans="1:21" x14ac:dyDescent="0.25">
      <c r="A131" t="s">
        <v>34</v>
      </c>
      <c r="B131" t="s">
        <v>35</v>
      </c>
      <c r="C131">
        <v>10</v>
      </c>
      <c r="D131">
        <v>5</v>
      </c>
      <c r="E131"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 s="3">
        <v>300.76978281832248</v>
      </c>
      <c r="P131" s="3">
        <v>337321.97390491894</v>
      </c>
      <c r="Q131" s="3">
        <v>810675.25571958418</v>
      </c>
      <c r="R131" s="3">
        <v>2148289.4276568978</v>
      </c>
      <c r="S131" s="3">
        <v>300.78571428571428</v>
      </c>
      <c r="T131" s="3">
        <v>0.24014285714285719</v>
      </c>
      <c r="U131" s="3">
        <v>9</v>
      </c>
    </row>
    <row r="132" spans="1:21" x14ac:dyDescent="0.25">
      <c r="A132" s="3" t="s">
        <v>186</v>
      </c>
      <c r="B132" t="s">
        <v>196</v>
      </c>
      <c r="C132">
        <v>1</v>
      </c>
      <c r="D132">
        <v>1</v>
      </c>
      <c r="E132">
        <v>1</v>
      </c>
      <c r="F132">
        <v>48.065368900000003</v>
      </c>
      <c r="G132">
        <v>127.37322760000001</v>
      </c>
      <c r="H132">
        <v>19.999999999290001</v>
      </c>
      <c r="I132">
        <v>1.9999999999290002E-2</v>
      </c>
      <c r="J132">
        <v>1.9999999999290002E-5</v>
      </c>
      <c r="K132">
        <v>4.4092399998434721E-2</v>
      </c>
      <c r="L132" s="4">
        <v>1.23E-2</v>
      </c>
      <c r="M132" s="4">
        <v>3.2</v>
      </c>
      <c r="N132">
        <v>10.080371233277278</v>
      </c>
      <c r="O132" s="3">
        <v>17.37704361136111</v>
      </c>
      <c r="P132" s="3">
        <v>114.24256959029441</v>
      </c>
      <c r="Q132" s="3">
        <v>274.55556258181787</v>
      </c>
      <c r="R132" s="3">
        <v>727.57224084181735</v>
      </c>
      <c r="S132" s="3">
        <v>39.200000000000003</v>
      </c>
      <c r="T132" s="3">
        <v>0.58571428571428563</v>
      </c>
      <c r="U132" s="3">
        <v>0</v>
      </c>
    </row>
    <row r="133" spans="1:21" x14ac:dyDescent="0.25">
      <c r="A133" s="3" t="s">
        <v>186</v>
      </c>
      <c r="B133" t="s">
        <v>196</v>
      </c>
      <c r="C133">
        <v>2</v>
      </c>
      <c r="D133">
        <v>1</v>
      </c>
      <c r="E133">
        <v>2</v>
      </c>
      <c r="F133">
        <v>120.16342229999999</v>
      </c>
      <c r="G133">
        <v>318.43306899999999</v>
      </c>
      <c r="H133">
        <v>50.000000019030004</v>
      </c>
      <c r="I133">
        <v>5.0000000019030003E-2</v>
      </c>
      <c r="J133">
        <v>5.000000001903E-5</v>
      </c>
      <c r="K133">
        <v>0.11023100004195391</v>
      </c>
      <c r="L133" s="4">
        <v>1.23E-2</v>
      </c>
      <c r="M133" s="4">
        <v>3.2</v>
      </c>
      <c r="N133">
        <v>13.422480419127959</v>
      </c>
      <c r="O133" s="3">
        <v>27.050984042335848</v>
      </c>
      <c r="P133" s="3">
        <v>470.85905826241515</v>
      </c>
      <c r="Q133" s="3">
        <v>1131.6007168046506</v>
      </c>
      <c r="R133" s="3">
        <v>2998.7418995323237</v>
      </c>
      <c r="S133" s="3">
        <v>39.200000000000003</v>
      </c>
      <c r="T133" s="3">
        <v>0.58571428571428563</v>
      </c>
      <c r="U133" s="3">
        <v>0</v>
      </c>
    </row>
    <row r="134" spans="1:21" x14ac:dyDescent="0.25">
      <c r="A134" s="3" t="s">
        <v>186</v>
      </c>
      <c r="B134" t="s">
        <v>196</v>
      </c>
      <c r="C134">
        <v>3</v>
      </c>
      <c r="D134">
        <v>1</v>
      </c>
      <c r="E134">
        <v>3</v>
      </c>
      <c r="F134">
        <v>192.26147560000001</v>
      </c>
      <c r="G134">
        <v>509.49291040000003</v>
      </c>
      <c r="H134">
        <v>79.999999997160003</v>
      </c>
      <c r="I134">
        <v>7.999999999716001E-2</v>
      </c>
      <c r="J134">
        <v>7.9999999997160007E-5</v>
      </c>
      <c r="K134">
        <v>0.17636959999373888</v>
      </c>
      <c r="L134" s="4">
        <v>1.23E-2</v>
      </c>
      <c r="M134" s="4">
        <v>3.2</v>
      </c>
      <c r="N134">
        <v>15.546057640091004</v>
      </c>
      <c r="O134" s="3">
        <v>32.436544759974929</v>
      </c>
      <c r="P134" s="3">
        <v>841.81330476331766</v>
      </c>
      <c r="Q134" s="3">
        <v>2023.1033519906698</v>
      </c>
      <c r="R134" s="3">
        <v>5361.2238827752744</v>
      </c>
      <c r="S134" s="3">
        <v>39.200000000000003</v>
      </c>
      <c r="T134" s="3">
        <v>0.58571428571428563</v>
      </c>
      <c r="U134" s="3">
        <v>0</v>
      </c>
    </row>
    <row r="135" spans="1:21" x14ac:dyDescent="0.25">
      <c r="A135" s="3" t="s">
        <v>186</v>
      </c>
      <c r="B135" t="s">
        <v>196</v>
      </c>
      <c r="C135">
        <v>4</v>
      </c>
      <c r="D135">
        <v>1</v>
      </c>
      <c r="E135">
        <v>4</v>
      </c>
      <c r="F135">
        <v>242.73011299999999</v>
      </c>
      <c r="G135">
        <v>643.23479940000004</v>
      </c>
      <c r="H135">
        <v>101.00000001929999</v>
      </c>
      <c r="I135">
        <v>0.10100000001929998</v>
      </c>
      <c r="J135">
        <v>1.0100000001929998E-4</v>
      </c>
      <c r="K135">
        <v>0.22266662004254911</v>
      </c>
      <c r="L135" s="4">
        <v>1.23E-2</v>
      </c>
      <c r="M135" s="4">
        <v>3.2</v>
      </c>
      <c r="N135">
        <v>16.72072414391199</v>
      </c>
      <c r="O135" s="3">
        <v>35.434729879092394</v>
      </c>
      <c r="P135" s="3">
        <v>1117.0646693381061</v>
      </c>
      <c r="Q135" s="3">
        <v>2684.606270939933</v>
      </c>
      <c r="R135" s="3">
        <v>7114.2066179908225</v>
      </c>
      <c r="S135" s="3">
        <v>39.200000000000003</v>
      </c>
      <c r="T135" s="3">
        <v>0.58571428571428563</v>
      </c>
      <c r="U135" s="3">
        <v>0</v>
      </c>
    </row>
    <row r="136" spans="1:21" x14ac:dyDescent="0.25">
      <c r="A136" s="3" t="s">
        <v>186</v>
      </c>
      <c r="B136" t="s">
        <v>196</v>
      </c>
      <c r="C136">
        <v>5</v>
      </c>
      <c r="D136">
        <v>1</v>
      </c>
      <c r="E136">
        <v>5</v>
      </c>
      <c r="F136">
        <v>254.74645520000001</v>
      </c>
      <c r="G136">
        <v>675.07810619999998</v>
      </c>
      <c r="H136">
        <v>106.00000000872002</v>
      </c>
      <c r="I136">
        <v>0.10600000000872002</v>
      </c>
      <c r="J136">
        <v>1.0600000000872002E-4</v>
      </c>
      <c r="K136">
        <v>0.23368972001922431</v>
      </c>
      <c r="L136" s="4">
        <v>1.23E-2</v>
      </c>
      <c r="M136" s="4">
        <v>3.2</v>
      </c>
      <c r="N136">
        <v>16.975115407979288</v>
      </c>
      <c r="O136" s="3">
        <v>37.103843733673173</v>
      </c>
      <c r="P136" s="3">
        <v>1294.3317321175573</v>
      </c>
      <c r="Q136" s="3">
        <v>3110.6266092707456</v>
      </c>
      <c r="R136" s="3">
        <v>8243.1605145674748</v>
      </c>
      <c r="S136" s="3">
        <v>39.200000000000003</v>
      </c>
      <c r="T136" s="3">
        <v>0.58571428571428563</v>
      </c>
      <c r="U136" s="3">
        <v>0</v>
      </c>
    </row>
    <row r="137" spans="1:21" x14ac:dyDescent="0.25">
      <c r="A137" s="3" t="s">
        <v>186</v>
      </c>
      <c r="B137" t="s">
        <v>196</v>
      </c>
      <c r="C137">
        <v>6</v>
      </c>
      <c r="D137">
        <v>1</v>
      </c>
      <c r="E137">
        <v>6</v>
      </c>
      <c r="F137">
        <v>283.32131700000002</v>
      </c>
      <c r="G137">
        <v>750.80149010000002</v>
      </c>
      <c r="H137">
        <v>117.89000000370002</v>
      </c>
      <c r="I137">
        <v>0.11789000000370002</v>
      </c>
      <c r="J137">
        <v>1.1789000000370003E-4</v>
      </c>
      <c r="K137">
        <v>0.25990265180815714</v>
      </c>
      <c r="L137" s="4">
        <v>1.23E-2</v>
      </c>
      <c r="M137" s="4">
        <v>3.2</v>
      </c>
      <c r="N137">
        <v>17.548548692677855</v>
      </c>
      <c r="O137" s="3">
        <v>38.033052888167795</v>
      </c>
      <c r="P137" s="3">
        <v>1400.9444367063206</v>
      </c>
      <c r="Q137" s="3">
        <v>3366.8455580541236</v>
      </c>
      <c r="R137" s="3">
        <v>8922.1407288434275</v>
      </c>
      <c r="S137" s="3">
        <v>39.200000000000003</v>
      </c>
      <c r="T137" s="3">
        <v>0.58571428571428563</v>
      </c>
      <c r="U137" s="3">
        <v>0</v>
      </c>
    </row>
    <row r="138" spans="1:21" x14ac:dyDescent="0.25">
      <c r="A138" s="3" t="s">
        <v>186</v>
      </c>
      <c r="B138" t="s">
        <v>196</v>
      </c>
      <c r="C138">
        <v>7</v>
      </c>
      <c r="D138">
        <v>1</v>
      </c>
      <c r="E138">
        <v>7</v>
      </c>
      <c r="F138">
        <v>314.44364339999998</v>
      </c>
      <c r="G138">
        <v>833.27565500000003</v>
      </c>
      <c r="H138">
        <v>130.84000001874</v>
      </c>
      <c r="I138">
        <v>0.13084000001873999</v>
      </c>
      <c r="J138">
        <v>1.3084000001873999E-4</v>
      </c>
      <c r="K138">
        <v>0.28845248084131453</v>
      </c>
      <c r="L138" s="4">
        <v>1.23E-2</v>
      </c>
      <c r="M138" s="4">
        <v>3.2</v>
      </c>
      <c r="N138">
        <v>18.129510157606568</v>
      </c>
      <c r="O138" s="3">
        <v>38.550351124250966</v>
      </c>
      <c r="P138" s="3">
        <v>1462.8365170912211</v>
      </c>
      <c r="Q138" s="3">
        <v>3515.588841843839</v>
      </c>
      <c r="R138" s="3">
        <v>9316.310430886173</v>
      </c>
      <c r="S138" s="3">
        <v>39.200000000000003</v>
      </c>
      <c r="T138" s="3">
        <v>0.58571428571428563</v>
      </c>
      <c r="U138" s="3">
        <v>0</v>
      </c>
    </row>
    <row r="139" spans="1:21" x14ac:dyDescent="0.25">
      <c r="A139" s="3" t="s">
        <v>186</v>
      </c>
      <c r="B139" t="s">
        <v>196</v>
      </c>
      <c r="C139">
        <v>8</v>
      </c>
      <c r="D139">
        <v>1</v>
      </c>
      <c r="E139">
        <v>8</v>
      </c>
      <c r="F139">
        <v>345.5659698</v>
      </c>
      <c r="G139">
        <v>915.74981979999995</v>
      </c>
      <c r="H139">
        <v>143.79000003377999</v>
      </c>
      <c r="I139">
        <v>0.14379000003377998</v>
      </c>
      <c r="J139">
        <v>1.4379000003377998E-4</v>
      </c>
      <c r="K139">
        <v>0.31700230987447198</v>
      </c>
      <c r="L139" s="4">
        <v>1.23E-2</v>
      </c>
      <c r="M139" s="4">
        <v>3.2</v>
      </c>
      <c r="N139">
        <v>18.672173165729784</v>
      </c>
      <c r="O139" s="3">
        <v>38.838335227464299</v>
      </c>
      <c r="P139" s="3">
        <v>1498.0939513752016</v>
      </c>
      <c r="Q139" s="3">
        <v>3600.3219211131977</v>
      </c>
      <c r="R139" s="3">
        <v>9540.8530909499732</v>
      </c>
      <c r="S139" s="3">
        <v>39.200000000000003</v>
      </c>
      <c r="T139" s="3">
        <v>0.58571428571428563</v>
      </c>
      <c r="U139" s="3">
        <v>0</v>
      </c>
    </row>
    <row r="140" spans="1:21" x14ac:dyDescent="0.25">
      <c r="A140" s="3" t="s">
        <v>186</v>
      </c>
      <c r="B140" t="s">
        <v>196</v>
      </c>
      <c r="C140">
        <v>9</v>
      </c>
      <c r="D140">
        <v>1</v>
      </c>
      <c r="E140">
        <v>9</v>
      </c>
      <c r="F140">
        <v>372.74693589999998</v>
      </c>
      <c r="G140">
        <v>987.77937999999995</v>
      </c>
      <c r="H140">
        <v>155.10000002799001</v>
      </c>
      <c r="I140">
        <v>0.15510000002799001</v>
      </c>
      <c r="J140">
        <v>1.5510000002799001E-4</v>
      </c>
      <c r="K140">
        <v>0.34193656206170731</v>
      </c>
      <c r="L140" s="4">
        <v>1.23E-2</v>
      </c>
      <c r="M140" s="4">
        <v>3.2</v>
      </c>
      <c r="N140">
        <v>19.11924945060121</v>
      </c>
      <c r="O140" s="3">
        <v>38.998658302082816</v>
      </c>
      <c r="P140" s="3">
        <v>1517.9729845880943</v>
      </c>
      <c r="Q140" s="3">
        <v>3648.0965743525458</v>
      </c>
      <c r="R140" s="3">
        <v>9667.4559220342453</v>
      </c>
      <c r="S140" s="3">
        <v>39.200000000000003</v>
      </c>
      <c r="T140" s="3">
        <v>0.58571428571428563</v>
      </c>
      <c r="U140" s="3">
        <v>0</v>
      </c>
    </row>
    <row r="141" spans="1:21" x14ac:dyDescent="0.25">
      <c r="A141" s="3" t="s">
        <v>186</v>
      </c>
      <c r="B141" t="s">
        <v>196</v>
      </c>
      <c r="C141">
        <v>10</v>
      </c>
      <c r="D141">
        <v>1</v>
      </c>
      <c r="E141">
        <v>10</v>
      </c>
      <c r="F141">
        <v>408.79596249999997</v>
      </c>
      <c r="G141">
        <v>1083.309301</v>
      </c>
      <c r="H141">
        <v>170.09999999625001</v>
      </c>
      <c r="I141">
        <v>0.17009999999625</v>
      </c>
      <c r="J141">
        <v>1.7009999999625E-4</v>
      </c>
      <c r="K141">
        <v>0.37500586199173264</v>
      </c>
      <c r="L141" s="4">
        <v>1.23E-2</v>
      </c>
      <c r="M141" s="4">
        <v>3.2</v>
      </c>
      <c r="N141">
        <v>19.678851599644297</v>
      </c>
      <c r="O141" s="3">
        <v>39.087911451712728</v>
      </c>
      <c r="P141" s="3">
        <v>1529.1180047687253</v>
      </c>
      <c r="Q141" s="3">
        <v>3674.8810496724955</v>
      </c>
      <c r="R141" s="3">
        <v>9738.4347816321133</v>
      </c>
      <c r="S141" s="3">
        <v>39.200000000000003</v>
      </c>
      <c r="T141" s="3">
        <v>0.58571428571428563</v>
      </c>
      <c r="U141" s="3">
        <v>0</v>
      </c>
    </row>
    <row r="142" spans="1:21" x14ac:dyDescent="0.25">
      <c r="A142" s="3" t="s">
        <v>187</v>
      </c>
      <c r="B142" t="s">
        <v>195</v>
      </c>
      <c r="C142">
        <v>1</v>
      </c>
      <c r="D142">
        <v>1</v>
      </c>
      <c r="E142">
        <v>1</v>
      </c>
      <c r="F142">
        <v>127.5414564</v>
      </c>
      <c r="G142">
        <v>337.98485950000003</v>
      </c>
      <c r="H142">
        <v>53.070000008040005</v>
      </c>
      <c r="I142">
        <v>5.3070000008040005E-2</v>
      </c>
      <c r="J142">
        <v>5.3070000008040008E-5</v>
      </c>
      <c r="K142">
        <v>0.11699918341772515</v>
      </c>
      <c r="L142" s="4">
        <v>1.2E-2</v>
      </c>
      <c r="M142" s="4">
        <v>3.1</v>
      </c>
      <c r="N142">
        <v>14.997604075732943</v>
      </c>
      <c r="O142" s="3">
        <v>10.940569321365825</v>
      </c>
      <c r="P142" s="3">
        <v>19.962043838434557</v>
      </c>
      <c r="Q142" s="3">
        <v>47.974150056319537</v>
      </c>
      <c r="R142" s="3">
        <v>127.13149764924677</v>
      </c>
      <c r="S142" s="3">
        <v>54.3</v>
      </c>
      <c r="T142" s="3">
        <v>0.22500000000000001</v>
      </c>
      <c r="U142" s="3">
        <v>0</v>
      </c>
    </row>
    <row r="143" spans="1:21" x14ac:dyDescent="0.25">
      <c r="A143" s="3" t="s">
        <v>187</v>
      </c>
      <c r="B143" t="s">
        <v>195</v>
      </c>
      <c r="C143">
        <v>2</v>
      </c>
      <c r="D143">
        <v>1</v>
      </c>
      <c r="E143">
        <v>2</v>
      </c>
      <c r="F143">
        <v>347.4885845</v>
      </c>
      <c r="G143">
        <v>920.84474890000001</v>
      </c>
      <c r="H143">
        <v>144.59000001044998</v>
      </c>
      <c r="I143">
        <v>0.14459000001044997</v>
      </c>
      <c r="J143">
        <v>1.4459000001044997E-4</v>
      </c>
      <c r="K143">
        <v>0.31876600582303821</v>
      </c>
      <c r="L143" s="4">
        <v>1.2E-2</v>
      </c>
      <c r="M143" s="4">
        <v>3.1</v>
      </c>
      <c r="N143">
        <v>20.722289929778977</v>
      </c>
      <c r="O143" s="3">
        <v>19.676791366937707</v>
      </c>
      <c r="P143" s="3">
        <v>123.15144629980473</v>
      </c>
      <c r="Q143" s="3">
        <v>295.96598485893952</v>
      </c>
      <c r="R143" s="3">
        <v>784.30985987618965</v>
      </c>
      <c r="S143" s="3">
        <v>54.3</v>
      </c>
      <c r="T143" s="3">
        <v>0.22500000000000001</v>
      </c>
      <c r="U143" s="3">
        <v>0</v>
      </c>
    </row>
    <row r="144" spans="1:21" x14ac:dyDescent="0.25">
      <c r="A144" s="3" t="s">
        <v>187</v>
      </c>
      <c r="B144" t="s">
        <v>195</v>
      </c>
      <c r="C144">
        <v>3</v>
      </c>
      <c r="D144">
        <v>1</v>
      </c>
      <c r="E144">
        <v>3</v>
      </c>
      <c r="F144">
        <v>732.42009129999997</v>
      </c>
      <c r="G144">
        <v>1940.9132420000001</v>
      </c>
      <c r="H144">
        <v>304.75999998992995</v>
      </c>
      <c r="I144">
        <v>0.30475999998992997</v>
      </c>
      <c r="J144">
        <v>3.0475999998992999E-4</v>
      </c>
      <c r="K144">
        <v>0.6718799911777994</v>
      </c>
      <c r="L144" s="4">
        <v>1.2E-2</v>
      </c>
      <c r="M144" s="4">
        <v>3.1</v>
      </c>
      <c r="N144">
        <v>26.356984171020404</v>
      </c>
      <c r="O144" s="3">
        <v>26.652806361010079</v>
      </c>
      <c r="P144" s="3">
        <v>315.48910976816597</v>
      </c>
      <c r="Q144" s="3">
        <v>758.20502227389079</v>
      </c>
      <c r="R144" s="3">
        <v>2009.2433090258105</v>
      </c>
      <c r="S144" s="3">
        <v>54.3</v>
      </c>
      <c r="T144" s="3">
        <v>0.22500000000000001</v>
      </c>
      <c r="U144" s="3">
        <v>0</v>
      </c>
    </row>
    <row r="145" spans="1:21" x14ac:dyDescent="0.25">
      <c r="A145" s="3" t="s">
        <v>187</v>
      </c>
      <c r="B145" t="s">
        <v>195</v>
      </c>
      <c r="C145">
        <v>4</v>
      </c>
      <c r="D145">
        <v>1</v>
      </c>
      <c r="E145">
        <v>4</v>
      </c>
      <c r="F145">
        <v>1115.2006730000001</v>
      </c>
      <c r="G145">
        <v>2955.281782</v>
      </c>
      <c r="H145">
        <v>464.03500003530002</v>
      </c>
      <c r="I145">
        <v>0.46403500003530002</v>
      </c>
      <c r="J145">
        <v>4.6403500003530001E-4</v>
      </c>
      <c r="K145">
        <v>1.023020841777823</v>
      </c>
      <c r="L145" s="4">
        <v>1.2E-2</v>
      </c>
      <c r="M145" s="4">
        <v>3.1</v>
      </c>
      <c r="N145">
        <v>30.185377428941027</v>
      </c>
      <c r="O145" s="3">
        <v>32.223267476085468</v>
      </c>
      <c r="P145" s="3">
        <v>568.20746158456916</v>
      </c>
      <c r="Q145" s="3">
        <v>1365.5550626882218</v>
      </c>
      <c r="R145" s="3">
        <v>3618.7209161237879</v>
      </c>
      <c r="S145" s="3">
        <v>54.3</v>
      </c>
      <c r="T145" s="3">
        <v>0.22500000000000001</v>
      </c>
      <c r="U145" s="3">
        <v>0</v>
      </c>
    </row>
    <row r="146" spans="1:21" x14ac:dyDescent="0.25">
      <c r="A146" s="3" t="s">
        <v>187</v>
      </c>
      <c r="B146" t="s">
        <v>195</v>
      </c>
      <c r="C146">
        <v>5</v>
      </c>
      <c r="D146">
        <v>1</v>
      </c>
      <c r="E146">
        <v>5</v>
      </c>
      <c r="F146">
        <v>1550.4325879999999</v>
      </c>
      <c r="G146">
        <v>4108.6463590000003</v>
      </c>
      <c r="H146">
        <v>645.13499986679994</v>
      </c>
      <c r="I146">
        <v>0.6451349998667999</v>
      </c>
      <c r="J146">
        <v>6.4513499986679993E-4</v>
      </c>
      <c r="K146">
        <v>1.4222775234063443</v>
      </c>
      <c r="L146" s="4">
        <v>1.2E-2</v>
      </c>
      <c r="M146" s="4">
        <v>3.1</v>
      </c>
      <c r="N146">
        <v>33.570503685170742</v>
      </c>
      <c r="O146" s="3">
        <v>36.671371022441605</v>
      </c>
      <c r="P146" s="3">
        <v>848.38972898017994</v>
      </c>
      <c r="Q146" s="3">
        <v>2038.9082647925497</v>
      </c>
      <c r="R146" s="3">
        <v>5403.1069017002565</v>
      </c>
      <c r="S146" s="3">
        <v>54.3</v>
      </c>
      <c r="T146" s="3">
        <v>0.22500000000000001</v>
      </c>
      <c r="U146" s="3">
        <v>0</v>
      </c>
    </row>
    <row r="147" spans="1:21" x14ac:dyDescent="0.25">
      <c r="A147" s="3" t="s">
        <v>187</v>
      </c>
      <c r="B147" t="s">
        <v>195</v>
      </c>
      <c r="C147">
        <v>6</v>
      </c>
      <c r="D147">
        <v>1</v>
      </c>
      <c r="E147">
        <v>6</v>
      </c>
      <c r="F147">
        <v>1976.4359529999999</v>
      </c>
      <c r="G147">
        <v>5237.5552749999997</v>
      </c>
      <c r="H147">
        <v>822.3950000433</v>
      </c>
      <c r="I147">
        <v>0.82239500004330002</v>
      </c>
      <c r="J147">
        <v>8.2239500004330007E-4</v>
      </c>
      <c r="K147">
        <v>1.8130684649954598</v>
      </c>
      <c r="L147" s="4">
        <v>1.2E-2</v>
      </c>
      <c r="M147" s="4">
        <v>3.1</v>
      </c>
      <c r="N147">
        <v>36.305087581617954</v>
      </c>
      <c r="O147" s="3">
        <v>40.223253846928095</v>
      </c>
      <c r="P147" s="3">
        <v>1129.9534835971413</v>
      </c>
      <c r="Q147" s="3">
        <v>2715.5815515432378</v>
      </c>
      <c r="R147" s="3">
        <v>7196.2911115895795</v>
      </c>
      <c r="S147" s="3">
        <v>54.3</v>
      </c>
      <c r="T147" s="3">
        <v>0.22500000000000001</v>
      </c>
      <c r="U147" s="3">
        <v>0</v>
      </c>
    </row>
    <row r="148" spans="1:21" x14ac:dyDescent="0.25">
      <c r="A148" s="3" t="s">
        <v>187</v>
      </c>
      <c r="B148" t="s">
        <v>195</v>
      </c>
      <c r="C148">
        <v>7</v>
      </c>
      <c r="D148">
        <v>1</v>
      </c>
      <c r="E148">
        <v>7</v>
      </c>
      <c r="F148">
        <v>2275.6669069999998</v>
      </c>
      <c r="G148">
        <v>6030.517304</v>
      </c>
      <c r="H148">
        <v>946.90500000269992</v>
      </c>
      <c r="I148">
        <v>0.94690500000269995</v>
      </c>
      <c r="J148">
        <v>9.4690500000269994E-4</v>
      </c>
      <c r="K148">
        <v>2.0875657011059521</v>
      </c>
      <c r="L148" s="4">
        <v>1.2E-2</v>
      </c>
      <c r="M148" s="4">
        <v>3.1</v>
      </c>
      <c r="N148">
        <v>37.994242889558372</v>
      </c>
      <c r="O148" s="3">
        <v>43.059489889413406</v>
      </c>
      <c r="P148" s="3">
        <v>1395.7086685865481</v>
      </c>
      <c r="Q148" s="3">
        <v>3354.2626017460907</v>
      </c>
      <c r="R148" s="3">
        <v>8888.7958946271392</v>
      </c>
      <c r="S148" s="3">
        <v>54.3</v>
      </c>
      <c r="T148" s="3">
        <v>0.22500000000000001</v>
      </c>
      <c r="U148" s="3">
        <v>0</v>
      </c>
    </row>
    <row r="149" spans="1:21" x14ac:dyDescent="0.25">
      <c r="A149" s="3" t="s">
        <v>187</v>
      </c>
      <c r="B149" t="s">
        <v>195</v>
      </c>
      <c r="C149">
        <v>8</v>
      </c>
      <c r="D149">
        <v>1</v>
      </c>
      <c r="E149">
        <v>8</v>
      </c>
      <c r="F149">
        <v>2451.3338140000001</v>
      </c>
      <c r="G149">
        <v>6496.0346079999999</v>
      </c>
      <c r="H149">
        <v>1020.0000000054</v>
      </c>
      <c r="I149">
        <v>1.0200000000053999</v>
      </c>
      <c r="J149">
        <v>1.0200000000053998E-3</v>
      </c>
      <c r="K149">
        <v>2.2487124000119048</v>
      </c>
      <c r="L149" s="4">
        <v>1.2E-2</v>
      </c>
      <c r="M149" s="4">
        <v>3.1</v>
      </c>
      <c r="N149">
        <v>38.916622113975315</v>
      </c>
      <c r="O149" s="3">
        <v>45.324270369567849</v>
      </c>
      <c r="P149" s="3">
        <v>1636.0885031377572</v>
      </c>
      <c r="Q149" s="3">
        <v>3931.9598729578402</v>
      </c>
      <c r="R149" s="3">
        <v>10419.693663338276</v>
      </c>
      <c r="S149" s="3">
        <v>54.3</v>
      </c>
      <c r="T149" s="3">
        <v>0.22500000000000001</v>
      </c>
      <c r="U149" s="3">
        <v>0</v>
      </c>
    </row>
    <row r="150" spans="1:21" x14ac:dyDescent="0.25">
      <c r="A150" s="3" t="s">
        <v>187</v>
      </c>
      <c r="B150" t="s">
        <v>195</v>
      </c>
      <c r="C150">
        <v>9</v>
      </c>
      <c r="D150">
        <v>1</v>
      </c>
      <c r="E150">
        <v>9</v>
      </c>
      <c r="F150">
        <v>2643.5952900000002</v>
      </c>
      <c r="G150">
        <v>7005.5275179999999</v>
      </c>
      <c r="H150">
        <v>1100.000000169</v>
      </c>
      <c r="I150">
        <v>1.100000000169</v>
      </c>
      <c r="J150">
        <v>1.1000000001690001E-3</v>
      </c>
      <c r="K150">
        <v>2.4250820003725808</v>
      </c>
      <c r="L150" s="4">
        <v>1.2E-2</v>
      </c>
      <c r="M150" s="4">
        <v>3.1</v>
      </c>
      <c r="N150">
        <v>39.876163449959911</v>
      </c>
      <c r="O150" s="3">
        <v>47.132734314900816</v>
      </c>
      <c r="P150" s="3">
        <v>1847.0617522628568</v>
      </c>
      <c r="Q150" s="3">
        <v>4438.9852253373138</v>
      </c>
      <c r="R150" s="3">
        <v>11763.310847143881</v>
      </c>
      <c r="S150" s="3">
        <v>54.3</v>
      </c>
      <c r="T150" s="3">
        <v>0.22500000000000001</v>
      </c>
      <c r="U150" s="3">
        <v>0</v>
      </c>
    </row>
    <row r="151" spans="1:21" x14ac:dyDescent="0.25">
      <c r="A151" s="3" t="s">
        <v>187</v>
      </c>
      <c r="B151" t="s">
        <v>195</v>
      </c>
      <c r="C151">
        <v>10</v>
      </c>
      <c r="D151">
        <v>1</v>
      </c>
      <c r="E151">
        <v>10</v>
      </c>
      <c r="F151">
        <v>3076.18361</v>
      </c>
      <c r="G151">
        <v>8151.8865660000001</v>
      </c>
      <c r="H151">
        <v>1280.0000001210001</v>
      </c>
      <c r="I151">
        <v>1.2800000001210001</v>
      </c>
      <c r="J151">
        <v>1.2800000001210001E-3</v>
      </c>
      <c r="K151">
        <v>2.8219136002667589</v>
      </c>
      <c r="L151" s="4">
        <v>1.2E-2</v>
      </c>
      <c r="M151" s="4">
        <v>3.1</v>
      </c>
      <c r="N151">
        <v>41.874029007707747</v>
      </c>
      <c r="O151" s="3">
        <v>48.576822106290763</v>
      </c>
      <c r="P151" s="3">
        <v>2028.203162915443</v>
      </c>
      <c r="Q151" s="3">
        <v>4874.3166616569169</v>
      </c>
      <c r="R151" s="3">
        <v>12916.939153390829</v>
      </c>
      <c r="S151" s="3">
        <v>54.3</v>
      </c>
      <c r="T151" s="3">
        <v>0.22500000000000001</v>
      </c>
      <c r="U151" s="3">
        <v>0</v>
      </c>
    </row>
    <row r="152" spans="1:21" x14ac:dyDescent="0.25">
      <c r="A152" s="3" t="s">
        <v>183</v>
      </c>
      <c r="B152" t="s">
        <v>197</v>
      </c>
      <c r="C152">
        <v>1</v>
      </c>
      <c r="D152">
        <v>1</v>
      </c>
      <c r="E152">
        <v>1</v>
      </c>
      <c r="F152">
        <v>476.02739730000002</v>
      </c>
      <c r="G152">
        <v>1261.4726029999999</v>
      </c>
      <c r="H152">
        <v>198.07500001653005</v>
      </c>
      <c r="I152">
        <v>0.19807500001653006</v>
      </c>
      <c r="J152">
        <v>1.9807500001653005E-4</v>
      </c>
      <c r="K152">
        <v>0.43668010653644246</v>
      </c>
      <c r="L152" s="4">
        <v>1.24E-2</v>
      </c>
      <c r="M152" s="4">
        <v>3.2</v>
      </c>
      <c r="N152">
        <v>20.585669387454402</v>
      </c>
      <c r="O152" s="3">
        <v>4.8373105205674864</v>
      </c>
      <c r="P152" s="3">
        <v>1.923775453962943</v>
      </c>
      <c r="Q152" s="3">
        <v>4.6233488439388202</v>
      </c>
      <c r="R152" s="3">
        <v>12.251874436437873</v>
      </c>
      <c r="S152">
        <v>20.9</v>
      </c>
      <c r="T152">
        <v>0.19500000000000001</v>
      </c>
      <c r="U152">
        <v>-0.35</v>
      </c>
    </row>
    <row r="153" spans="1:21" x14ac:dyDescent="0.25">
      <c r="A153" s="3" t="s">
        <v>183</v>
      </c>
      <c r="B153" t="s">
        <v>197</v>
      </c>
      <c r="C153">
        <v>2</v>
      </c>
      <c r="D153">
        <v>1</v>
      </c>
      <c r="E153">
        <v>2</v>
      </c>
      <c r="F153">
        <v>1129.488104</v>
      </c>
      <c r="G153">
        <v>2993.143474</v>
      </c>
      <c r="H153">
        <v>469.98000007439998</v>
      </c>
      <c r="I153">
        <v>0.4699800000744</v>
      </c>
      <c r="J153">
        <v>4.6998000007440001E-4</v>
      </c>
      <c r="K153">
        <v>1.0361273077640236</v>
      </c>
      <c r="L153" s="4">
        <v>1.24E-2</v>
      </c>
      <c r="M153" s="4">
        <v>3.2</v>
      </c>
      <c r="N153">
        <v>26.966869202838879</v>
      </c>
      <c r="O153" s="3">
        <v>7.6830623947311434</v>
      </c>
      <c r="P153" s="3">
        <v>8.4553509376347833</v>
      </c>
      <c r="Q153" s="3">
        <v>20.320478100540214</v>
      </c>
      <c r="R153" s="3">
        <v>53.849266966431564</v>
      </c>
      <c r="S153">
        <v>20.9</v>
      </c>
      <c r="T153">
        <v>0.19500000000000001</v>
      </c>
      <c r="U153">
        <v>-0.35</v>
      </c>
    </row>
    <row r="154" spans="1:21" x14ac:dyDescent="0.25">
      <c r="A154" s="3" t="s">
        <v>183</v>
      </c>
      <c r="B154" t="s">
        <v>197</v>
      </c>
      <c r="C154">
        <v>3</v>
      </c>
      <c r="D154">
        <v>1</v>
      </c>
      <c r="E154">
        <v>3</v>
      </c>
      <c r="F154">
        <v>1548.9065129999999</v>
      </c>
      <c r="G154">
        <v>4104.6022599999997</v>
      </c>
      <c r="H154">
        <v>644.50000005929996</v>
      </c>
      <c r="I154">
        <v>0.64450000005929997</v>
      </c>
      <c r="J154">
        <v>6.445000000593E-4</v>
      </c>
      <c r="K154">
        <v>1.4208775901307338</v>
      </c>
      <c r="L154" s="4">
        <v>1.24E-2</v>
      </c>
      <c r="M154" s="4">
        <v>3.2</v>
      </c>
      <c r="N154">
        <v>29.763766337987356</v>
      </c>
      <c r="O154" s="3">
        <v>10.02464566502087</v>
      </c>
      <c r="P154" s="3">
        <v>19.808089233497125</v>
      </c>
      <c r="Q154" s="3">
        <v>47.604155812297819</v>
      </c>
      <c r="R154" s="3">
        <v>126.15101290258922</v>
      </c>
      <c r="S154">
        <v>20.9</v>
      </c>
      <c r="T154">
        <v>0.19500000000000001</v>
      </c>
      <c r="U154">
        <v>-0.35</v>
      </c>
    </row>
    <row r="155" spans="1:21" x14ac:dyDescent="0.25">
      <c r="A155" s="3" t="s">
        <v>183</v>
      </c>
      <c r="B155" t="s">
        <v>197</v>
      </c>
      <c r="C155">
        <v>4</v>
      </c>
      <c r="D155">
        <v>1</v>
      </c>
      <c r="E155">
        <v>4</v>
      </c>
      <c r="F155">
        <v>2095.4578219999999</v>
      </c>
      <c r="G155">
        <v>5552.9632300000003</v>
      </c>
      <c r="H155">
        <v>871.91999973419991</v>
      </c>
      <c r="I155">
        <v>0.87191999973419987</v>
      </c>
      <c r="J155">
        <v>8.7191999973419991E-4</v>
      </c>
      <c r="K155">
        <v>1.9222522698140116</v>
      </c>
      <c r="L155" s="4">
        <v>1.24E-2</v>
      </c>
      <c r="M155" s="4">
        <v>3.2</v>
      </c>
      <c r="N155">
        <v>32.711817394436984</v>
      </c>
      <c r="O155" s="3">
        <v>11.951381534539408</v>
      </c>
      <c r="P155" s="3">
        <v>34.766393415183607</v>
      </c>
      <c r="Q155" s="3">
        <v>83.552976244132694</v>
      </c>
      <c r="R155" s="3">
        <v>221.41538704695162</v>
      </c>
      <c r="S155">
        <v>20.9</v>
      </c>
      <c r="T155">
        <v>0.19500000000000001</v>
      </c>
      <c r="U155">
        <v>-0.35</v>
      </c>
    </row>
    <row r="156" spans="1:21" x14ac:dyDescent="0.25">
      <c r="A156" s="3" t="s">
        <v>183</v>
      </c>
      <c r="B156" t="s">
        <v>197</v>
      </c>
      <c r="C156">
        <v>5</v>
      </c>
      <c r="D156">
        <v>1</v>
      </c>
      <c r="E156">
        <v>5</v>
      </c>
      <c r="F156">
        <v>2636.890171</v>
      </c>
      <c r="G156">
        <v>6987.7589529999996</v>
      </c>
      <c r="H156">
        <v>1097.2100001530998</v>
      </c>
      <c r="I156">
        <v>1.0972100001530998</v>
      </c>
      <c r="J156">
        <v>1.0972100001530997E-3</v>
      </c>
      <c r="K156">
        <v>2.4189311105375264</v>
      </c>
      <c r="L156" s="4">
        <v>1.24E-2</v>
      </c>
      <c r="M156" s="4">
        <v>3.2</v>
      </c>
      <c r="N156">
        <v>35.147648337383011</v>
      </c>
      <c r="O156" s="3">
        <v>13.536766584898963</v>
      </c>
      <c r="P156" s="3">
        <v>51.792812427196722</v>
      </c>
      <c r="Q156" s="3">
        <v>124.47203178850451</v>
      </c>
      <c r="R156" s="3">
        <v>329.85088423953692</v>
      </c>
      <c r="S156">
        <v>20.9</v>
      </c>
      <c r="T156">
        <v>0.19500000000000001</v>
      </c>
      <c r="U156">
        <v>-0.35</v>
      </c>
    </row>
    <row r="157" spans="1:21" x14ac:dyDescent="0.25">
      <c r="A157" s="3" t="s">
        <v>183</v>
      </c>
      <c r="B157" t="s">
        <v>197</v>
      </c>
      <c r="C157">
        <v>6</v>
      </c>
      <c r="D157">
        <v>1</v>
      </c>
      <c r="E157">
        <v>6</v>
      </c>
      <c r="F157">
        <v>2919.850997</v>
      </c>
      <c r="G157">
        <v>7737.6051429999998</v>
      </c>
      <c r="H157">
        <v>1214.9499998517001</v>
      </c>
      <c r="I157">
        <v>1.2149499998517002</v>
      </c>
      <c r="J157">
        <v>1.2149499998517002E-3</v>
      </c>
      <c r="K157">
        <v>2.6785030686730549</v>
      </c>
      <c r="L157" s="4">
        <v>1.24E-2</v>
      </c>
      <c r="M157" s="4">
        <v>3.2</v>
      </c>
      <c r="N157">
        <v>36.285258805695427</v>
      </c>
      <c r="O157" s="3">
        <v>14.841276350698688</v>
      </c>
      <c r="P157" s="3">
        <v>69.523190031244795</v>
      </c>
      <c r="Q157" s="3">
        <v>167.08288880376062</v>
      </c>
      <c r="R157" s="3">
        <v>442.76965532996564</v>
      </c>
      <c r="S157">
        <v>20.9</v>
      </c>
      <c r="T157">
        <v>0.19500000000000001</v>
      </c>
      <c r="U157">
        <v>-0.35</v>
      </c>
    </row>
    <row r="158" spans="1:21" x14ac:dyDescent="0.25">
      <c r="A158" s="3" t="s">
        <v>183</v>
      </c>
      <c r="B158" t="s">
        <v>197</v>
      </c>
      <c r="C158">
        <v>7</v>
      </c>
      <c r="D158">
        <v>1</v>
      </c>
      <c r="E158">
        <v>7</v>
      </c>
      <c r="F158">
        <v>3445.5659700000001</v>
      </c>
      <c r="G158">
        <v>9130.7498190000006</v>
      </c>
      <c r="H158">
        <v>1433.7000001169999</v>
      </c>
      <c r="I158">
        <v>1.4337000001169999</v>
      </c>
      <c r="J158">
        <v>1.4337000001169999E-3</v>
      </c>
      <c r="K158">
        <v>3.1607636942579402</v>
      </c>
      <c r="L158" s="4">
        <v>1.24E-2</v>
      </c>
      <c r="M158" s="4">
        <v>3.2</v>
      </c>
      <c r="N158">
        <v>38.211926836032923</v>
      </c>
      <c r="O158" s="3">
        <v>15.914672197771242</v>
      </c>
      <c r="P158" s="3">
        <v>86.930928383652684</v>
      </c>
      <c r="Q158" s="3">
        <v>208.91835708640397</v>
      </c>
      <c r="R158" s="3">
        <v>553.63364627897056</v>
      </c>
      <c r="S158">
        <v>20.9</v>
      </c>
      <c r="T158">
        <v>0.19500000000000001</v>
      </c>
      <c r="U158">
        <v>-0.35</v>
      </c>
    </row>
    <row r="159" spans="1:21" x14ac:dyDescent="0.25">
      <c r="A159" s="3" t="s">
        <v>183</v>
      </c>
      <c r="B159" t="s">
        <v>197</v>
      </c>
      <c r="C159">
        <v>8</v>
      </c>
      <c r="D159">
        <v>1</v>
      </c>
      <c r="E159">
        <v>8</v>
      </c>
      <c r="F159">
        <v>3970.9204519999998</v>
      </c>
      <c r="G159">
        <v>10522.939200000001</v>
      </c>
      <c r="H159">
        <v>1652.3000000771999</v>
      </c>
      <c r="I159">
        <v>1.6523000000771999</v>
      </c>
      <c r="J159">
        <v>1.6523000000772E-3</v>
      </c>
      <c r="K159">
        <v>3.6426936261701961</v>
      </c>
      <c r="L159" s="4">
        <v>1.24E-2</v>
      </c>
      <c r="M159" s="4">
        <v>3.2</v>
      </c>
      <c r="N159">
        <v>39.94463945663405</v>
      </c>
      <c r="O159" s="3">
        <v>16.797899502555939</v>
      </c>
      <c r="P159" s="3">
        <v>103.33266183026286</v>
      </c>
      <c r="Q159" s="3">
        <v>248.33612552334262</v>
      </c>
      <c r="R159" s="3">
        <v>658.09073263685787</v>
      </c>
      <c r="S159">
        <v>20.9</v>
      </c>
      <c r="T159">
        <v>0.19500000000000001</v>
      </c>
      <c r="U159">
        <v>-0.35</v>
      </c>
    </row>
    <row r="160" spans="1:21" x14ac:dyDescent="0.25">
      <c r="A160" s="3" t="s">
        <v>183</v>
      </c>
      <c r="B160" t="s">
        <v>197</v>
      </c>
      <c r="C160">
        <v>9</v>
      </c>
      <c r="D160">
        <v>1</v>
      </c>
      <c r="E160">
        <v>9</v>
      </c>
      <c r="F160">
        <v>4109.5890410000002</v>
      </c>
      <c r="G160">
        <v>10890.410959999999</v>
      </c>
      <c r="H160">
        <v>1709.9999999601</v>
      </c>
      <c r="I160">
        <v>1.7099999999601001</v>
      </c>
      <c r="J160">
        <v>1.7099999999601002E-3</v>
      </c>
      <c r="K160">
        <v>3.7699001999120356</v>
      </c>
      <c r="L160" s="4">
        <v>1.24E-2</v>
      </c>
      <c r="M160" s="4">
        <v>3.2</v>
      </c>
      <c r="N160">
        <v>40.375415800387913</v>
      </c>
      <c r="O160" s="3">
        <v>17.524649539874193</v>
      </c>
      <c r="P160" s="3">
        <v>118.33128438676349</v>
      </c>
      <c r="Q160" s="3">
        <v>284.38184183312541</v>
      </c>
      <c r="R160" s="3">
        <v>753.61188085778235</v>
      </c>
      <c r="S160">
        <v>20.9</v>
      </c>
      <c r="T160">
        <v>0.19500000000000001</v>
      </c>
      <c r="U160">
        <v>-0.35</v>
      </c>
    </row>
    <row r="161" spans="1:21" x14ac:dyDescent="0.25">
      <c r="A161" s="3" t="s">
        <v>183</v>
      </c>
      <c r="B161" t="s">
        <v>197</v>
      </c>
      <c r="C161">
        <v>10</v>
      </c>
      <c r="D161">
        <v>1</v>
      </c>
      <c r="E161">
        <v>10</v>
      </c>
      <c r="F161">
        <v>4373.9485699999996</v>
      </c>
      <c r="G161">
        <v>11590.96371</v>
      </c>
      <c r="H161">
        <v>1819.9999999769998</v>
      </c>
      <c r="I161">
        <v>1.8199999999769998</v>
      </c>
      <c r="J161">
        <v>1.8199999999769997E-3</v>
      </c>
      <c r="K161">
        <v>4.012408399949293</v>
      </c>
      <c r="L161" s="4">
        <v>1.24E-2</v>
      </c>
      <c r="M161" s="4">
        <v>3.2</v>
      </c>
      <c r="N161">
        <v>41.169731262769922</v>
      </c>
      <c r="O161" s="3">
        <v>18.122644658323157</v>
      </c>
      <c r="P161" s="3">
        <v>131.74396360654782</v>
      </c>
      <c r="Q161" s="3">
        <v>316.61611056608461</v>
      </c>
      <c r="R161" s="3">
        <v>839.03269300012425</v>
      </c>
      <c r="S161">
        <v>20.9</v>
      </c>
      <c r="T161">
        <v>0.19500000000000001</v>
      </c>
      <c r="U161">
        <v>-0.35</v>
      </c>
    </row>
    <row r="162" spans="1:21" x14ac:dyDescent="0.25">
      <c r="A162" t="s">
        <v>36</v>
      </c>
      <c r="B162" t="s">
        <v>37</v>
      </c>
      <c r="C162">
        <v>1</v>
      </c>
      <c r="D162">
        <v>2</v>
      </c>
      <c r="E162"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v>11.817416766733004</v>
      </c>
      <c r="P162">
        <v>17.503414393555982</v>
      </c>
      <c r="Q162">
        <v>42.065403493285224</v>
      </c>
      <c r="R162">
        <v>111.47331925720584</v>
      </c>
      <c r="S162">
        <v>41</v>
      </c>
      <c r="T162">
        <v>0.17</v>
      </c>
      <c r="U162">
        <v>0</v>
      </c>
    </row>
    <row r="163" spans="1:21" x14ac:dyDescent="0.25">
      <c r="A163" t="s">
        <v>36</v>
      </c>
      <c r="B163" t="s">
        <v>37</v>
      </c>
      <c r="C163">
        <v>2</v>
      </c>
      <c r="D163">
        <v>2</v>
      </c>
      <c r="E163"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v>20.228703313010829</v>
      </c>
      <c r="P163">
        <v>85.464740484643812</v>
      </c>
      <c r="Q163">
        <v>205.39471397414999</v>
      </c>
      <c r="R163">
        <v>544.29599203149746</v>
      </c>
      <c r="S163">
        <v>41</v>
      </c>
      <c r="T163">
        <v>0.17</v>
      </c>
      <c r="U163">
        <v>0</v>
      </c>
    </row>
    <row r="164" spans="1:21" x14ac:dyDescent="0.25">
      <c r="A164" t="s">
        <v>36</v>
      </c>
      <c r="B164" t="s">
        <v>37</v>
      </c>
      <c r="C164">
        <v>3</v>
      </c>
      <c r="D164">
        <v>2</v>
      </c>
      <c r="E164"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v>26.215607452903786</v>
      </c>
      <c r="P164">
        <v>183.62551462282198</v>
      </c>
      <c r="Q164">
        <v>441.30140500558036</v>
      </c>
      <c r="R164">
        <v>1169.448723264788</v>
      </c>
      <c r="S164">
        <v>41</v>
      </c>
      <c r="T164">
        <v>0.17</v>
      </c>
      <c r="U164">
        <v>0</v>
      </c>
    </row>
    <row r="165" spans="1:21" x14ac:dyDescent="0.25">
      <c r="A165" t="s">
        <v>36</v>
      </c>
      <c r="B165" t="s">
        <v>37</v>
      </c>
      <c r="C165">
        <v>4</v>
      </c>
      <c r="D165">
        <v>2</v>
      </c>
      <c r="E165"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v>30.476908144904211</v>
      </c>
      <c r="P165">
        <v>286.34883404136116</v>
      </c>
      <c r="Q165">
        <v>688.17311713857521</v>
      </c>
      <c r="R165">
        <v>1823.6587604172241</v>
      </c>
      <c r="S165">
        <v>41</v>
      </c>
      <c r="T165">
        <v>0.17</v>
      </c>
      <c r="U165">
        <v>0</v>
      </c>
    </row>
    <row r="166" spans="1:21" x14ac:dyDescent="0.25">
      <c r="A166" t="s">
        <v>36</v>
      </c>
      <c r="B166" t="s">
        <v>37</v>
      </c>
      <c r="C166">
        <v>5</v>
      </c>
      <c r="D166">
        <v>2</v>
      </c>
      <c r="E166"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v>33.50997551383788</v>
      </c>
      <c r="P166">
        <v>378.83044312640737</v>
      </c>
      <c r="Q166">
        <v>910.43125000338216</v>
      </c>
      <c r="R166">
        <v>2412.6428125089628</v>
      </c>
      <c r="S166">
        <v>41</v>
      </c>
      <c r="T166">
        <v>0.17</v>
      </c>
      <c r="U166">
        <v>0</v>
      </c>
    </row>
    <row r="167" spans="1:21" x14ac:dyDescent="0.25">
      <c r="A167" t="s">
        <v>36</v>
      </c>
      <c r="B167" t="s">
        <v>37</v>
      </c>
      <c r="C167">
        <v>6</v>
      </c>
      <c r="D167">
        <v>2</v>
      </c>
      <c r="E167"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v>35.668822853984537</v>
      </c>
      <c r="P167">
        <v>455.44206302122319</v>
      </c>
      <c r="Q167">
        <v>1094.5495386234636</v>
      </c>
      <c r="R167">
        <v>2900.5562773521783</v>
      </c>
      <c r="S167">
        <v>41</v>
      </c>
      <c r="T167">
        <v>0.17</v>
      </c>
      <c r="U167">
        <v>0</v>
      </c>
    </row>
    <row r="168" spans="1:21" x14ac:dyDescent="0.25">
      <c r="A168" t="s">
        <v>36</v>
      </c>
      <c r="B168" t="s">
        <v>37</v>
      </c>
      <c r="C168">
        <v>7</v>
      </c>
      <c r="D168">
        <v>2</v>
      </c>
      <c r="E168"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v>37.20542632207593</v>
      </c>
      <c r="P168">
        <v>515.78628244310971</v>
      </c>
      <c r="Q168">
        <v>1239.5728970033879</v>
      </c>
      <c r="R168">
        <v>3284.8681770589778</v>
      </c>
      <c r="S168">
        <v>41</v>
      </c>
      <c r="T168">
        <v>0.17</v>
      </c>
      <c r="U168">
        <v>0</v>
      </c>
    </row>
    <row r="169" spans="1:21" x14ac:dyDescent="0.25">
      <c r="A169" t="s">
        <v>36</v>
      </c>
      <c r="B169" t="s">
        <v>37</v>
      </c>
      <c r="C169">
        <v>8</v>
      </c>
      <c r="D169">
        <v>2</v>
      </c>
      <c r="E169"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v>38.299135068517479</v>
      </c>
      <c r="P169">
        <v>561.80900521213846</v>
      </c>
      <c r="Q169">
        <v>1350.1778543911041</v>
      </c>
      <c r="R169">
        <v>3577.9713141364259</v>
      </c>
      <c r="S169">
        <v>41</v>
      </c>
      <c r="T169">
        <v>0.17</v>
      </c>
      <c r="U169">
        <v>0</v>
      </c>
    </row>
    <row r="170" spans="1:21" x14ac:dyDescent="0.25">
      <c r="A170" t="s">
        <v>36</v>
      </c>
      <c r="B170" t="s">
        <v>37</v>
      </c>
      <c r="C170">
        <v>9</v>
      </c>
      <c r="D170">
        <v>2</v>
      </c>
      <c r="E170"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v>39.077604495980474</v>
      </c>
      <c r="P170">
        <v>596.16798297115542</v>
      </c>
      <c r="Q170">
        <v>1432.751701444738</v>
      </c>
      <c r="R170">
        <v>3796.7920088285555</v>
      </c>
      <c r="S170">
        <v>41</v>
      </c>
      <c r="T170">
        <v>0.17</v>
      </c>
      <c r="U170">
        <v>0</v>
      </c>
    </row>
    <row r="171" spans="1:21" x14ac:dyDescent="0.25">
      <c r="A171" t="s">
        <v>36</v>
      </c>
      <c r="B171" t="s">
        <v>37</v>
      </c>
      <c r="C171">
        <v>10</v>
      </c>
      <c r="D171">
        <v>2</v>
      </c>
      <c r="E171"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v>39.631695931626631</v>
      </c>
      <c r="P171">
        <v>621.45127699565819</v>
      </c>
      <c r="Q171">
        <v>1493.5142441616397</v>
      </c>
      <c r="R171">
        <v>3957.8127470283448</v>
      </c>
      <c r="S171">
        <v>41</v>
      </c>
      <c r="T171">
        <v>0.17</v>
      </c>
      <c r="U171">
        <v>0</v>
      </c>
    </row>
    <row r="172" spans="1:21" x14ac:dyDescent="0.25">
      <c r="A172" t="s">
        <v>38</v>
      </c>
      <c r="B172" t="s">
        <v>39</v>
      </c>
      <c r="C172">
        <v>1</v>
      </c>
      <c r="D172">
        <v>1</v>
      </c>
      <c r="E172"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v>12.715233006614545</v>
      </c>
      <c r="P172">
        <v>26.724914311425248</v>
      </c>
      <c r="Q172">
        <v>64.227143262257258</v>
      </c>
      <c r="R172">
        <v>170.20192964498173</v>
      </c>
      <c r="S172">
        <v>152</v>
      </c>
      <c r="T172">
        <v>9.6000000000000002E-2</v>
      </c>
      <c r="U172">
        <v>0.09</v>
      </c>
    </row>
    <row r="173" spans="1:21" x14ac:dyDescent="0.25">
      <c r="A173" t="s">
        <v>38</v>
      </c>
      <c r="B173" t="s">
        <v>39</v>
      </c>
      <c r="C173">
        <v>2</v>
      </c>
      <c r="D173">
        <v>1</v>
      </c>
      <c r="E173"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v>25.464801199995083</v>
      </c>
      <c r="P173">
        <v>214.66647380591499</v>
      </c>
      <c r="Q173">
        <v>515.90116271548902</v>
      </c>
      <c r="R173">
        <v>1367.138081196046</v>
      </c>
      <c r="S173">
        <v>152</v>
      </c>
      <c r="T173">
        <v>9.6000000000000002E-2</v>
      </c>
      <c r="U173">
        <v>0.09</v>
      </c>
    </row>
    <row r="174" spans="1:21" x14ac:dyDescent="0.25">
      <c r="A174" t="s">
        <v>38</v>
      </c>
      <c r="B174" t="s">
        <v>39</v>
      </c>
      <c r="C174">
        <v>3</v>
      </c>
      <c r="D174">
        <v>1</v>
      </c>
      <c r="E174"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v>37.047325124095401</v>
      </c>
      <c r="P174">
        <v>661.0189689184964</v>
      </c>
      <c r="Q174">
        <v>1588.6060296046535</v>
      </c>
      <c r="R174">
        <v>4209.8059784523311</v>
      </c>
      <c r="S174">
        <v>152</v>
      </c>
      <c r="T174">
        <v>9.6000000000000002E-2</v>
      </c>
      <c r="U174">
        <v>0.09</v>
      </c>
    </row>
    <row r="175" spans="1:21" x14ac:dyDescent="0.25">
      <c r="A175" t="s">
        <v>38</v>
      </c>
      <c r="B175" t="s">
        <v>39</v>
      </c>
      <c r="C175">
        <v>4</v>
      </c>
      <c r="D175">
        <v>1</v>
      </c>
      <c r="E175"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v>47.569631324395452</v>
      </c>
      <c r="P175">
        <v>1399.3704826257156</v>
      </c>
      <c r="Q175">
        <v>3363.0629238781917</v>
      </c>
      <c r="R175">
        <v>8912.1167482772071</v>
      </c>
      <c r="S175">
        <v>152</v>
      </c>
      <c r="T175">
        <v>9.6000000000000002E-2</v>
      </c>
      <c r="U175">
        <v>0.09</v>
      </c>
    </row>
    <row r="176" spans="1:21" x14ac:dyDescent="0.25">
      <c r="A176" t="s">
        <v>38</v>
      </c>
      <c r="B176" t="s">
        <v>39</v>
      </c>
      <c r="C176">
        <v>5</v>
      </c>
      <c r="D176">
        <v>1</v>
      </c>
      <c r="E176"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v>57.128767873424692</v>
      </c>
      <c r="P176">
        <v>2423.8621936963923</v>
      </c>
      <c r="Q176">
        <v>5825.1915253458119</v>
      </c>
      <c r="R176">
        <v>15436.757542166401</v>
      </c>
      <c r="S176">
        <v>152</v>
      </c>
      <c r="T176">
        <v>9.6000000000000002E-2</v>
      </c>
      <c r="U176">
        <v>0.09</v>
      </c>
    </row>
    <row r="177" spans="1:21" x14ac:dyDescent="0.25">
      <c r="A177" t="s">
        <v>38</v>
      </c>
      <c r="B177" t="s">
        <v>39</v>
      </c>
      <c r="C177">
        <v>6</v>
      </c>
      <c r="D177">
        <v>1</v>
      </c>
      <c r="E177"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v>65.812899452904929</v>
      </c>
      <c r="P177">
        <v>3705.7526325367608</v>
      </c>
      <c r="Q177">
        <v>8905.9183670674374</v>
      </c>
      <c r="R177">
        <v>23600.683672728708</v>
      </c>
      <c r="S177">
        <v>152</v>
      </c>
      <c r="T177">
        <v>9.6000000000000002E-2</v>
      </c>
      <c r="U177">
        <v>0.09</v>
      </c>
    </row>
    <row r="178" spans="1:21" x14ac:dyDescent="0.25">
      <c r="A178" t="s">
        <v>38</v>
      </c>
      <c r="B178" t="s">
        <v>39</v>
      </c>
      <c r="C178">
        <v>7</v>
      </c>
      <c r="D178">
        <v>1</v>
      </c>
      <c r="E178"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v>73.702120503668638</v>
      </c>
      <c r="P178">
        <v>5204.55140074882</v>
      </c>
      <c r="Q178">
        <v>12507.934152244219</v>
      </c>
      <c r="R178">
        <v>33146.025503447177</v>
      </c>
      <c r="S178">
        <v>152</v>
      </c>
      <c r="T178">
        <v>9.6000000000000002E-2</v>
      </c>
      <c r="U178">
        <v>0.09</v>
      </c>
    </row>
    <row r="179" spans="1:21" x14ac:dyDescent="0.25">
      <c r="A179" t="s">
        <v>38</v>
      </c>
      <c r="B179" t="s">
        <v>39</v>
      </c>
      <c r="C179">
        <v>8</v>
      </c>
      <c r="D179">
        <v>1</v>
      </c>
      <c r="E179"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v>80.869193943099219</v>
      </c>
      <c r="P179">
        <v>6875.3164990699761</v>
      </c>
      <c r="Q179">
        <v>16523.23119218932</v>
      </c>
      <c r="R179">
        <v>43786.562659301693</v>
      </c>
      <c r="S179">
        <v>152</v>
      </c>
      <c r="T179">
        <v>9.6000000000000002E-2</v>
      </c>
      <c r="U179">
        <v>0.09</v>
      </c>
    </row>
    <row r="180" spans="1:21" x14ac:dyDescent="0.25">
      <c r="A180" t="s">
        <v>38</v>
      </c>
      <c r="B180" t="s">
        <v>39</v>
      </c>
      <c r="C180">
        <v>9</v>
      </c>
      <c r="D180">
        <v>1</v>
      </c>
      <c r="E180"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v>87.380222263343654</v>
      </c>
      <c r="P180">
        <v>8673.2684272407623</v>
      </c>
      <c r="Q180">
        <v>20844.192326942473</v>
      </c>
      <c r="R180">
        <v>55237.109666397555</v>
      </c>
      <c r="S180">
        <v>152</v>
      </c>
      <c r="T180">
        <v>9.6000000000000002E-2</v>
      </c>
      <c r="U180">
        <v>0.09</v>
      </c>
    </row>
    <row r="181" spans="1:21" x14ac:dyDescent="0.25">
      <c r="A181" t="s">
        <v>38</v>
      </c>
      <c r="B181" t="s">
        <v>39</v>
      </c>
      <c r="C181">
        <v>10</v>
      </c>
      <c r="D181">
        <v>1</v>
      </c>
      <c r="E181"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v>93.295257199890003</v>
      </c>
      <c r="P181">
        <v>10556.551026271354</v>
      </c>
      <c r="Q181">
        <v>25370.225970370957</v>
      </c>
      <c r="R181">
        <v>67231.098821483029</v>
      </c>
      <c r="S181">
        <v>152</v>
      </c>
      <c r="T181">
        <v>9.6000000000000002E-2</v>
      </c>
      <c r="U181">
        <v>0.09</v>
      </c>
    </row>
    <row r="182" spans="1:21" x14ac:dyDescent="0.25">
      <c r="A182" t="s">
        <v>40</v>
      </c>
      <c r="B182" t="s">
        <v>41</v>
      </c>
      <c r="C182">
        <v>1</v>
      </c>
      <c r="D182">
        <v>2</v>
      </c>
      <c r="E182"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1.18E-2</v>
      </c>
      <c r="M182">
        <v>3</v>
      </c>
      <c r="N182">
        <v>21.719413710000001</v>
      </c>
      <c r="O182">
        <v>40.143918515854551</v>
      </c>
      <c r="P182">
        <v>763.38090886834846</v>
      </c>
      <c r="Q182">
        <v>1834.6092498638511</v>
      </c>
      <c r="R182">
        <v>4861.714512139205</v>
      </c>
      <c r="S182">
        <v>72.900000000000006</v>
      </c>
      <c r="T182">
        <v>0.4</v>
      </c>
      <c r="U182">
        <v>0</v>
      </c>
    </row>
    <row r="183" spans="1:21" x14ac:dyDescent="0.25">
      <c r="A183" t="s">
        <v>40</v>
      </c>
      <c r="B183" t="s">
        <v>41</v>
      </c>
      <c r="C183">
        <v>2</v>
      </c>
      <c r="D183">
        <v>2</v>
      </c>
      <c r="E183"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1.18E-2</v>
      </c>
      <c r="M183">
        <v>3</v>
      </c>
      <c r="N183">
        <v>41.2261539</v>
      </c>
      <c r="O183">
        <v>58.181743838189632</v>
      </c>
      <c r="P183">
        <v>2324.0325637394762</v>
      </c>
      <c r="Q183">
        <v>5585.2741257858115</v>
      </c>
      <c r="R183">
        <v>14800.9764333324</v>
      </c>
      <c r="S183">
        <v>72.900000000000006</v>
      </c>
      <c r="T183">
        <v>0.4</v>
      </c>
      <c r="U183">
        <v>0</v>
      </c>
    </row>
    <row r="184" spans="1:21" x14ac:dyDescent="0.25">
      <c r="A184" t="s">
        <v>40</v>
      </c>
      <c r="B184" t="s">
        <v>41</v>
      </c>
      <c r="C184">
        <v>3</v>
      </c>
      <c r="D184">
        <v>2</v>
      </c>
      <c r="E184"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1.18E-2</v>
      </c>
      <c r="M184">
        <v>3</v>
      </c>
      <c r="N184">
        <v>51.975182889999999</v>
      </c>
      <c r="O184">
        <v>66.286661205201838</v>
      </c>
      <c r="P184">
        <v>3436.8489166373988</v>
      </c>
      <c r="Q184">
        <v>8259.6705518803155</v>
      </c>
      <c r="R184">
        <v>21888.126962482835</v>
      </c>
      <c r="S184">
        <v>72.900000000000006</v>
      </c>
      <c r="T184">
        <v>0.4</v>
      </c>
      <c r="U184">
        <v>0</v>
      </c>
    </row>
    <row r="185" spans="1:21" x14ac:dyDescent="0.25">
      <c r="A185" t="s">
        <v>40</v>
      </c>
      <c r="B185" t="s">
        <v>41</v>
      </c>
      <c r="C185">
        <v>4</v>
      </c>
      <c r="D185">
        <v>2</v>
      </c>
      <c r="E185"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1.18E-2</v>
      </c>
      <c r="M185">
        <v>3</v>
      </c>
      <c r="N185">
        <v>58.513375859999996</v>
      </c>
      <c r="O185">
        <v>69.928435329977106</v>
      </c>
      <c r="P185">
        <v>4034.9990790948541</v>
      </c>
      <c r="Q185">
        <v>9697.1859627369722</v>
      </c>
      <c r="R185">
        <v>25697.542801252974</v>
      </c>
      <c r="S185">
        <v>72.900000000000006</v>
      </c>
      <c r="T185">
        <v>0.4</v>
      </c>
      <c r="U185">
        <v>0</v>
      </c>
    </row>
    <row r="186" spans="1:21" x14ac:dyDescent="0.25">
      <c r="A186" t="s">
        <v>40</v>
      </c>
      <c r="B186" t="s">
        <v>41</v>
      </c>
      <c r="C186">
        <v>5</v>
      </c>
      <c r="D186">
        <v>2</v>
      </c>
      <c r="E186"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1.18E-2</v>
      </c>
      <c r="M186">
        <v>3</v>
      </c>
      <c r="N186">
        <v>61.873930319999999</v>
      </c>
      <c r="O186">
        <v>71.564789925011283</v>
      </c>
      <c r="P186">
        <v>4324.9412223072713</v>
      </c>
      <c r="Q186">
        <v>10393.994766419784</v>
      </c>
      <c r="R186">
        <v>27544.086131012427</v>
      </c>
      <c r="S186">
        <v>72.900000000000006</v>
      </c>
      <c r="T186">
        <v>0.4</v>
      </c>
      <c r="U186">
        <v>0</v>
      </c>
    </row>
    <row r="187" spans="1:21" x14ac:dyDescent="0.25">
      <c r="A187" t="s">
        <v>40</v>
      </c>
      <c r="B187" t="s">
        <v>41</v>
      </c>
      <c r="C187">
        <v>6</v>
      </c>
      <c r="D187">
        <v>2</v>
      </c>
      <c r="E187"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1.18E-2</v>
      </c>
      <c r="M187">
        <v>3</v>
      </c>
      <c r="N187">
        <v>63.550646100000002</v>
      </c>
      <c r="O187">
        <v>72.300051440126452</v>
      </c>
      <c r="P187">
        <v>4459.6197093998071</v>
      </c>
      <c r="Q187">
        <v>10717.663324681103</v>
      </c>
      <c r="R187">
        <v>28401.807810404924</v>
      </c>
      <c r="S187">
        <v>72.900000000000006</v>
      </c>
      <c r="T187">
        <v>0.4</v>
      </c>
      <c r="U187">
        <v>0</v>
      </c>
    </row>
    <row r="188" spans="1:21" x14ac:dyDescent="0.25">
      <c r="A188" t="s">
        <v>40</v>
      </c>
      <c r="B188" t="s">
        <v>41</v>
      </c>
      <c r="C188">
        <v>7</v>
      </c>
      <c r="D188">
        <v>2</v>
      </c>
      <c r="E188"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1.18E-2</v>
      </c>
      <c r="M188">
        <v>3</v>
      </c>
      <c r="N188">
        <v>64.949648440000004</v>
      </c>
      <c r="O188">
        <v>72.6304257350684</v>
      </c>
      <c r="P188">
        <v>4521.0340391404143</v>
      </c>
      <c r="Q188">
        <v>10865.258445422769</v>
      </c>
      <c r="R188">
        <v>28792.934880370336</v>
      </c>
      <c r="S188">
        <v>72.900000000000006</v>
      </c>
      <c r="T188">
        <v>0.4</v>
      </c>
      <c r="U188">
        <v>0</v>
      </c>
    </row>
    <row r="189" spans="1:21" x14ac:dyDescent="0.25">
      <c r="A189" t="s">
        <v>40</v>
      </c>
      <c r="B189" t="s">
        <v>41</v>
      </c>
      <c r="C189">
        <v>8</v>
      </c>
      <c r="D189">
        <v>2</v>
      </c>
      <c r="E189"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1.18E-2</v>
      </c>
      <c r="M189">
        <v>3</v>
      </c>
      <c r="N189">
        <v>65.831265509999994</v>
      </c>
      <c r="O189">
        <v>72.778872474785629</v>
      </c>
      <c r="P189">
        <v>4548.8118772293374</v>
      </c>
      <c r="Q189">
        <v>10932.016047174569</v>
      </c>
      <c r="R189">
        <v>28969.842525012609</v>
      </c>
      <c r="S189">
        <v>72.900000000000006</v>
      </c>
      <c r="T189">
        <v>0.4</v>
      </c>
      <c r="U189">
        <v>0</v>
      </c>
    </row>
    <row r="190" spans="1:21" x14ac:dyDescent="0.25">
      <c r="A190" t="s">
        <v>40</v>
      </c>
      <c r="B190" t="s">
        <v>41</v>
      </c>
      <c r="C190">
        <v>9</v>
      </c>
      <c r="D190">
        <v>2</v>
      </c>
      <c r="E190"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1.18E-2</v>
      </c>
      <c r="M190">
        <v>3</v>
      </c>
      <c r="N190">
        <v>66.371102100000002</v>
      </c>
      <c r="O190">
        <v>72.845573894569341</v>
      </c>
      <c r="P190">
        <v>4561.3302233118557</v>
      </c>
      <c r="Q190">
        <v>10962.10099329934</v>
      </c>
      <c r="R190">
        <v>29049.567632243252</v>
      </c>
      <c r="S190">
        <v>72.900000000000006</v>
      </c>
      <c r="T190">
        <v>0.4</v>
      </c>
      <c r="U190">
        <v>0</v>
      </c>
    </row>
    <row r="191" spans="1:21" x14ac:dyDescent="0.25">
      <c r="A191" t="s">
        <v>40</v>
      </c>
      <c r="B191" t="s">
        <v>41</v>
      </c>
      <c r="C191">
        <v>10</v>
      </c>
      <c r="D191">
        <v>2</v>
      </c>
      <c r="E191"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1.18E-2</v>
      </c>
      <c r="M191">
        <v>3</v>
      </c>
      <c r="N191">
        <v>67.319388829999994</v>
      </c>
      <c r="O191">
        <v>72.875544774425919</v>
      </c>
      <c r="P191">
        <v>4566.9625490367771</v>
      </c>
      <c r="Q191">
        <v>10975.636983986487</v>
      </c>
      <c r="R191">
        <v>29085.438007564189</v>
      </c>
      <c r="S191">
        <v>72.900000000000006</v>
      </c>
      <c r="T191">
        <v>0.4</v>
      </c>
      <c r="U191">
        <v>0</v>
      </c>
    </row>
    <row r="192" spans="1:21" x14ac:dyDescent="0.25">
      <c r="A192" t="s">
        <v>42</v>
      </c>
      <c r="B192" t="s">
        <v>43</v>
      </c>
      <c r="C192">
        <v>1</v>
      </c>
      <c r="D192">
        <v>2</v>
      </c>
      <c r="E192"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v>30.01918108298981</v>
      </c>
      <c r="P192">
        <v>638.62466460155531</v>
      </c>
      <c r="Q192">
        <v>1534.7865046901115</v>
      </c>
      <c r="R192">
        <v>4067.1842374287953</v>
      </c>
      <c r="S192">
        <v>263.2</v>
      </c>
      <c r="T192">
        <v>7.0000000000000007E-2</v>
      </c>
      <c r="U192">
        <v>0.27</v>
      </c>
    </row>
    <row r="193" spans="1:21" x14ac:dyDescent="0.25">
      <c r="A193" t="s">
        <v>42</v>
      </c>
      <c r="B193" t="s">
        <v>43</v>
      </c>
      <c r="C193">
        <v>2</v>
      </c>
      <c r="D193">
        <v>2</v>
      </c>
      <c r="E193"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v>60.482334737459546</v>
      </c>
      <c r="P193">
        <v>5602.1892882480834</v>
      </c>
      <c r="Q193">
        <v>13463.564739841586</v>
      </c>
      <c r="R193">
        <v>35678.446560580203</v>
      </c>
      <c r="S193">
        <v>263.2</v>
      </c>
      <c r="T193">
        <v>7.0000000000000007E-2</v>
      </c>
      <c r="U193">
        <v>0.27</v>
      </c>
    </row>
    <row r="194" spans="1:21" x14ac:dyDescent="0.25">
      <c r="A194" t="s">
        <v>42</v>
      </c>
      <c r="B194" t="s">
        <v>43</v>
      </c>
      <c r="C194">
        <v>3</v>
      </c>
      <c r="D194">
        <v>2</v>
      </c>
      <c r="E194"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v>86.965728243192046</v>
      </c>
      <c r="P194">
        <v>17269.847782593512</v>
      </c>
      <c r="Q194">
        <v>41504.080227333594</v>
      </c>
      <c r="R194">
        <v>109985.81260243402</v>
      </c>
      <c r="S194">
        <v>263.2</v>
      </c>
      <c r="T194">
        <v>7.0000000000000007E-2</v>
      </c>
      <c r="U194">
        <v>0.27</v>
      </c>
    </row>
    <row r="195" spans="1:21" x14ac:dyDescent="0.25">
      <c r="A195" t="s">
        <v>42</v>
      </c>
      <c r="B195" t="s">
        <v>43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109.98928448870782</v>
      </c>
      <c r="P195">
        <v>35768.065318479828</v>
      </c>
      <c r="Q195">
        <v>85960.262721653038</v>
      </c>
      <c r="R195">
        <v>227794.69621238054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42</v>
      </c>
      <c r="B196" t="s">
        <v>43</v>
      </c>
      <c r="C196">
        <v>5</v>
      </c>
      <c r="D196">
        <v>2</v>
      </c>
      <c r="E196"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v>130.0050027189146</v>
      </c>
      <c r="P196">
        <v>60060.021358037149</v>
      </c>
      <c r="Q196">
        <v>144340.3541409208</v>
      </c>
      <c r="R196">
        <v>382501.93847344012</v>
      </c>
      <c r="S196">
        <v>263.2</v>
      </c>
      <c r="T196">
        <v>7.0000000000000007E-2</v>
      </c>
      <c r="U196">
        <v>0.27</v>
      </c>
    </row>
    <row r="197" spans="1:21" x14ac:dyDescent="0.25">
      <c r="A197" t="s">
        <v>42</v>
      </c>
      <c r="B197" t="s">
        <v>43</v>
      </c>
      <c r="C197">
        <v>6</v>
      </c>
      <c r="D197">
        <v>2</v>
      </c>
      <c r="E197"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v>147.40583219976685</v>
      </c>
      <c r="P197">
        <v>88655.309313820006</v>
      </c>
      <c r="Q197">
        <v>213062.50736318194</v>
      </c>
      <c r="R197">
        <v>564615.64451243216</v>
      </c>
      <c r="S197">
        <v>263.2</v>
      </c>
      <c r="T197">
        <v>7.0000000000000007E-2</v>
      </c>
      <c r="U197">
        <v>0.27</v>
      </c>
    </row>
    <row r="198" spans="1:21" x14ac:dyDescent="0.25">
      <c r="A198" t="s">
        <v>42</v>
      </c>
      <c r="B198" t="s">
        <v>43</v>
      </c>
      <c r="C198">
        <v>7</v>
      </c>
      <c r="D198">
        <v>2</v>
      </c>
      <c r="E198"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v>162.53338661171608</v>
      </c>
      <c r="P198">
        <v>120013.82954317731</v>
      </c>
      <c r="Q198">
        <v>288425.44951496593</v>
      </c>
      <c r="R198">
        <v>764327.44121465972</v>
      </c>
      <c r="S198">
        <v>263.2</v>
      </c>
      <c r="T198">
        <v>7.0000000000000007E-2</v>
      </c>
      <c r="U198">
        <v>0.27</v>
      </c>
    </row>
    <row r="199" spans="1:21" x14ac:dyDescent="0.25">
      <c r="A199" t="s">
        <v>42</v>
      </c>
      <c r="B199" t="s">
        <v>43</v>
      </c>
      <c r="C199">
        <v>8</v>
      </c>
      <c r="D199">
        <v>2</v>
      </c>
      <c r="E199"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v>175.6846506211877</v>
      </c>
      <c r="P199">
        <v>152751.02093241649</v>
      </c>
      <c r="Q199">
        <v>367101.70856144308</v>
      </c>
      <c r="R199">
        <v>972819.5276878241</v>
      </c>
      <c r="S199">
        <v>263.2</v>
      </c>
      <c r="T199">
        <v>7.0000000000000007E-2</v>
      </c>
      <c r="U199">
        <v>0.27</v>
      </c>
    </row>
    <row r="200" spans="1:21" x14ac:dyDescent="0.25">
      <c r="A200" t="s">
        <v>42</v>
      </c>
      <c r="B200" t="s">
        <v>43</v>
      </c>
      <c r="C200">
        <v>9</v>
      </c>
      <c r="D200">
        <v>2</v>
      </c>
      <c r="E200"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v>187.11781029372577</v>
      </c>
      <c r="P200">
        <v>185723.20694256542</v>
      </c>
      <c r="Q200">
        <v>446342.72276511759</v>
      </c>
      <c r="R200">
        <v>1182808.2153275616</v>
      </c>
      <c r="S200">
        <v>263.2</v>
      </c>
      <c r="T200">
        <v>7.0000000000000007E-2</v>
      </c>
      <c r="U200">
        <v>0.27</v>
      </c>
    </row>
    <row r="201" spans="1:21" x14ac:dyDescent="0.25">
      <c r="A201" t="s">
        <v>42</v>
      </c>
      <c r="B201" t="s">
        <v>43</v>
      </c>
      <c r="C201">
        <v>10</v>
      </c>
      <c r="D201">
        <v>2</v>
      </c>
      <c r="E201"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v>197.05732181167625</v>
      </c>
      <c r="P201">
        <v>218045.06785067453</v>
      </c>
      <c r="Q201">
        <v>524020.83117201278</v>
      </c>
      <c r="R201">
        <v>1388655.2026058338</v>
      </c>
      <c r="S201">
        <v>263.2</v>
      </c>
      <c r="T201">
        <v>7.0000000000000007E-2</v>
      </c>
      <c r="U201">
        <v>0.27</v>
      </c>
    </row>
    <row r="202" spans="1:21" x14ac:dyDescent="0.25">
      <c r="A202" t="s">
        <v>44</v>
      </c>
      <c r="B202" t="s">
        <v>45</v>
      </c>
      <c r="C202">
        <v>1</v>
      </c>
      <c r="D202">
        <v>1</v>
      </c>
      <c r="E202"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v>4.5195828904047923</v>
      </c>
      <c r="P202">
        <v>1.1539980651435007</v>
      </c>
      <c r="Q202">
        <v>2.773367135648884</v>
      </c>
      <c r="R202">
        <v>7.349422909469542</v>
      </c>
      <c r="S202">
        <v>33.700000000000003</v>
      </c>
      <c r="T202">
        <v>0.32</v>
      </c>
      <c r="U202">
        <v>0.55000000000000004</v>
      </c>
    </row>
    <row r="203" spans="1:21" x14ac:dyDescent="0.25">
      <c r="A203" t="s">
        <v>44</v>
      </c>
      <c r="B203" t="s">
        <v>45</v>
      </c>
      <c r="C203">
        <v>2</v>
      </c>
      <c r="D203">
        <v>1</v>
      </c>
      <c r="E203"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v>12.510668214458784</v>
      </c>
      <c r="P203">
        <v>24.476624933083794</v>
      </c>
      <c r="Q203">
        <v>58.823900343868765</v>
      </c>
      <c r="R203">
        <v>155.88333591125223</v>
      </c>
      <c r="S203">
        <v>33.700000000000003</v>
      </c>
      <c r="T203">
        <v>0.32</v>
      </c>
      <c r="U203">
        <v>0.55000000000000004</v>
      </c>
    </row>
    <row r="204" spans="1:21" x14ac:dyDescent="0.25">
      <c r="A204" t="s">
        <v>44</v>
      </c>
      <c r="B204" t="s">
        <v>45</v>
      </c>
      <c r="C204">
        <v>3</v>
      </c>
      <c r="D204">
        <v>1</v>
      </c>
      <c r="E204"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v>18.313387127694298</v>
      </c>
      <c r="P204">
        <v>76.774331086170292</v>
      </c>
      <c r="Q204">
        <v>184.5093272919257</v>
      </c>
      <c r="R204">
        <v>488.94971732360307</v>
      </c>
      <c r="S204">
        <v>33.700000000000003</v>
      </c>
      <c r="T204">
        <v>0.32</v>
      </c>
      <c r="U204">
        <v>0.55000000000000004</v>
      </c>
    </row>
    <row r="205" spans="1:21" x14ac:dyDescent="0.25">
      <c r="A205" t="s">
        <v>44</v>
      </c>
      <c r="B205" t="s">
        <v>45</v>
      </c>
      <c r="C205">
        <v>4</v>
      </c>
      <c r="D205">
        <v>1</v>
      </c>
      <c r="E205"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v>22.527025878949555</v>
      </c>
      <c r="P205">
        <v>142.89649844085332</v>
      </c>
      <c r="Q205">
        <v>343.41864561608588</v>
      </c>
      <c r="R205">
        <v>910.0594108826275</v>
      </c>
      <c r="S205">
        <v>33.700000000000003</v>
      </c>
      <c r="T205">
        <v>0.32</v>
      </c>
      <c r="U205">
        <v>0.55000000000000004</v>
      </c>
    </row>
    <row r="206" spans="1:21" x14ac:dyDescent="0.25">
      <c r="A206" t="s">
        <v>44</v>
      </c>
      <c r="B206" t="s">
        <v>45</v>
      </c>
      <c r="C206">
        <v>5</v>
      </c>
      <c r="D206">
        <v>1</v>
      </c>
      <c r="E206"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v>25.586755600749953</v>
      </c>
      <c r="P206">
        <v>209.38987401253723</v>
      </c>
      <c r="Q206">
        <v>503.22007693472062</v>
      </c>
      <c r="R206">
        <v>1333.5332038770096</v>
      </c>
      <c r="S206">
        <v>33.700000000000003</v>
      </c>
      <c r="T206">
        <v>0.32</v>
      </c>
      <c r="U206">
        <v>0.55000000000000004</v>
      </c>
    </row>
    <row r="207" spans="1:21" x14ac:dyDescent="0.25">
      <c r="A207" t="s">
        <v>44</v>
      </c>
      <c r="B207" t="s">
        <v>45</v>
      </c>
      <c r="C207">
        <v>6</v>
      </c>
      <c r="D207">
        <v>1</v>
      </c>
      <c r="E207"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v>27.808575391941062</v>
      </c>
      <c r="P207">
        <v>268.81050439210674</v>
      </c>
      <c r="Q207">
        <v>646.0238029130179</v>
      </c>
      <c r="R207">
        <v>1711.9630777194973</v>
      </c>
      <c r="S207">
        <v>33.700000000000003</v>
      </c>
      <c r="T207">
        <v>0.32</v>
      </c>
      <c r="U207">
        <v>0.55000000000000004</v>
      </c>
    </row>
    <row r="208" spans="1:21" x14ac:dyDescent="0.25">
      <c r="A208" t="s">
        <v>44</v>
      </c>
      <c r="B208" t="s">
        <v>45</v>
      </c>
      <c r="C208">
        <v>7</v>
      </c>
      <c r="D208">
        <v>1</v>
      </c>
      <c r="E208"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v>29.421947693865757</v>
      </c>
      <c r="P208">
        <v>318.36423278291642</v>
      </c>
      <c r="Q208">
        <v>765.1147146909791</v>
      </c>
      <c r="R208">
        <v>2027.5539939310945</v>
      </c>
      <c r="S208">
        <v>33.700000000000003</v>
      </c>
      <c r="T208">
        <v>0.32</v>
      </c>
      <c r="U208">
        <v>0.55000000000000004</v>
      </c>
    </row>
    <row r="209" spans="1:21" x14ac:dyDescent="0.25">
      <c r="A209" t="s">
        <v>44</v>
      </c>
      <c r="B209" t="s">
        <v>45</v>
      </c>
      <c r="C209">
        <v>8</v>
      </c>
      <c r="D209">
        <v>1</v>
      </c>
      <c r="E209"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v>30.593496437349735</v>
      </c>
      <c r="P209">
        <v>357.92938568447693</v>
      </c>
      <c r="Q209">
        <v>860.20039818427529</v>
      </c>
      <c r="R209">
        <v>2279.5310551883294</v>
      </c>
      <c r="S209">
        <v>33.700000000000003</v>
      </c>
      <c r="T209">
        <v>0.32</v>
      </c>
      <c r="U209">
        <v>0.55000000000000004</v>
      </c>
    </row>
    <row r="210" spans="1:21" x14ac:dyDescent="0.25">
      <c r="A210" t="s">
        <v>44</v>
      </c>
      <c r="B210" t="s">
        <v>45</v>
      </c>
      <c r="C210">
        <v>9</v>
      </c>
      <c r="D210">
        <v>1</v>
      </c>
      <c r="E210"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v>31.444215429315523</v>
      </c>
      <c r="P210">
        <v>388.6264022737476</v>
      </c>
      <c r="Q210">
        <v>933.97356951152983</v>
      </c>
      <c r="R210">
        <v>2475.029959205554</v>
      </c>
      <c r="S210">
        <v>33.700000000000003</v>
      </c>
      <c r="T210">
        <v>0.32</v>
      </c>
      <c r="U210">
        <v>0.55000000000000004</v>
      </c>
    </row>
    <row r="211" spans="1:21" x14ac:dyDescent="0.25">
      <c r="A211" t="s">
        <v>44</v>
      </c>
      <c r="B211" t="s">
        <v>45</v>
      </c>
      <c r="C211">
        <v>10</v>
      </c>
      <c r="D211">
        <v>1</v>
      </c>
      <c r="E211"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v>32.061964206151778</v>
      </c>
      <c r="P211">
        <v>411.98403596558438</v>
      </c>
      <c r="Q211">
        <v>990.10823351498277</v>
      </c>
      <c r="R211">
        <v>2623.7868188147045</v>
      </c>
      <c r="S211">
        <v>33.700000000000003</v>
      </c>
      <c r="T211">
        <v>0.32</v>
      </c>
      <c r="U211">
        <v>0.55000000000000004</v>
      </c>
    </row>
    <row r="212" spans="1:21" x14ac:dyDescent="0.25">
      <c r="A212" t="s">
        <v>46</v>
      </c>
      <c r="B212" t="s">
        <v>47</v>
      </c>
      <c r="C212">
        <v>1</v>
      </c>
      <c r="D212">
        <v>2</v>
      </c>
      <c r="E212"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v>26.283908107224249</v>
      </c>
      <c r="P212">
        <v>302.14823421892987</v>
      </c>
      <c r="Q212">
        <v>726.1433170366015</v>
      </c>
      <c r="R212">
        <v>1924.2797901469939</v>
      </c>
      <c r="S212">
        <v>42.5</v>
      </c>
      <c r="T212">
        <v>0.47</v>
      </c>
      <c r="U212">
        <v>0.05</v>
      </c>
    </row>
    <row r="213" spans="1:21" x14ac:dyDescent="0.25">
      <c r="A213" t="s">
        <v>46</v>
      </c>
      <c r="B213" t="s">
        <v>47</v>
      </c>
      <c r="C213">
        <v>2</v>
      </c>
      <c r="D213">
        <v>2</v>
      </c>
      <c r="E213"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v>36.165543125950144</v>
      </c>
      <c r="P213">
        <v>812.63536807531352</v>
      </c>
      <c r="Q213">
        <v>1952.9809374556924</v>
      </c>
      <c r="R213">
        <v>5175.3994842575848</v>
      </c>
      <c r="S213">
        <v>42.5</v>
      </c>
      <c r="T213">
        <v>0.47</v>
      </c>
      <c r="U213">
        <v>0.05</v>
      </c>
    </row>
    <row r="214" spans="1:21" x14ac:dyDescent="0.25">
      <c r="A214" t="s">
        <v>46</v>
      </c>
      <c r="B214" t="s">
        <v>47</v>
      </c>
      <c r="C214">
        <v>3</v>
      </c>
      <c r="D214">
        <v>2</v>
      </c>
      <c r="E214"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v>40.025584823118002</v>
      </c>
      <c r="P214">
        <v>1112.8280739437707</v>
      </c>
      <c r="Q214">
        <v>2674.4245949141327</v>
      </c>
      <c r="R214">
        <v>7087.2251765224519</v>
      </c>
      <c r="S214">
        <v>42.5</v>
      </c>
      <c r="T214">
        <v>0.47</v>
      </c>
      <c r="U214">
        <v>0.05</v>
      </c>
    </row>
    <row r="215" spans="1:21" x14ac:dyDescent="0.25">
      <c r="A215" t="s">
        <v>46</v>
      </c>
      <c r="B215" t="s">
        <v>47</v>
      </c>
      <c r="C215">
        <v>4</v>
      </c>
      <c r="D215">
        <v>2</v>
      </c>
      <c r="E215"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v>41.533424555676312</v>
      </c>
      <c r="P215">
        <v>1247.9990208489385</v>
      </c>
      <c r="Q215">
        <v>2999.276666303625</v>
      </c>
      <c r="R215">
        <v>7948.0831657046056</v>
      </c>
      <c r="S215">
        <v>42.5</v>
      </c>
      <c r="T215">
        <v>0.47</v>
      </c>
      <c r="U215">
        <v>0.05</v>
      </c>
    </row>
    <row r="216" spans="1:21" x14ac:dyDescent="0.25">
      <c r="A216" t="s">
        <v>46</v>
      </c>
      <c r="B216" t="s">
        <v>47</v>
      </c>
      <c r="C216">
        <v>5</v>
      </c>
      <c r="D216">
        <v>2</v>
      </c>
      <c r="E216"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v>42.122428726473139</v>
      </c>
      <c r="P216">
        <v>1303.6853907295051</v>
      </c>
      <c r="Q216">
        <v>3133.1059618589406</v>
      </c>
      <c r="R216">
        <v>8302.7307989261917</v>
      </c>
      <c r="S216">
        <v>42.5</v>
      </c>
      <c r="T216">
        <v>0.47</v>
      </c>
      <c r="U216">
        <v>0.05</v>
      </c>
    </row>
    <row r="217" spans="1:21" x14ac:dyDescent="0.25">
      <c r="A217" t="s">
        <v>46</v>
      </c>
      <c r="B217" t="s">
        <v>47</v>
      </c>
      <c r="C217">
        <v>6</v>
      </c>
      <c r="D217">
        <v>2</v>
      </c>
      <c r="E217"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v>42.352510150728641</v>
      </c>
      <c r="P217">
        <v>1325.8873503007501</v>
      </c>
      <c r="Q217">
        <v>3186.4632307155734</v>
      </c>
      <c r="R217">
        <v>8444.1275613962698</v>
      </c>
      <c r="S217">
        <v>42.5</v>
      </c>
      <c r="T217">
        <v>0.47</v>
      </c>
      <c r="U217">
        <v>0.05</v>
      </c>
    </row>
    <row r="218" spans="1:21" x14ac:dyDescent="0.25">
      <c r="A218" t="s">
        <v>46</v>
      </c>
      <c r="B218" t="s">
        <v>47</v>
      </c>
      <c r="C218">
        <v>7</v>
      </c>
      <c r="D218">
        <v>2</v>
      </c>
      <c r="E218"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v>42.442386359441777</v>
      </c>
      <c r="P218">
        <v>1334.6291586561615</v>
      </c>
      <c r="Q218">
        <v>3207.4721428891166</v>
      </c>
      <c r="R218">
        <v>8499.8011786561583</v>
      </c>
      <c r="S218">
        <v>42.5</v>
      </c>
      <c r="T218">
        <v>0.47</v>
      </c>
      <c r="U218">
        <v>0.05</v>
      </c>
    </row>
    <row r="219" spans="1:21" x14ac:dyDescent="0.25">
      <c r="A219" t="s">
        <v>46</v>
      </c>
      <c r="B219" t="s">
        <v>47</v>
      </c>
      <c r="C219">
        <v>8</v>
      </c>
      <c r="D219">
        <v>2</v>
      </c>
      <c r="E219"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v>42.477494508301618</v>
      </c>
      <c r="P219">
        <v>1338.0545295157722</v>
      </c>
      <c r="Q219">
        <v>3215.7042285887342</v>
      </c>
      <c r="R219">
        <v>8521.616205760145</v>
      </c>
      <c r="S219">
        <v>42.5</v>
      </c>
      <c r="T219">
        <v>0.47</v>
      </c>
      <c r="U219">
        <v>0.05</v>
      </c>
    </row>
    <row r="220" spans="1:21" x14ac:dyDescent="0.25">
      <c r="A220" t="s">
        <v>46</v>
      </c>
      <c r="B220" t="s">
        <v>47</v>
      </c>
      <c r="C220">
        <v>9</v>
      </c>
      <c r="D220">
        <v>2</v>
      </c>
      <c r="E220"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v>42.491208728494179</v>
      </c>
      <c r="P220">
        <v>1339.3941906285172</v>
      </c>
      <c r="Q220">
        <v>3218.9237938681017</v>
      </c>
      <c r="R220">
        <v>8530.1480537504685</v>
      </c>
      <c r="S220">
        <v>42.5</v>
      </c>
      <c r="T220">
        <v>0.47</v>
      </c>
      <c r="U220">
        <v>0.05</v>
      </c>
    </row>
    <row r="221" spans="1:21" x14ac:dyDescent="0.25">
      <c r="A221" t="s">
        <v>46</v>
      </c>
      <c r="B221" t="s">
        <v>47</v>
      </c>
      <c r="C221">
        <v>10</v>
      </c>
      <c r="D221">
        <v>2</v>
      </c>
      <c r="E221"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v>42.496565884641633</v>
      </c>
      <c r="P221">
        <v>1339.9177462360979</v>
      </c>
      <c r="Q221">
        <v>3220.1820385390479</v>
      </c>
      <c r="R221">
        <v>8533.4824021284767</v>
      </c>
      <c r="S221">
        <v>42.5</v>
      </c>
      <c r="T221">
        <v>0.47</v>
      </c>
      <c r="U221">
        <v>0.05</v>
      </c>
    </row>
    <row r="222" spans="1:21" x14ac:dyDescent="0.25">
      <c r="A222" t="s">
        <v>48</v>
      </c>
      <c r="B222" t="s">
        <v>49</v>
      </c>
      <c r="C222">
        <v>1</v>
      </c>
      <c r="D222">
        <v>3</v>
      </c>
      <c r="E222"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v>37.218969192949821</v>
      </c>
      <c r="P222">
        <v>940.09810574131916</v>
      </c>
      <c r="Q222">
        <v>2259.3081128125909</v>
      </c>
      <c r="R222">
        <v>5987.1664989533656</v>
      </c>
      <c r="S222">
        <v>52.7</v>
      </c>
      <c r="T222">
        <v>0.35</v>
      </c>
      <c r="U222">
        <v>-0.5</v>
      </c>
    </row>
    <row r="223" spans="1:21" x14ac:dyDescent="0.25">
      <c r="A223" t="s">
        <v>48</v>
      </c>
      <c r="B223" t="s">
        <v>49</v>
      </c>
      <c r="C223">
        <v>2</v>
      </c>
      <c r="D223">
        <v>3</v>
      </c>
      <c r="E223"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v>47.282602925460409</v>
      </c>
      <c r="P223">
        <v>1974.1401826278613</v>
      </c>
      <c r="Q223">
        <v>4744.3888070845023</v>
      </c>
      <c r="R223">
        <v>12572.63033877393</v>
      </c>
      <c r="S223">
        <v>52.7</v>
      </c>
      <c r="T223">
        <v>0.35</v>
      </c>
      <c r="U223">
        <v>-0.5</v>
      </c>
    </row>
    <row r="224" spans="1:21" x14ac:dyDescent="0.25">
      <c r="A224" t="s">
        <v>48</v>
      </c>
      <c r="B224" t="s">
        <v>49</v>
      </c>
      <c r="C224">
        <v>3</v>
      </c>
      <c r="D224">
        <v>3</v>
      </c>
      <c r="E224"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v>50.804248261694262</v>
      </c>
      <c r="P224">
        <v>2466.5720882083451</v>
      </c>
      <c r="Q224">
        <v>5927.8348671193107</v>
      </c>
      <c r="R224">
        <v>15708.762397866172</v>
      </c>
      <c r="S224">
        <v>52.7</v>
      </c>
      <c r="T224">
        <v>0.35</v>
      </c>
      <c r="U224">
        <v>-0.5</v>
      </c>
    </row>
    <row r="225" spans="1:21" x14ac:dyDescent="0.25">
      <c r="A225" t="s">
        <v>48</v>
      </c>
      <c r="B225" t="s">
        <v>49</v>
      </c>
      <c r="C225">
        <v>4</v>
      </c>
      <c r="D225">
        <v>3</v>
      </c>
      <c r="E225"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v>52.036604903823729</v>
      </c>
      <c r="P225">
        <v>2656.8159932613798</v>
      </c>
      <c r="Q225">
        <v>6385.0420410030756</v>
      </c>
      <c r="R225">
        <v>16920.361408658151</v>
      </c>
      <c r="S225">
        <v>52.7</v>
      </c>
      <c r="T225">
        <v>0.35</v>
      </c>
      <c r="U225">
        <v>-0.5</v>
      </c>
    </row>
    <row r="226" spans="1:21" x14ac:dyDescent="0.25">
      <c r="A226" t="s">
        <v>48</v>
      </c>
      <c r="B226" t="s">
        <v>49</v>
      </c>
      <c r="C226">
        <v>5</v>
      </c>
      <c r="D226">
        <v>3</v>
      </c>
      <c r="E226"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v>52.467853013272702</v>
      </c>
      <c r="P226">
        <v>2725.6678395776239</v>
      </c>
      <c r="Q226">
        <v>6550.5115106407684</v>
      </c>
      <c r="R226">
        <v>17358.855503198036</v>
      </c>
      <c r="S226">
        <v>52.7</v>
      </c>
      <c r="T226">
        <v>0.35</v>
      </c>
      <c r="U226">
        <v>-0.5</v>
      </c>
    </row>
    <row r="227" spans="1:21" x14ac:dyDescent="0.25">
      <c r="A227" t="s">
        <v>48</v>
      </c>
      <c r="B227" t="s">
        <v>49</v>
      </c>
      <c r="C227">
        <v>6</v>
      </c>
      <c r="D227">
        <v>3</v>
      </c>
      <c r="E227"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v>52.618763006001714</v>
      </c>
      <c r="P227">
        <v>2750.0442819121477</v>
      </c>
      <c r="Q227">
        <v>6609.0946453067718</v>
      </c>
      <c r="R227">
        <v>17514.100810062944</v>
      </c>
      <c r="S227">
        <v>52.7</v>
      </c>
      <c r="T227">
        <v>0.35</v>
      </c>
      <c r="U227">
        <v>-0.5</v>
      </c>
    </row>
    <row r="228" spans="1:21" x14ac:dyDescent="0.25">
      <c r="A228" t="s">
        <v>48</v>
      </c>
      <c r="B228" t="s">
        <v>49</v>
      </c>
      <c r="C228">
        <v>7</v>
      </c>
      <c r="D228">
        <v>3</v>
      </c>
      <c r="E228"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v>52.671572109175685</v>
      </c>
      <c r="P228">
        <v>2758.6092771302779</v>
      </c>
      <c r="Q228">
        <v>6629.6786280468104</v>
      </c>
      <c r="R228">
        <v>17568.648364324046</v>
      </c>
      <c r="S228">
        <v>52.7</v>
      </c>
      <c r="T228">
        <v>0.35</v>
      </c>
      <c r="U228">
        <v>-0.5</v>
      </c>
    </row>
    <row r="229" spans="1:21" x14ac:dyDescent="0.25">
      <c r="A229" t="s">
        <v>48</v>
      </c>
      <c r="B229" t="s">
        <v>49</v>
      </c>
      <c r="C229">
        <v>8</v>
      </c>
      <c r="D229">
        <v>3</v>
      </c>
      <c r="E229"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v>52.690052007872964</v>
      </c>
      <c r="P229">
        <v>2761.6107551957466</v>
      </c>
      <c r="Q229">
        <v>6636.891985570167</v>
      </c>
      <c r="R229">
        <v>17587.763761760943</v>
      </c>
      <c r="S229">
        <v>52.7</v>
      </c>
      <c r="T229">
        <v>0.35</v>
      </c>
      <c r="U229">
        <v>-0.5</v>
      </c>
    </row>
    <row r="230" spans="1:21" x14ac:dyDescent="0.25">
      <c r="A230" t="s">
        <v>48</v>
      </c>
      <c r="B230" t="s">
        <v>49</v>
      </c>
      <c r="C230">
        <v>9</v>
      </c>
      <c r="D230">
        <v>3</v>
      </c>
      <c r="E230"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v>52.696518822026889</v>
      </c>
      <c r="P230">
        <v>2762.6616079782839</v>
      </c>
      <c r="Q230">
        <v>6639.4174669028689</v>
      </c>
      <c r="R230">
        <v>17594.456287292604</v>
      </c>
      <c r="S230">
        <v>52.7</v>
      </c>
      <c r="T230">
        <v>0.35</v>
      </c>
      <c r="U230">
        <v>-0.5</v>
      </c>
    </row>
    <row r="231" spans="1:21" x14ac:dyDescent="0.25">
      <c r="A231" t="s">
        <v>48</v>
      </c>
      <c r="B231" t="s">
        <v>49</v>
      </c>
      <c r="C231">
        <v>10</v>
      </c>
      <c r="D231">
        <v>3</v>
      </c>
      <c r="E231"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v>52.698781804415837</v>
      </c>
      <c r="P231">
        <v>2763.0294050072862</v>
      </c>
      <c r="Q231">
        <v>6640.3013818968666</v>
      </c>
      <c r="R231">
        <v>17596.798662026697</v>
      </c>
      <c r="S231">
        <v>52.7</v>
      </c>
      <c r="T231">
        <v>0.35</v>
      </c>
      <c r="U231">
        <v>-0.5</v>
      </c>
    </row>
    <row r="232" spans="1:21" x14ac:dyDescent="0.25">
      <c r="A232" t="s">
        <v>50</v>
      </c>
      <c r="B232" t="s">
        <v>51</v>
      </c>
      <c r="C232">
        <v>1</v>
      </c>
      <c r="D232">
        <v>1</v>
      </c>
      <c r="E232"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v>20.748728378702165</v>
      </c>
      <c r="P232">
        <v>134.09535696500257</v>
      </c>
      <c r="Q232">
        <v>322.26714002644212</v>
      </c>
      <c r="R232">
        <v>854.00792107007157</v>
      </c>
      <c r="S232">
        <v>40.6</v>
      </c>
      <c r="T232">
        <v>0.27</v>
      </c>
      <c r="U232">
        <v>-1.65</v>
      </c>
    </row>
    <row r="233" spans="1:21" x14ac:dyDescent="0.25">
      <c r="A233" t="s">
        <v>50</v>
      </c>
      <c r="B233" t="s">
        <v>51</v>
      </c>
      <c r="C233">
        <v>2</v>
      </c>
      <c r="D233">
        <v>1</v>
      </c>
      <c r="E233"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v>25.445946307790138</v>
      </c>
      <c r="P233">
        <v>249.8771017244207</v>
      </c>
      <c r="Q233">
        <v>600.5217537236739</v>
      </c>
      <c r="R233">
        <v>1591.3826473677357</v>
      </c>
      <c r="S233">
        <v>40.6</v>
      </c>
      <c r="T233">
        <v>0.27</v>
      </c>
      <c r="U233">
        <v>-1.65</v>
      </c>
    </row>
    <row r="234" spans="1:21" x14ac:dyDescent="0.25">
      <c r="A234" t="s">
        <v>50</v>
      </c>
      <c r="B234" t="s">
        <v>51</v>
      </c>
      <c r="C234">
        <v>3</v>
      </c>
      <c r="D234">
        <v>1</v>
      </c>
      <c r="E234"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v>29.03170615528731</v>
      </c>
      <c r="P234">
        <v>373.55195768406372</v>
      </c>
      <c r="Q234">
        <v>897.74563250195558</v>
      </c>
      <c r="R234">
        <v>2379.0259261301821</v>
      </c>
      <c r="S234">
        <v>40.6</v>
      </c>
      <c r="T234">
        <v>0.27</v>
      </c>
      <c r="U234">
        <v>-1.65</v>
      </c>
    </row>
    <row r="235" spans="1:21" x14ac:dyDescent="0.25">
      <c r="A235" t="s">
        <v>50</v>
      </c>
      <c r="B235" t="s">
        <v>51</v>
      </c>
      <c r="C235">
        <v>4</v>
      </c>
      <c r="D235">
        <v>1</v>
      </c>
      <c r="E235"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v>31.769001694483098</v>
      </c>
      <c r="P235">
        <v>491.70043460235115</v>
      </c>
      <c r="Q235">
        <v>1181.6881389145665</v>
      </c>
      <c r="R235">
        <v>3131.4735681236011</v>
      </c>
      <c r="S235">
        <v>40.6</v>
      </c>
      <c r="T235">
        <v>0.27</v>
      </c>
      <c r="U235">
        <v>-1.65</v>
      </c>
    </row>
    <row r="236" spans="1:21" x14ac:dyDescent="0.25">
      <c r="A236" t="s">
        <v>50</v>
      </c>
      <c r="B236" t="s">
        <v>51</v>
      </c>
      <c r="C236">
        <v>5</v>
      </c>
      <c r="D236">
        <v>1</v>
      </c>
      <c r="E236"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v>33.858596979044897</v>
      </c>
      <c r="P236">
        <v>597.14531894962283</v>
      </c>
      <c r="Q236">
        <v>1435.1005021620354</v>
      </c>
      <c r="R236">
        <v>3803.0163307293938</v>
      </c>
      <c r="S236">
        <v>40.6</v>
      </c>
      <c r="T236">
        <v>0.27</v>
      </c>
      <c r="U236">
        <v>-1.65</v>
      </c>
    </row>
    <row r="237" spans="1:21" x14ac:dyDescent="0.25">
      <c r="A237" t="s">
        <v>50</v>
      </c>
      <c r="B237" t="s">
        <v>51</v>
      </c>
      <c r="C237">
        <v>6</v>
      </c>
      <c r="D237">
        <v>1</v>
      </c>
      <c r="E237"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v>35.453751170742358</v>
      </c>
      <c r="P237">
        <v>687.16241425896737</v>
      </c>
      <c r="Q237">
        <v>1651.4357468372202</v>
      </c>
      <c r="R237">
        <v>4376.3047291186331</v>
      </c>
      <c r="S237">
        <v>40.6</v>
      </c>
      <c r="T237">
        <v>0.27</v>
      </c>
      <c r="U237">
        <v>-1.65</v>
      </c>
    </row>
    <row r="238" spans="1:21" x14ac:dyDescent="0.25">
      <c r="A238" t="s">
        <v>50</v>
      </c>
      <c r="B238" t="s">
        <v>51</v>
      </c>
      <c r="C238">
        <v>7</v>
      </c>
      <c r="D238">
        <v>1</v>
      </c>
      <c r="E238"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v>36.671459170989685</v>
      </c>
      <c r="P238">
        <v>761.71181665508584</v>
      </c>
      <c r="Q238">
        <v>1830.5979732157796</v>
      </c>
      <c r="R238">
        <v>4851.084629021816</v>
      </c>
      <c r="S238">
        <v>40.6</v>
      </c>
      <c r="T238">
        <v>0.27</v>
      </c>
      <c r="U238">
        <v>-1.65</v>
      </c>
    </row>
    <row r="239" spans="1:21" x14ac:dyDescent="0.25">
      <c r="A239" t="s">
        <v>50</v>
      </c>
      <c r="B239" t="s">
        <v>51</v>
      </c>
      <c r="C239">
        <v>8</v>
      </c>
      <c r="D239">
        <v>1</v>
      </c>
      <c r="E239"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v>37.60103248846842</v>
      </c>
      <c r="P239">
        <v>822.14611713593331</v>
      </c>
      <c r="Q239">
        <v>1975.8378205622046</v>
      </c>
      <c r="R239">
        <v>5235.9702244898417</v>
      </c>
      <c r="S239">
        <v>40.6</v>
      </c>
      <c r="T239">
        <v>0.27</v>
      </c>
      <c r="U239">
        <v>-1.65</v>
      </c>
    </row>
    <row r="240" spans="1:21" x14ac:dyDescent="0.25">
      <c r="A240" t="s">
        <v>50</v>
      </c>
      <c r="B240" t="s">
        <v>51</v>
      </c>
      <c r="C240">
        <v>9</v>
      </c>
      <c r="D240">
        <v>1</v>
      </c>
      <c r="E240"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v>38.310649697514371</v>
      </c>
      <c r="P240">
        <v>870.39069088429505</v>
      </c>
      <c r="Q240">
        <v>2091.7824822982334</v>
      </c>
      <c r="R240">
        <v>5543.2235780903184</v>
      </c>
      <c r="S240">
        <v>40.6</v>
      </c>
      <c r="T240">
        <v>0.27</v>
      </c>
      <c r="U240">
        <v>-1.65</v>
      </c>
    </row>
    <row r="241" spans="1:21" x14ac:dyDescent="0.25">
      <c r="A241" t="s">
        <v>50</v>
      </c>
      <c r="B241" t="s">
        <v>51</v>
      </c>
      <c r="C241">
        <v>10</v>
      </c>
      <c r="D241">
        <v>1</v>
      </c>
      <c r="E241"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v>38.8523569237286</v>
      </c>
      <c r="P241">
        <v>908.47438830563499</v>
      </c>
      <c r="Q241">
        <v>2183.3078305831173</v>
      </c>
      <c r="R241">
        <v>5785.7657510452609</v>
      </c>
      <c r="S241">
        <v>40.6</v>
      </c>
      <c r="T241">
        <v>0.27</v>
      </c>
      <c r="U241">
        <v>-1.65</v>
      </c>
    </row>
    <row r="242" spans="1:21" x14ac:dyDescent="0.25">
      <c r="A242" t="s">
        <v>52</v>
      </c>
      <c r="B242" t="s">
        <v>53</v>
      </c>
      <c r="C242">
        <v>1</v>
      </c>
      <c r="D242">
        <v>1</v>
      </c>
      <c r="E242"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v>8.1033821062960261</v>
      </c>
      <c r="P242">
        <v>4.3165057367255786</v>
      </c>
      <c r="Q242">
        <v>10.373722030102327</v>
      </c>
      <c r="R242">
        <v>27.490363379771164</v>
      </c>
      <c r="S242">
        <v>37.700000000000003</v>
      </c>
      <c r="T242">
        <v>0.24199999999999999</v>
      </c>
      <c r="U242">
        <v>0</v>
      </c>
    </row>
    <row r="243" spans="1:21" x14ac:dyDescent="0.25">
      <c r="A243" t="s">
        <v>52</v>
      </c>
      <c r="B243" t="s">
        <v>53</v>
      </c>
      <c r="C243">
        <v>2</v>
      </c>
      <c r="D243">
        <v>1</v>
      </c>
      <c r="E243"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v>14.46499228790668</v>
      </c>
      <c r="P243">
        <v>23.169827404021429</v>
      </c>
      <c r="Q243">
        <v>55.683315078157726</v>
      </c>
      <c r="R243">
        <v>147.56078495711796</v>
      </c>
      <c r="S243">
        <v>37.700000000000003</v>
      </c>
      <c r="T243">
        <v>0.24199999999999999</v>
      </c>
      <c r="U243">
        <v>0</v>
      </c>
    </row>
    <row r="244" spans="1:21" x14ac:dyDescent="0.25">
      <c r="A244" t="s">
        <v>52</v>
      </c>
      <c r="B244" t="s">
        <v>53</v>
      </c>
      <c r="C244">
        <v>3</v>
      </c>
      <c r="D244">
        <v>1</v>
      </c>
      <c r="E244"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v>19.459213660156738</v>
      </c>
      <c r="P244">
        <v>54.759986342720147</v>
      </c>
      <c r="Q244">
        <v>131.6029472307622</v>
      </c>
      <c r="R244">
        <v>348.74781016151979</v>
      </c>
      <c r="S244">
        <v>37.700000000000003</v>
      </c>
      <c r="T244">
        <v>0.24199999999999999</v>
      </c>
      <c r="U244">
        <v>0</v>
      </c>
    </row>
    <row r="245" spans="1:21" x14ac:dyDescent="0.25">
      <c r="A245" t="s">
        <v>52</v>
      </c>
      <c r="B245" t="s">
        <v>53</v>
      </c>
      <c r="C245">
        <v>4</v>
      </c>
      <c r="D245">
        <v>1</v>
      </c>
      <c r="E245"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v>23.379958000503024</v>
      </c>
      <c r="P245">
        <v>93.249563450422627</v>
      </c>
      <c r="Q245">
        <v>224.10373335838173</v>
      </c>
      <c r="R245">
        <v>593.8748933997116</v>
      </c>
      <c r="S245">
        <v>37.700000000000003</v>
      </c>
      <c r="T245">
        <v>0.24199999999999999</v>
      </c>
      <c r="U245">
        <v>0</v>
      </c>
    </row>
    <row r="246" spans="1:21" x14ac:dyDescent="0.25">
      <c r="A246" t="s">
        <v>52</v>
      </c>
      <c r="B246" t="s">
        <v>53</v>
      </c>
      <c r="C246">
        <v>5</v>
      </c>
      <c r="D246">
        <v>1</v>
      </c>
      <c r="E246"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v>26.457962565493247</v>
      </c>
      <c r="P246">
        <v>133.47918712701969</v>
      </c>
      <c r="Q246">
        <v>320.7863184980045</v>
      </c>
      <c r="R246">
        <v>850.08374401971196</v>
      </c>
      <c r="S246">
        <v>37.700000000000003</v>
      </c>
      <c r="T246">
        <v>0.24199999999999999</v>
      </c>
      <c r="U246">
        <v>0</v>
      </c>
    </row>
    <row r="247" spans="1:21" x14ac:dyDescent="0.25">
      <c r="A247" t="s">
        <v>52</v>
      </c>
      <c r="B247" t="s">
        <v>53</v>
      </c>
      <c r="C247">
        <v>6</v>
      </c>
      <c r="D247">
        <v>1</v>
      </c>
      <c r="E247"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v>28.874369063771553</v>
      </c>
      <c r="P247">
        <v>171.98329262698991</v>
      </c>
      <c r="Q247">
        <v>413.32202025231896</v>
      </c>
      <c r="R247">
        <v>1095.3033536686453</v>
      </c>
      <c r="S247">
        <v>37.700000000000003</v>
      </c>
      <c r="T247">
        <v>0.24199999999999999</v>
      </c>
      <c r="U247">
        <v>0</v>
      </c>
    </row>
    <row r="248" spans="1:21" x14ac:dyDescent="0.25">
      <c r="A248" t="s">
        <v>52</v>
      </c>
      <c r="B248" t="s">
        <v>53</v>
      </c>
      <c r="C248">
        <v>7</v>
      </c>
      <c r="D248">
        <v>1</v>
      </c>
      <c r="E248"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v>30.771383912721323</v>
      </c>
      <c r="P248">
        <v>206.8361203659174</v>
      </c>
      <c r="Q248">
        <v>497.08272137927759</v>
      </c>
      <c r="R248">
        <v>1317.2692116550857</v>
      </c>
      <c r="S248">
        <v>37.700000000000003</v>
      </c>
      <c r="T248">
        <v>0.24199999999999999</v>
      </c>
      <c r="U248">
        <v>0</v>
      </c>
    </row>
    <row r="249" spans="1:21" x14ac:dyDescent="0.25">
      <c r="A249" t="s">
        <v>52</v>
      </c>
      <c r="B249" t="s">
        <v>53</v>
      </c>
      <c r="C249">
        <v>8</v>
      </c>
      <c r="D249">
        <v>1</v>
      </c>
      <c r="E249"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v>32.260647138796891</v>
      </c>
      <c r="P249">
        <v>237.22033636305432</v>
      </c>
      <c r="Q249">
        <v>570.10414891385335</v>
      </c>
      <c r="R249">
        <v>1510.7759946217113</v>
      </c>
      <c r="S249">
        <v>37.700000000000003</v>
      </c>
      <c r="T249">
        <v>0.24199999999999999</v>
      </c>
      <c r="U249">
        <v>0</v>
      </c>
    </row>
    <row r="250" spans="1:21" x14ac:dyDescent="0.25">
      <c r="A250" t="s">
        <v>52</v>
      </c>
      <c r="B250" t="s">
        <v>53</v>
      </c>
      <c r="C250">
        <v>9</v>
      </c>
      <c r="D250">
        <v>1</v>
      </c>
      <c r="E250"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v>33.429802434428275</v>
      </c>
      <c r="P250">
        <v>263.01956122966209</v>
      </c>
      <c r="Q250">
        <v>632.10661194343209</v>
      </c>
      <c r="R250">
        <v>1675.082521650095</v>
      </c>
      <c r="S250">
        <v>37.700000000000003</v>
      </c>
      <c r="T250">
        <v>0.24199999999999999</v>
      </c>
      <c r="U250">
        <v>0</v>
      </c>
    </row>
    <row r="251" spans="1:21" x14ac:dyDescent="0.25">
      <c r="A251" t="s">
        <v>52</v>
      </c>
      <c r="B251" t="s">
        <v>53</v>
      </c>
      <c r="C251">
        <v>10</v>
      </c>
      <c r="D251">
        <v>1</v>
      </c>
      <c r="E251"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v>34.347655021781136</v>
      </c>
      <c r="P251">
        <v>284.51264145637276</v>
      </c>
      <c r="Q251">
        <v>683.76025343997298</v>
      </c>
      <c r="R251">
        <v>1811.9646716159284</v>
      </c>
      <c r="S251">
        <v>37.700000000000003</v>
      </c>
      <c r="T251">
        <v>0.24199999999999999</v>
      </c>
      <c r="U251">
        <v>0</v>
      </c>
    </row>
    <row r="252" spans="1:21" x14ac:dyDescent="0.25">
      <c r="A252" s="3" t="s">
        <v>184</v>
      </c>
      <c r="B252" t="s">
        <v>193</v>
      </c>
      <c r="C252">
        <v>1</v>
      </c>
      <c r="D252">
        <v>1</v>
      </c>
      <c r="E252">
        <v>1</v>
      </c>
      <c r="F252">
        <v>2.6676279740000002</v>
      </c>
      <c r="G252">
        <v>7.0692141299999998</v>
      </c>
      <c r="H252">
        <v>1.1099999999814001</v>
      </c>
      <c r="I252">
        <v>1.1099999999814002E-3</v>
      </c>
      <c r="J252">
        <v>1.1099999999814002E-6</v>
      </c>
      <c r="K252">
        <v>2.447128199958994E-3</v>
      </c>
      <c r="L252" s="4">
        <v>1.0999999999999999E-2</v>
      </c>
      <c r="M252" s="4">
        <v>3.01</v>
      </c>
      <c r="N252">
        <v>4.6318829138707471</v>
      </c>
      <c r="O252" s="3">
        <v>4.1157068482098182</v>
      </c>
      <c r="P252" s="3">
        <v>0.7778044613387648</v>
      </c>
      <c r="Q252" s="3">
        <v>1.8692729183820351</v>
      </c>
      <c r="R252" s="3">
        <v>4.953573233712393</v>
      </c>
      <c r="S252">
        <v>9</v>
      </c>
      <c r="T252">
        <v>0.32</v>
      </c>
      <c r="U252">
        <v>-0.91</v>
      </c>
    </row>
    <row r="253" spans="1:21" x14ac:dyDescent="0.25">
      <c r="A253" s="3" t="s">
        <v>184</v>
      </c>
      <c r="B253" t="s">
        <v>193</v>
      </c>
      <c r="C253">
        <v>2</v>
      </c>
      <c r="D253">
        <v>1</v>
      </c>
      <c r="E253">
        <v>2</v>
      </c>
      <c r="F253">
        <v>3.8692621960000002</v>
      </c>
      <c r="G253">
        <v>10.25354482</v>
      </c>
      <c r="H253">
        <v>1.6099999997556003</v>
      </c>
      <c r="I253">
        <v>1.6099999997556003E-3</v>
      </c>
      <c r="J253">
        <v>1.6099999997556003E-6</v>
      </c>
      <c r="K253">
        <v>3.5494381994611913E-3</v>
      </c>
      <c r="L253" s="4">
        <v>1.0999999999999999E-2</v>
      </c>
      <c r="M253" s="4">
        <v>3.01</v>
      </c>
      <c r="N253">
        <v>5.240986248696256</v>
      </c>
      <c r="O253" s="3">
        <v>5.4532752310419363</v>
      </c>
      <c r="P253" s="3">
        <v>1.8143936262614084</v>
      </c>
      <c r="Q253" s="3">
        <v>4.3604749489579637</v>
      </c>
      <c r="R253" s="3">
        <v>11.555258614738603</v>
      </c>
      <c r="S253">
        <v>9</v>
      </c>
      <c r="T253">
        <v>0.32</v>
      </c>
      <c r="U253">
        <v>-0.91</v>
      </c>
    </row>
    <row r="254" spans="1:21" x14ac:dyDescent="0.25">
      <c r="A254" s="3" t="s">
        <v>184</v>
      </c>
      <c r="B254" t="s">
        <v>193</v>
      </c>
      <c r="C254">
        <v>3</v>
      </c>
      <c r="D254">
        <v>1</v>
      </c>
      <c r="E254">
        <v>3</v>
      </c>
      <c r="F254">
        <v>5.0708964190000003</v>
      </c>
      <c r="G254">
        <v>13.43787551</v>
      </c>
      <c r="H254">
        <v>2.1099999999459</v>
      </c>
      <c r="I254">
        <v>2.1099999999458999E-3</v>
      </c>
      <c r="J254">
        <v>2.1099999999459001E-6</v>
      </c>
      <c r="K254">
        <v>4.6517481998807298E-3</v>
      </c>
      <c r="L254" s="4">
        <v>1.0999999999999999E-2</v>
      </c>
      <c r="M254" s="4">
        <v>3.01</v>
      </c>
      <c r="N254">
        <v>5.7337022923298262</v>
      </c>
      <c r="O254" s="3">
        <v>6.4245492242556939</v>
      </c>
      <c r="P254" s="3">
        <v>2.9716598373956193</v>
      </c>
      <c r="Q254" s="3">
        <v>7.1416963167402532</v>
      </c>
      <c r="R254" s="3">
        <v>18.92549523936167</v>
      </c>
      <c r="S254">
        <v>9</v>
      </c>
      <c r="T254">
        <v>0.32</v>
      </c>
      <c r="U254">
        <v>-0.91</v>
      </c>
    </row>
    <row r="255" spans="1:21" x14ac:dyDescent="0.25">
      <c r="A255" s="3" t="s">
        <v>184</v>
      </c>
      <c r="B255" t="s">
        <v>193</v>
      </c>
      <c r="C255">
        <v>4</v>
      </c>
      <c r="D255">
        <v>1</v>
      </c>
      <c r="E255">
        <v>4</v>
      </c>
      <c r="F255">
        <v>5.0829127610000002</v>
      </c>
      <c r="G255">
        <v>13.469718820000001</v>
      </c>
      <c r="H255">
        <v>2.1149999998521003</v>
      </c>
      <c r="I255">
        <v>2.1149999998521002E-3</v>
      </c>
      <c r="J255">
        <v>2.1149999998521001E-6</v>
      </c>
      <c r="K255">
        <v>4.6627712996739372E-3</v>
      </c>
      <c r="L255" s="4">
        <v>1.0999999999999999E-2</v>
      </c>
      <c r="M255" s="4">
        <v>3.01</v>
      </c>
      <c r="N255">
        <v>5.738212669774577</v>
      </c>
      <c r="O255" s="3">
        <v>7.1298388991625812</v>
      </c>
      <c r="P255" s="3">
        <v>4.0659556123430116</v>
      </c>
      <c r="Q255" s="3">
        <v>9.7715828222615038</v>
      </c>
      <c r="R255" s="3">
        <v>25.894694478992985</v>
      </c>
      <c r="S255">
        <v>9</v>
      </c>
      <c r="T255">
        <v>0.32</v>
      </c>
      <c r="U255">
        <v>-0.91</v>
      </c>
    </row>
    <row r="256" spans="1:21" x14ac:dyDescent="0.25">
      <c r="A256" s="3" t="s">
        <v>184</v>
      </c>
      <c r="B256" t="s">
        <v>193</v>
      </c>
      <c r="C256">
        <v>5</v>
      </c>
      <c r="D256">
        <v>1</v>
      </c>
      <c r="E256">
        <v>5</v>
      </c>
      <c r="F256">
        <v>5.0949291030000001</v>
      </c>
      <c r="G256">
        <v>13.501562119999999</v>
      </c>
      <c r="H256">
        <v>2.1199999997583001</v>
      </c>
      <c r="I256">
        <v>2.1199999997583E-3</v>
      </c>
      <c r="J256">
        <v>2.1199999997583E-6</v>
      </c>
      <c r="K256">
        <v>4.6737943994671427E-3</v>
      </c>
      <c r="L256" s="4">
        <v>1.0999999999999999E-2</v>
      </c>
      <c r="M256" s="4">
        <v>3.01</v>
      </c>
      <c r="N256">
        <v>5.7427159324658712</v>
      </c>
      <c r="O256" s="3">
        <v>7.6419843174542343</v>
      </c>
      <c r="P256" s="3">
        <v>5.0100628373165685</v>
      </c>
      <c r="Q256" s="3">
        <v>12.040525924817516</v>
      </c>
      <c r="R256" s="3">
        <v>31.907393700766416</v>
      </c>
      <c r="S256">
        <v>9</v>
      </c>
      <c r="T256">
        <v>0.32</v>
      </c>
      <c r="U256">
        <v>-0.91</v>
      </c>
    </row>
    <row r="257" spans="1:21" x14ac:dyDescent="0.25">
      <c r="A257" s="3" t="s">
        <v>184</v>
      </c>
      <c r="B257" t="s">
        <v>193</v>
      </c>
      <c r="C257">
        <v>6</v>
      </c>
      <c r="D257">
        <v>1</v>
      </c>
      <c r="E257">
        <v>6</v>
      </c>
      <c r="F257">
        <v>5.1069454460000001</v>
      </c>
      <c r="G257">
        <v>13.53340543</v>
      </c>
      <c r="H257">
        <v>2.1250000000806004</v>
      </c>
      <c r="I257">
        <v>2.1250000000806006E-3</v>
      </c>
      <c r="J257">
        <v>2.1250000000806007E-6</v>
      </c>
      <c r="K257">
        <v>4.6848175001776935E-3</v>
      </c>
      <c r="L257" s="4">
        <v>1.0999999999999999E-2</v>
      </c>
      <c r="M257" s="4">
        <v>3.01</v>
      </c>
      <c r="N257">
        <v>5.747212108740996</v>
      </c>
      <c r="O257" s="3">
        <v>8.0138782197884222</v>
      </c>
      <c r="P257" s="3">
        <v>5.7804191102110707</v>
      </c>
      <c r="Q257" s="3">
        <v>13.891898846938405</v>
      </c>
      <c r="R257" s="3">
        <v>36.813531944386774</v>
      </c>
      <c r="S257">
        <v>9</v>
      </c>
      <c r="T257">
        <v>0.32</v>
      </c>
      <c r="U257">
        <v>-0.91</v>
      </c>
    </row>
    <row r="258" spans="1:21" x14ac:dyDescent="0.25">
      <c r="A258" s="3" t="s">
        <v>184</v>
      </c>
      <c r="B258" t="s">
        <v>193</v>
      </c>
      <c r="C258">
        <v>7</v>
      </c>
      <c r="D258">
        <v>1</v>
      </c>
      <c r="E258">
        <v>7</v>
      </c>
      <c r="F258">
        <v>5.118961788</v>
      </c>
      <c r="G258">
        <v>13.565248739999999</v>
      </c>
      <c r="H258">
        <v>2.1299999999868002</v>
      </c>
      <c r="I258">
        <v>2.1299999999868004E-3</v>
      </c>
      <c r="J258">
        <v>2.1299999999868006E-6</v>
      </c>
      <c r="K258">
        <v>4.6958405999709E-3</v>
      </c>
      <c r="L258" s="4">
        <v>1.0999999999999999E-2</v>
      </c>
      <c r="M258" s="4">
        <v>3.01</v>
      </c>
      <c r="N258">
        <v>5.7517012256396187</v>
      </c>
      <c r="O258" s="3">
        <v>8.2839286188619674</v>
      </c>
      <c r="P258" s="3">
        <v>6.3868114122370683</v>
      </c>
      <c r="Q258" s="3">
        <v>15.34922233174013</v>
      </c>
      <c r="R258" s="3">
        <v>40.675439179111343</v>
      </c>
      <c r="S258">
        <v>9</v>
      </c>
      <c r="T258">
        <v>0.32</v>
      </c>
      <c r="U258">
        <v>-0.91</v>
      </c>
    </row>
    <row r="259" spans="1:21" x14ac:dyDescent="0.25">
      <c r="A259" s="3" t="s">
        <v>184</v>
      </c>
      <c r="B259" t="s">
        <v>193</v>
      </c>
      <c r="C259">
        <v>8</v>
      </c>
      <c r="D259">
        <v>1</v>
      </c>
      <c r="E259">
        <v>8</v>
      </c>
      <c r="F259">
        <v>5.1309781299999999</v>
      </c>
      <c r="G259">
        <v>13.597092050000001</v>
      </c>
      <c r="H259">
        <v>2.134999999893</v>
      </c>
      <c r="I259">
        <v>2.1349999998929998E-3</v>
      </c>
      <c r="J259">
        <v>2.1349999998929997E-6</v>
      </c>
      <c r="K259">
        <v>4.7068636997641047E-3</v>
      </c>
      <c r="L259" s="4">
        <v>1.0999999999999999E-2</v>
      </c>
      <c r="M259" s="4">
        <v>3.01</v>
      </c>
      <c r="N259">
        <v>5.7561833111503411</v>
      </c>
      <c r="O259" s="3">
        <v>8.4800254561105906</v>
      </c>
      <c r="P259" s="3">
        <v>6.8528010659645933</v>
      </c>
      <c r="Q259" s="3">
        <v>16.469120562279723</v>
      </c>
      <c r="R259" s="3">
        <v>43.643169490041267</v>
      </c>
      <c r="S259">
        <v>9</v>
      </c>
      <c r="T259">
        <v>0.32</v>
      </c>
      <c r="U259">
        <v>-0.91</v>
      </c>
    </row>
    <row r="260" spans="1:21" x14ac:dyDescent="0.25">
      <c r="A260" s="3" t="s">
        <v>184</v>
      </c>
      <c r="B260" t="s">
        <v>193</v>
      </c>
      <c r="C260">
        <v>9</v>
      </c>
      <c r="D260">
        <v>1</v>
      </c>
      <c r="E260">
        <v>9</v>
      </c>
      <c r="F260">
        <v>5.1429944729999999</v>
      </c>
      <c r="G260">
        <v>13.628935350000001</v>
      </c>
      <c r="H260">
        <v>2.1400000002152995</v>
      </c>
      <c r="I260">
        <v>2.1400000002152995E-3</v>
      </c>
      <c r="J260">
        <v>2.1400000002152995E-6</v>
      </c>
      <c r="K260">
        <v>4.7178868004746528E-3</v>
      </c>
      <c r="L260" s="4">
        <v>1.0999999999999999E-2</v>
      </c>
      <c r="M260" s="4">
        <v>3.01</v>
      </c>
      <c r="N260">
        <v>5.7606583930870281</v>
      </c>
      <c r="O260" s="3">
        <v>8.622420985651873</v>
      </c>
      <c r="P260" s="3">
        <v>7.2050441633690241</v>
      </c>
      <c r="Q260" s="3">
        <v>17.315655283270907</v>
      </c>
      <c r="R260" s="3">
        <v>45.8864865006679</v>
      </c>
      <c r="S260">
        <v>9</v>
      </c>
      <c r="T260">
        <v>0.32</v>
      </c>
      <c r="U260">
        <v>-0.91</v>
      </c>
    </row>
    <row r="261" spans="1:21" x14ac:dyDescent="0.25">
      <c r="A261" s="3" t="s">
        <v>184</v>
      </c>
      <c r="B261" t="s">
        <v>193</v>
      </c>
      <c r="C261">
        <v>10</v>
      </c>
      <c r="D261">
        <v>1</v>
      </c>
      <c r="E261">
        <v>10</v>
      </c>
      <c r="F261">
        <v>5.1550108149999998</v>
      </c>
      <c r="G261">
        <v>13.66077866</v>
      </c>
      <c r="H261">
        <v>2.1450000001214997</v>
      </c>
      <c r="I261">
        <v>2.1450000001214998E-3</v>
      </c>
      <c r="J261">
        <v>2.1450000001214999E-6</v>
      </c>
      <c r="K261">
        <v>4.7289099002678602E-3</v>
      </c>
      <c r="L261" s="4">
        <v>1.0999999999999999E-2</v>
      </c>
      <c r="M261" s="4">
        <v>3.01</v>
      </c>
      <c r="N261">
        <v>5.7651264979756727</v>
      </c>
      <c r="O261" s="3">
        <v>8.7258213623118746</v>
      </c>
      <c r="P261" s="3">
        <v>7.4682646853721346</v>
      </c>
      <c r="Q261" s="3">
        <v>17.948244857899869</v>
      </c>
      <c r="R261" s="3">
        <v>47.562848873434653</v>
      </c>
      <c r="S261">
        <v>9</v>
      </c>
      <c r="T261">
        <v>0.32</v>
      </c>
      <c r="U261">
        <v>-0.91</v>
      </c>
    </row>
    <row r="262" spans="1:21" x14ac:dyDescent="0.25">
      <c r="A262" t="s">
        <v>54</v>
      </c>
      <c r="B262" t="s">
        <v>55</v>
      </c>
      <c r="C262">
        <v>1</v>
      </c>
      <c r="D262">
        <v>2</v>
      </c>
      <c r="E262"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v>26.535605903070181</v>
      </c>
      <c r="P262">
        <v>135.78420681704091</v>
      </c>
      <c r="Q262">
        <v>326.32589958433289</v>
      </c>
      <c r="R262">
        <v>864.76363389848211</v>
      </c>
      <c r="S262">
        <v>43</v>
      </c>
      <c r="T262">
        <v>0.48</v>
      </c>
      <c r="U262">
        <v>0</v>
      </c>
    </row>
    <row r="263" spans="1:21" x14ac:dyDescent="0.25">
      <c r="A263" t="s">
        <v>54</v>
      </c>
      <c r="B263" t="s">
        <v>55</v>
      </c>
      <c r="C263">
        <v>2</v>
      </c>
      <c r="D263">
        <v>2</v>
      </c>
      <c r="E263"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v>36.695900628394945</v>
      </c>
      <c r="P263">
        <v>336.55587698181682</v>
      </c>
      <c r="Q263">
        <v>808.83411915841577</v>
      </c>
      <c r="R263">
        <v>2143.4104157698016</v>
      </c>
      <c r="S263">
        <v>43</v>
      </c>
      <c r="T263">
        <v>0.48</v>
      </c>
      <c r="U263">
        <v>0</v>
      </c>
    </row>
    <row r="264" spans="1:21" x14ac:dyDescent="0.25">
      <c r="A264" t="s">
        <v>54</v>
      </c>
      <c r="B264" t="s">
        <v>55</v>
      </c>
      <c r="C264">
        <v>3</v>
      </c>
      <c r="D264">
        <v>2</v>
      </c>
      <c r="E264"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v>40.586205198132248</v>
      </c>
      <c r="P264">
        <v>446.2597179732407</v>
      </c>
      <c r="Q264">
        <v>1072.4818985177617</v>
      </c>
      <c r="R264">
        <v>2842.0770310720682</v>
      </c>
      <c r="S264">
        <v>43</v>
      </c>
      <c r="T264">
        <v>0.48</v>
      </c>
      <c r="U264">
        <v>0</v>
      </c>
    </row>
    <row r="265" spans="1:21" x14ac:dyDescent="0.25">
      <c r="A265" t="s">
        <v>54</v>
      </c>
      <c r="B265" t="s">
        <v>55</v>
      </c>
      <c r="C265">
        <v>4</v>
      </c>
      <c r="D265">
        <v>2</v>
      </c>
      <c r="E265"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v>42.075775142161135</v>
      </c>
      <c r="P265">
        <v>493.64868805058831</v>
      </c>
      <c r="Q265">
        <v>1186.3703149497437</v>
      </c>
      <c r="R265">
        <v>3143.8813346168208</v>
      </c>
      <c r="S265">
        <v>43</v>
      </c>
      <c r="T265">
        <v>0.48</v>
      </c>
      <c r="U265">
        <v>0</v>
      </c>
    </row>
    <row r="266" spans="1:21" x14ac:dyDescent="0.25">
      <c r="A266" t="s">
        <v>54</v>
      </c>
      <c r="B266" t="s">
        <v>55</v>
      </c>
      <c r="C266">
        <v>5</v>
      </c>
      <c r="D266">
        <v>2</v>
      </c>
      <c r="E266"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v>42.646120876892141</v>
      </c>
      <c r="P266">
        <v>512.61431466428678</v>
      </c>
      <c r="Q266">
        <v>1231.9498069317153</v>
      </c>
      <c r="R266">
        <v>3264.6669883690456</v>
      </c>
      <c r="S266">
        <v>43</v>
      </c>
      <c r="T266">
        <v>0.48</v>
      </c>
      <c r="U266">
        <v>0</v>
      </c>
    </row>
    <row r="267" spans="1:21" x14ac:dyDescent="0.25">
      <c r="A267" t="s">
        <v>54</v>
      </c>
      <c r="B267" t="s">
        <v>55</v>
      </c>
      <c r="C267">
        <v>6</v>
      </c>
      <c r="D267">
        <v>2</v>
      </c>
      <c r="E267"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v>42.864502201266895</v>
      </c>
      <c r="P267">
        <v>519.99819037492045</v>
      </c>
      <c r="Q267">
        <v>1249.6952424295134</v>
      </c>
      <c r="R267">
        <v>3311.6923924382104</v>
      </c>
      <c r="S267">
        <v>43</v>
      </c>
      <c r="T267">
        <v>0.48</v>
      </c>
      <c r="U267">
        <v>0</v>
      </c>
    </row>
    <row r="268" spans="1:21" x14ac:dyDescent="0.25">
      <c r="A268" t="s">
        <v>54</v>
      </c>
      <c r="B268" t="s">
        <v>55</v>
      </c>
      <c r="C268">
        <v>7</v>
      </c>
      <c r="D268">
        <v>2</v>
      </c>
      <c r="E268"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v>42.948118856799809</v>
      </c>
      <c r="P268">
        <v>522.84341833367034</v>
      </c>
      <c r="Q268">
        <v>1256.5330890018513</v>
      </c>
      <c r="R268">
        <v>3329.8126858549058</v>
      </c>
      <c r="S268">
        <v>43</v>
      </c>
      <c r="T268">
        <v>0.48</v>
      </c>
      <c r="U268">
        <v>0</v>
      </c>
    </row>
    <row r="269" spans="1:21" x14ac:dyDescent="0.25">
      <c r="A269" t="s">
        <v>54</v>
      </c>
      <c r="B269" t="s">
        <v>55</v>
      </c>
      <c r="C269">
        <v>8</v>
      </c>
      <c r="D269">
        <v>2</v>
      </c>
      <c r="E269"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v>42.980135079352387</v>
      </c>
      <c r="P269">
        <v>523.93547948044738</v>
      </c>
      <c r="Q269">
        <v>1259.1576050960045</v>
      </c>
      <c r="R269">
        <v>3336.767653504412</v>
      </c>
      <c r="S269">
        <v>43</v>
      </c>
      <c r="T269">
        <v>0.48</v>
      </c>
      <c r="U269">
        <v>0</v>
      </c>
    </row>
    <row r="270" spans="1:21" x14ac:dyDescent="0.25">
      <c r="A270" t="s">
        <v>54</v>
      </c>
      <c r="B270" t="s">
        <v>55</v>
      </c>
      <c r="C270">
        <v>9</v>
      </c>
      <c r="D270">
        <v>2</v>
      </c>
      <c r="E270"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v>42.992393863203567</v>
      </c>
      <c r="P270">
        <v>524.35400980297993</v>
      </c>
      <c r="Q270">
        <v>1260.1634458134583</v>
      </c>
      <c r="R270">
        <v>3339.4331314056644</v>
      </c>
      <c r="S270">
        <v>43</v>
      </c>
      <c r="T270">
        <v>0.48</v>
      </c>
      <c r="U270">
        <v>0</v>
      </c>
    </row>
    <row r="271" spans="1:21" x14ac:dyDescent="0.25">
      <c r="A271" t="s">
        <v>54</v>
      </c>
      <c r="B271" t="s">
        <v>55</v>
      </c>
      <c r="C271">
        <v>10</v>
      </c>
      <c r="D271">
        <v>2</v>
      </c>
      <c r="E271"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v>42.997087664330891</v>
      </c>
      <c r="P271">
        <v>524.51431896899282</v>
      </c>
      <c r="Q271">
        <v>1260.5487117735947</v>
      </c>
      <c r="R271">
        <v>3340.4540862000258</v>
      </c>
      <c r="S271">
        <v>43</v>
      </c>
      <c r="T271">
        <v>0.48</v>
      </c>
      <c r="U271">
        <v>0</v>
      </c>
    </row>
    <row r="272" spans="1:21" x14ac:dyDescent="0.25">
      <c r="A272" t="s">
        <v>56</v>
      </c>
      <c r="B272" t="s">
        <v>57</v>
      </c>
      <c r="C272">
        <v>1</v>
      </c>
      <c r="D272">
        <v>2</v>
      </c>
      <c r="E272"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v>23.503497027232861</v>
      </c>
      <c r="P272">
        <v>44.509294570370933</v>
      </c>
      <c r="Q272">
        <v>106.96778315397964</v>
      </c>
      <c r="R272">
        <v>283.46462535804602</v>
      </c>
      <c r="S272">
        <v>122</v>
      </c>
      <c r="T272">
        <v>0.107</v>
      </c>
      <c r="U272">
        <v>0</v>
      </c>
    </row>
    <row r="273" spans="1:21" x14ac:dyDescent="0.25">
      <c r="A273" t="s">
        <v>56</v>
      </c>
      <c r="B273" t="s">
        <v>57</v>
      </c>
      <c r="C273">
        <v>2</v>
      </c>
      <c r="D273">
        <v>2</v>
      </c>
      <c r="E273"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v>42.479007394554699</v>
      </c>
      <c r="P273">
        <v>278.79213955595611</v>
      </c>
      <c r="Q273">
        <v>670.01235173265104</v>
      </c>
      <c r="R273">
        <v>1775.5327320915253</v>
      </c>
      <c r="S273">
        <v>122</v>
      </c>
      <c r="T273">
        <v>0.107</v>
      </c>
      <c r="U273">
        <v>0</v>
      </c>
    </row>
    <row r="274" spans="1:21" x14ac:dyDescent="0.25">
      <c r="A274" t="s">
        <v>56</v>
      </c>
      <c r="B274" t="s">
        <v>57</v>
      </c>
      <c r="C274">
        <v>3</v>
      </c>
      <c r="D274">
        <v>2</v>
      </c>
      <c r="E274"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v>57.798855044593147</v>
      </c>
      <c r="P274">
        <v>724.25189217385025</v>
      </c>
      <c r="Q274">
        <v>1740.5717187547471</v>
      </c>
      <c r="R274">
        <v>4612.5150547000794</v>
      </c>
      <c r="S274">
        <v>122</v>
      </c>
      <c r="T274">
        <v>0.107</v>
      </c>
      <c r="U274">
        <v>0</v>
      </c>
    </row>
    <row r="275" spans="1:21" x14ac:dyDescent="0.25">
      <c r="A275" t="s">
        <v>56</v>
      </c>
      <c r="B275" t="s">
        <v>57</v>
      </c>
      <c r="C275">
        <v>4</v>
      </c>
      <c r="D275">
        <v>2</v>
      </c>
      <c r="E275"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v>70.167309303645197</v>
      </c>
      <c r="P275">
        <v>1321.167738131739</v>
      </c>
      <c r="Q275">
        <v>3175.1207357167482</v>
      </c>
      <c r="R275">
        <v>8414.0699496493817</v>
      </c>
      <c r="S275">
        <v>122</v>
      </c>
      <c r="T275">
        <v>0.107</v>
      </c>
      <c r="U275">
        <v>0</v>
      </c>
    </row>
    <row r="276" spans="1:21" x14ac:dyDescent="0.25">
      <c r="A276" t="s">
        <v>56</v>
      </c>
      <c r="B276" t="s">
        <v>57</v>
      </c>
      <c r="C276">
        <v>5</v>
      </c>
      <c r="D276">
        <v>2</v>
      </c>
      <c r="E276"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v>80.152960874917795</v>
      </c>
      <c r="P276">
        <v>1995.6789455852456</v>
      </c>
      <c r="Q276">
        <v>4796.1522364461562</v>
      </c>
      <c r="R276">
        <v>12709.803426582313</v>
      </c>
      <c r="S276">
        <v>122</v>
      </c>
      <c r="T276">
        <v>0.107</v>
      </c>
      <c r="U276">
        <v>0</v>
      </c>
    </row>
    <row r="277" spans="1:21" x14ac:dyDescent="0.25">
      <c r="A277" t="s">
        <v>56</v>
      </c>
      <c r="B277" t="s">
        <v>57</v>
      </c>
      <c r="C277">
        <v>6</v>
      </c>
      <c r="D277">
        <v>2</v>
      </c>
      <c r="E277"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v>88.21486054438391</v>
      </c>
      <c r="P277">
        <v>2686.083069958217</v>
      </c>
      <c r="Q277">
        <v>6455.3786829084756</v>
      </c>
      <c r="R277">
        <v>17106.753509707461</v>
      </c>
      <c r="S277">
        <v>122</v>
      </c>
      <c r="T277">
        <v>0.107</v>
      </c>
      <c r="U277">
        <v>0</v>
      </c>
    </row>
    <row r="278" spans="1:21" x14ac:dyDescent="0.25">
      <c r="A278" t="s">
        <v>56</v>
      </c>
      <c r="B278" t="s">
        <v>57</v>
      </c>
      <c r="C278">
        <v>7</v>
      </c>
      <c r="D278">
        <v>2</v>
      </c>
      <c r="E278"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v>94.723622222742279</v>
      </c>
      <c r="P278">
        <v>3349.351518115423</v>
      </c>
      <c r="Q278">
        <v>8049.3908149853951</v>
      </c>
      <c r="R278">
        <v>21330.885659711297</v>
      </c>
      <c r="S278">
        <v>122</v>
      </c>
      <c r="T278">
        <v>0.107</v>
      </c>
      <c r="U278">
        <v>0</v>
      </c>
    </row>
    <row r="279" spans="1:21" x14ac:dyDescent="0.25">
      <c r="A279" t="s">
        <v>56</v>
      </c>
      <c r="B279" t="s">
        <v>57</v>
      </c>
      <c r="C279">
        <v>8</v>
      </c>
      <c r="D279">
        <v>2</v>
      </c>
      <c r="E279"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v>99.978460452262411</v>
      </c>
      <c r="P279">
        <v>3959.5878935679457</v>
      </c>
      <c r="Q279">
        <v>9515.9526401536805</v>
      </c>
      <c r="R279">
        <v>25217.274496407252</v>
      </c>
      <c r="S279">
        <v>122</v>
      </c>
      <c r="T279">
        <v>0.107</v>
      </c>
      <c r="U279">
        <v>0</v>
      </c>
    </row>
    <row r="280" spans="1:21" x14ac:dyDescent="0.25">
      <c r="A280" t="s">
        <v>56</v>
      </c>
      <c r="B280" t="s">
        <v>57</v>
      </c>
      <c r="C280">
        <v>9</v>
      </c>
      <c r="D280">
        <v>2</v>
      </c>
      <c r="E280"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v>104.22094561042094</v>
      </c>
      <c r="P280">
        <v>4504.0223547646438</v>
      </c>
      <c r="Q280">
        <v>10824.374801164729</v>
      </c>
      <c r="R280">
        <v>28684.593223086533</v>
      </c>
      <c r="S280">
        <v>122</v>
      </c>
      <c r="T280">
        <v>0.107</v>
      </c>
      <c r="U280">
        <v>0</v>
      </c>
    </row>
    <row r="281" spans="1:21" x14ac:dyDescent="0.25">
      <c r="A281" t="s">
        <v>56</v>
      </c>
      <c r="B281" t="s">
        <v>57</v>
      </c>
      <c r="C281">
        <v>10</v>
      </c>
      <c r="D281">
        <v>2</v>
      </c>
      <c r="E281"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v>107.64610915134294</v>
      </c>
      <c r="P281">
        <v>4978.9166181902556</v>
      </c>
      <c r="Q281">
        <v>11965.673199207537</v>
      </c>
      <c r="R281">
        <v>31709.03397789997</v>
      </c>
      <c r="S281">
        <v>122</v>
      </c>
      <c r="T281">
        <v>0.107</v>
      </c>
      <c r="U281">
        <v>0</v>
      </c>
    </row>
    <row r="282" spans="1:21" x14ac:dyDescent="0.25">
      <c r="A282" t="s">
        <v>58</v>
      </c>
      <c r="B282" t="s">
        <v>59</v>
      </c>
      <c r="C282">
        <v>1</v>
      </c>
      <c r="D282">
        <v>3</v>
      </c>
      <c r="E282"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 s="3">
        <v>161.90511271394621</v>
      </c>
      <c r="P282" s="3">
        <v>89314.850985500641</v>
      </c>
      <c r="Q282" s="3">
        <v>214647.56305095079</v>
      </c>
      <c r="R282" s="3">
        <v>568816.04208501952</v>
      </c>
      <c r="S282">
        <v>208.40700000000004</v>
      </c>
      <c r="T282">
        <v>0.5</v>
      </c>
      <c r="U282">
        <v>0</v>
      </c>
    </row>
    <row r="283" spans="1:21" x14ac:dyDescent="0.25">
      <c r="A283" t="s">
        <v>58</v>
      </c>
      <c r="B283" t="s">
        <v>59</v>
      </c>
      <c r="C283">
        <v>2</v>
      </c>
      <c r="D283">
        <v>3</v>
      </c>
      <c r="E283"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 s="3">
        <v>198.03102644265863</v>
      </c>
      <c r="P283" s="3">
        <v>160174.89061800367</v>
      </c>
      <c r="Q283" s="3">
        <v>384943.26031724026</v>
      </c>
      <c r="R283" s="3">
        <v>1020099.6398406867</v>
      </c>
      <c r="S283">
        <v>208.40700000000004</v>
      </c>
      <c r="T283">
        <v>0.5</v>
      </c>
      <c r="U283">
        <v>0</v>
      </c>
    </row>
    <row r="284" spans="1:21" x14ac:dyDescent="0.25">
      <c r="A284" t="s">
        <v>58</v>
      </c>
      <c r="B284" t="s">
        <v>59</v>
      </c>
      <c r="C284">
        <v>3</v>
      </c>
      <c r="D284">
        <v>3</v>
      </c>
      <c r="E284"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 s="3">
        <v>206.09180735845459</v>
      </c>
      <c r="P284" s="3">
        <v>179822.55134623504</v>
      </c>
      <c r="Q284" s="3">
        <v>432161.86336514069</v>
      </c>
      <c r="R284" s="3">
        <v>1145228.9379176227</v>
      </c>
      <c r="S284">
        <v>208.40700000000004</v>
      </c>
      <c r="T284">
        <v>0.5</v>
      </c>
      <c r="U284">
        <v>0</v>
      </c>
    </row>
    <row r="285" spans="1:21" x14ac:dyDescent="0.25">
      <c r="A285" t="s">
        <v>58</v>
      </c>
      <c r="B285" t="s">
        <v>59</v>
      </c>
      <c r="C285">
        <v>4</v>
      </c>
      <c r="D285">
        <v>3</v>
      </c>
      <c r="E285"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 s="3">
        <v>207.89041069511754</v>
      </c>
      <c r="P285" s="3">
        <v>184411.48720093153</v>
      </c>
      <c r="Q285" s="3">
        <v>443190.30810125335</v>
      </c>
      <c r="R285" s="3">
        <v>1174454.3164683213</v>
      </c>
      <c r="S285">
        <v>208.40700000000004</v>
      </c>
      <c r="T285">
        <v>0.5</v>
      </c>
      <c r="U285">
        <v>0</v>
      </c>
    </row>
    <row r="286" spans="1:21" x14ac:dyDescent="0.25">
      <c r="A286" t="s">
        <v>58</v>
      </c>
      <c r="B286" t="s">
        <v>59</v>
      </c>
      <c r="C286">
        <v>5</v>
      </c>
      <c r="D286">
        <v>3</v>
      </c>
      <c r="E286"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 s="3">
        <v>208.29173334567065</v>
      </c>
      <c r="P286" s="3">
        <v>185445.77494766185</v>
      </c>
      <c r="Q286" s="3">
        <v>445675.97920610878</v>
      </c>
      <c r="R286" s="3">
        <v>1181041.3448961882</v>
      </c>
      <c r="S286">
        <v>208.40700000000004</v>
      </c>
      <c r="T286">
        <v>0.5</v>
      </c>
      <c r="U286">
        <v>0</v>
      </c>
    </row>
    <row r="287" spans="1:21" x14ac:dyDescent="0.25">
      <c r="A287" t="s">
        <v>58</v>
      </c>
      <c r="B287" t="s">
        <v>59</v>
      </c>
      <c r="C287">
        <v>6</v>
      </c>
      <c r="D287">
        <v>3</v>
      </c>
      <c r="E287"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 s="3">
        <v>208.38128053295975</v>
      </c>
      <c r="P287" s="3">
        <v>185677.07312783782</v>
      </c>
      <c r="Q287" s="3">
        <v>446231.85082393134</v>
      </c>
      <c r="R287" s="3">
        <v>1182514.4046834181</v>
      </c>
      <c r="S287">
        <v>208.40700000000004</v>
      </c>
      <c r="T287">
        <v>0.5</v>
      </c>
      <c r="U287">
        <v>0</v>
      </c>
    </row>
    <row r="288" spans="1:21" x14ac:dyDescent="0.25">
      <c r="A288" t="s">
        <v>58</v>
      </c>
      <c r="B288" t="s">
        <v>59</v>
      </c>
      <c r="C288">
        <v>7</v>
      </c>
      <c r="D288">
        <v>3</v>
      </c>
      <c r="E288"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 s="3">
        <v>208.40126121120042</v>
      </c>
      <c r="P288" s="3">
        <v>185728.70850609665</v>
      </c>
      <c r="Q288" s="3">
        <v>446355.94449915079</v>
      </c>
      <c r="R288" s="3">
        <v>1182843.2529227496</v>
      </c>
      <c r="S288">
        <v>208.40700000000004</v>
      </c>
      <c r="T288">
        <v>0.5</v>
      </c>
      <c r="U288">
        <v>0</v>
      </c>
    </row>
    <row r="289" spans="1:21" x14ac:dyDescent="0.25">
      <c r="A289" t="s">
        <v>58</v>
      </c>
      <c r="B289" t="s">
        <v>59</v>
      </c>
      <c r="C289">
        <v>8</v>
      </c>
      <c r="D289">
        <v>3</v>
      </c>
      <c r="E289"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 s="3">
        <v>208.40571950313611</v>
      </c>
      <c r="P289" s="3">
        <v>185740.23119995178</v>
      </c>
      <c r="Q289" s="3">
        <v>446383.63662569522</v>
      </c>
      <c r="R289" s="3">
        <v>1182916.6370580923</v>
      </c>
      <c r="S289">
        <v>208.40700000000004</v>
      </c>
      <c r="T289">
        <v>0.5</v>
      </c>
      <c r="U289">
        <v>0</v>
      </c>
    </row>
    <row r="290" spans="1:21" x14ac:dyDescent="0.25">
      <c r="A290" t="s">
        <v>58</v>
      </c>
      <c r="B290" t="s">
        <v>59</v>
      </c>
      <c r="C290">
        <v>9</v>
      </c>
      <c r="D290">
        <v>3</v>
      </c>
      <c r="E290"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 s="3">
        <v>208.40671428252972</v>
      </c>
      <c r="P290" s="3">
        <v>185742.80232438823</v>
      </c>
      <c r="Q290" s="3">
        <v>446389.81572792178</v>
      </c>
      <c r="R290" s="3">
        <v>1182933.0116789928</v>
      </c>
      <c r="S290">
        <v>208.40700000000004</v>
      </c>
      <c r="T290">
        <v>0.5</v>
      </c>
      <c r="U290">
        <v>0</v>
      </c>
    </row>
    <row r="291" spans="1:21" x14ac:dyDescent="0.25">
      <c r="A291" t="s">
        <v>58</v>
      </c>
      <c r="B291" t="s">
        <v>59</v>
      </c>
      <c r="C291">
        <v>10</v>
      </c>
      <c r="D291">
        <v>3</v>
      </c>
      <c r="E291"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 s="3">
        <v>208.40693624781514</v>
      </c>
      <c r="P291" s="3">
        <v>185743.37602297723</v>
      </c>
      <c r="Q291" s="3">
        <v>446391.19447963766</v>
      </c>
      <c r="R291" s="3">
        <v>1182936.6653710399</v>
      </c>
      <c r="S291">
        <v>208.40700000000004</v>
      </c>
      <c r="T291">
        <v>0.5</v>
      </c>
      <c r="U291">
        <v>0</v>
      </c>
    </row>
    <row r="292" spans="1:21" x14ac:dyDescent="0.25">
      <c r="A292" t="s">
        <v>60</v>
      </c>
      <c r="B292" t="s">
        <v>61</v>
      </c>
      <c r="C292">
        <v>1</v>
      </c>
      <c r="D292">
        <v>2</v>
      </c>
      <c r="E292"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1.24E-2</v>
      </c>
      <c r="M292">
        <v>3.2</v>
      </c>
      <c r="N292">
        <v>20.58566939</v>
      </c>
      <c r="O292">
        <v>17.264957666519681</v>
      </c>
      <c r="P292">
        <v>112.81097224050215</v>
      </c>
      <c r="Q292">
        <v>271.11504984499436</v>
      </c>
      <c r="R292">
        <v>718.45488208923507</v>
      </c>
      <c r="S292">
        <v>59.9</v>
      </c>
      <c r="T292">
        <v>0.17</v>
      </c>
      <c r="U292">
        <v>0</v>
      </c>
    </row>
    <row r="293" spans="1:21" x14ac:dyDescent="0.25">
      <c r="A293" t="s">
        <v>60</v>
      </c>
      <c r="B293" t="s">
        <v>61</v>
      </c>
      <c r="C293">
        <v>2</v>
      </c>
      <c r="D293">
        <v>2</v>
      </c>
      <c r="E293"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1.24E-2</v>
      </c>
      <c r="M293">
        <v>3.2</v>
      </c>
      <c r="N293">
        <v>26.966869200000001</v>
      </c>
      <c r="O293">
        <v>29.553642157301187</v>
      </c>
      <c r="P293">
        <v>630.05276044964933</v>
      </c>
      <c r="Q293">
        <v>1514.1859179275398</v>
      </c>
      <c r="R293">
        <v>4012.5926825079805</v>
      </c>
      <c r="S293">
        <v>59.9</v>
      </c>
      <c r="T293">
        <v>0.17</v>
      </c>
      <c r="U293">
        <v>0</v>
      </c>
    </row>
    <row r="294" spans="1:21" x14ac:dyDescent="0.25">
      <c r="A294" t="s">
        <v>60</v>
      </c>
      <c r="B294" t="s">
        <v>61</v>
      </c>
      <c r="C294">
        <v>3</v>
      </c>
      <c r="D294">
        <v>2</v>
      </c>
      <c r="E294"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1.24E-2</v>
      </c>
      <c r="M294">
        <v>3.2</v>
      </c>
      <c r="N294">
        <v>29.76376634</v>
      </c>
      <c r="O294">
        <v>38.300363083632604</v>
      </c>
      <c r="P294">
        <v>1444.3449807438262</v>
      </c>
      <c r="Q294">
        <v>3471.1487160389961</v>
      </c>
      <c r="R294">
        <v>9198.5440975033398</v>
      </c>
      <c r="S294">
        <v>59.9</v>
      </c>
      <c r="T294">
        <v>0.17</v>
      </c>
      <c r="U294">
        <v>0</v>
      </c>
    </row>
    <row r="295" spans="1:21" x14ac:dyDescent="0.25">
      <c r="A295" t="s">
        <v>60</v>
      </c>
      <c r="B295" t="s">
        <v>61</v>
      </c>
      <c r="C295">
        <v>4</v>
      </c>
      <c r="D295">
        <v>2</v>
      </c>
      <c r="E295"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1.24E-2</v>
      </c>
      <c r="M295">
        <v>3.2</v>
      </c>
      <c r="N295">
        <v>32.71181739</v>
      </c>
      <c r="O295">
        <v>44.526019460482004</v>
      </c>
      <c r="P295">
        <v>2338.7622478785088</v>
      </c>
      <c r="Q295">
        <v>5620.6735108832218</v>
      </c>
      <c r="R295">
        <v>14894.784803840537</v>
      </c>
      <c r="S295">
        <v>59.9</v>
      </c>
      <c r="T295">
        <v>0.17</v>
      </c>
      <c r="U295">
        <v>0</v>
      </c>
    </row>
    <row r="296" spans="1:21" x14ac:dyDescent="0.25">
      <c r="A296" t="s">
        <v>60</v>
      </c>
      <c r="B296" t="s">
        <v>61</v>
      </c>
      <c r="C296">
        <v>5</v>
      </c>
      <c r="D296">
        <v>2</v>
      </c>
      <c r="E296"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1.24E-2</v>
      </c>
      <c r="M296">
        <v>3.2</v>
      </c>
      <c r="N296">
        <v>35.147648340000003</v>
      </c>
      <c r="O296">
        <v>48.957256909241195</v>
      </c>
      <c r="P296">
        <v>3168.3731836991446</v>
      </c>
      <c r="Q296">
        <v>7614.4512946386549</v>
      </c>
      <c r="R296">
        <v>20178.295930792436</v>
      </c>
      <c r="S296">
        <v>59.9</v>
      </c>
      <c r="T296">
        <v>0.17</v>
      </c>
      <c r="U296">
        <v>0</v>
      </c>
    </row>
    <row r="297" spans="1:21" x14ac:dyDescent="0.25">
      <c r="A297" t="s">
        <v>60</v>
      </c>
      <c r="B297" t="s">
        <v>61</v>
      </c>
      <c r="C297">
        <v>6</v>
      </c>
      <c r="D297">
        <v>2</v>
      </c>
      <c r="E297"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1.24E-2</v>
      </c>
      <c r="M297">
        <v>3.2</v>
      </c>
      <c r="N297">
        <v>36.285258810000002</v>
      </c>
      <c r="O297">
        <v>52.111280218382284</v>
      </c>
      <c r="P297">
        <v>3869.0403727461671</v>
      </c>
      <c r="Q297">
        <v>9298.3426405819919</v>
      </c>
      <c r="R297">
        <v>24640.607997542276</v>
      </c>
      <c r="S297">
        <v>59.9</v>
      </c>
      <c r="T297">
        <v>0.17</v>
      </c>
      <c r="U297">
        <v>0</v>
      </c>
    </row>
    <row r="298" spans="1:21" x14ac:dyDescent="0.25">
      <c r="A298" t="s">
        <v>60</v>
      </c>
      <c r="B298" t="s">
        <v>61</v>
      </c>
      <c r="C298">
        <v>7</v>
      </c>
      <c r="D298">
        <v>2</v>
      </c>
      <c r="E298"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1.24E-2</v>
      </c>
      <c r="M298">
        <v>3.2</v>
      </c>
      <c r="N298">
        <v>38.211926839999997</v>
      </c>
      <c r="O298">
        <v>54.356220407130436</v>
      </c>
      <c r="P298">
        <v>4428.1190491805937</v>
      </c>
      <c r="Q298">
        <v>10641.958781976915</v>
      </c>
      <c r="R298">
        <v>28201.190772238824</v>
      </c>
      <c r="S298">
        <v>59.9</v>
      </c>
      <c r="T298">
        <v>0.17</v>
      </c>
      <c r="U298">
        <v>0</v>
      </c>
    </row>
    <row r="299" spans="1:21" x14ac:dyDescent="0.25">
      <c r="A299" t="s">
        <v>60</v>
      </c>
      <c r="B299" t="s">
        <v>61</v>
      </c>
      <c r="C299">
        <v>8</v>
      </c>
      <c r="D299">
        <v>2</v>
      </c>
      <c r="E299"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1.24E-2</v>
      </c>
      <c r="M299">
        <v>3.2</v>
      </c>
      <c r="N299">
        <v>39.944639459999998</v>
      </c>
      <c r="O299">
        <v>55.954102209858462</v>
      </c>
      <c r="P299">
        <v>4858.2948320605747</v>
      </c>
      <c r="Q299">
        <v>11675.786666812244</v>
      </c>
      <c r="R299">
        <v>30940.834667052448</v>
      </c>
      <c r="S299">
        <v>59.9</v>
      </c>
      <c r="T299">
        <v>0.17</v>
      </c>
      <c r="U299">
        <v>0</v>
      </c>
    </row>
    <row r="300" spans="1:21" x14ac:dyDescent="0.25">
      <c r="A300" t="s">
        <v>60</v>
      </c>
      <c r="B300" t="s">
        <v>61</v>
      </c>
      <c r="C300">
        <v>9</v>
      </c>
      <c r="D300">
        <v>2</v>
      </c>
      <c r="E300"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1.24E-2</v>
      </c>
      <c r="M300">
        <v>3.2</v>
      </c>
      <c r="N300">
        <v>40.375415799999999</v>
      </c>
      <c r="O300">
        <v>57.091427056322686</v>
      </c>
      <c r="P300">
        <v>5181.4171851236815</v>
      </c>
      <c r="Q300">
        <v>12452.336421830525</v>
      </c>
      <c r="R300">
        <v>32998.691517850893</v>
      </c>
      <c r="S300">
        <v>59.9</v>
      </c>
      <c r="T300">
        <v>0.17</v>
      </c>
      <c r="U300">
        <v>0</v>
      </c>
    </row>
    <row r="301" spans="1:21" x14ac:dyDescent="0.25">
      <c r="A301" t="s">
        <v>60</v>
      </c>
      <c r="B301" t="s">
        <v>61</v>
      </c>
      <c r="C301">
        <v>10</v>
      </c>
      <c r="D301">
        <v>2</v>
      </c>
      <c r="E301"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1.24E-2</v>
      </c>
      <c r="M301">
        <v>3.2</v>
      </c>
      <c r="N301">
        <v>41.169731259999999</v>
      </c>
      <c r="O301">
        <v>57.90094112937647</v>
      </c>
      <c r="P301">
        <v>5420.2045735432685</v>
      </c>
      <c r="Q301">
        <v>13026.206617503649</v>
      </c>
      <c r="R301">
        <v>34519.447536384665</v>
      </c>
      <c r="S301">
        <v>59.9</v>
      </c>
      <c r="T301">
        <v>0.17</v>
      </c>
      <c r="U301">
        <v>0</v>
      </c>
    </row>
    <row r="302" spans="1:21" x14ac:dyDescent="0.25">
      <c r="A302" t="s">
        <v>62</v>
      </c>
      <c r="B302" t="s">
        <v>63</v>
      </c>
      <c r="C302">
        <v>1</v>
      </c>
      <c r="D302">
        <v>2</v>
      </c>
      <c r="E302"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v>30.552345787163375</v>
      </c>
      <c r="P302">
        <v>427.78439799613642</v>
      </c>
      <c r="Q302">
        <v>1028.0807450039329</v>
      </c>
      <c r="R302">
        <v>2724.413974260422</v>
      </c>
      <c r="S302">
        <v>106</v>
      </c>
      <c r="T302">
        <v>0.17</v>
      </c>
      <c r="U302">
        <v>0</v>
      </c>
    </row>
    <row r="303" spans="1:21" x14ac:dyDescent="0.25">
      <c r="A303" t="s">
        <v>62</v>
      </c>
      <c r="B303" t="s">
        <v>63</v>
      </c>
      <c r="C303">
        <v>2</v>
      </c>
      <c r="D303">
        <v>2</v>
      </c>
      <c r="E303"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v>52.298598809247508</v>
      </c>
      <c r="P303">
        <v>2145.6625397832663</v>
      </c>
      <c r="Q303">
        <v>5156.6030756627415</v>
      </c>
      <c r="R303">
        <v>13664.998150506264</v>
      </c>
      <c r="S303">
        <v>106</v>
      </c>
      <c r="T303">
        <v>0.17</v>
      </c>
      <c r="U303">
        <v>0</v>
      </c>
    </row>
    <row r="304" spans="1:21" x14ac:dyDescent="0.25">
      <c r="A304" t="s">
        <v>62</v>
      </c>
      <c r="B304" t="s">
        <v>63</v>
      </c>
      <c r="C304">
        <v>3</v>
      </c>
      <c r="D304">
        <v>2</v>
      </c>
      <c r="E304"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v>67.776936341653695</v>
      </c>
      <c r="P304">
        <v>4670.2170051160647</v>
      </c>
      <c r="Q304">
        <v>11223.785160096286</v>
      </c>
      <c r="R304">
        <v>29743.030674255155</v>
      </c>
      <c r="S304">
        <v>106</v>
      </c>
      <c r="T304">
        <v>0.17</v>
      </c>
      <c r="U304">
        <v>0</v>
      </c>
    </row>
    <row r="305" spans="1:21" x14ac:dyDescent="0.25">
      <c r="A305" t="s">
        <v>62</v>
      </c>
      <c r="B305" t="s">
        <v>63</v>
      </c>
      <c r="C305">
        <v>4</v>
      </c>
      <c r="D305">
        <v>2</v>
      </c>
      <c r="E305"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v>78.79395764292309</v>
      </c>
      <c r="P305">
        <v>7337.8698250436855</v>
      </c>
      <c r="Q305">
        <v>17634.871004671197</v>
      </c>
      <c r="R305">
        <v>46732.40816237867</v>
      </c>
      <c r="S305">
        <v>106</v>
      </c>
      <c r="T305">
        <v>0.17</v>
      </c>
      <c r="U305">
        <v>0</v>
      </c>
    </row>
    <row r="306" spans="1:21" x14ac:dyDescent="0.25">
      <c r="A306" t="s">
        <v>62</v>
      </c>
      <c r="B306" t="s">
        <v>63</v>
      </c>
      <c r="C306">
        <v>5</v>
      </c>
      <c r="D306">
        <v>2</v>
      </c>
      <c r="E306"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v>86.635546450410132</v>
      </c>
      <c r="P306">
        <v>9753.9295879223046</v>
      </c>
      <c r="Q306">
        <v>23441.3111942377</v>
      </c>
      <c r="R306">
        <v>62119.474664729903</v>
      </c>
      <c r="S306">
        <v>106</v>
      </c>
      <c r="T306">
        <v>0.17</v>
      </c>
      <c r="U306">
        <v>0</v>
      </c>
    </row>
    <row r="307" spans="1:21" x14ac:dyDescent="0.25">
      <c r="A307" t="s">
        <v>62</v>
      </c>
      <c r="B307" t="s">
        <v>63</v>
      </c>
      <c r="C307">
        <v>6</v>
      </c>
      <c r="D307">
        <v>2</v>
      </c>
      <c r="E307"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v>92.216956646886857</v>
      </c>
      <c r="P307">
        <v>11763.149471421755</v>
      </c>
      <c r="Q307">
        <v>28270.005939489918</v>
      </c>
      <c r="R307">
        <v>74915.515739648283</v>
      </c>
      <c r="S307">
        <v>106</v>
      </c>
      <c r="T307">
        <v>0.17</v>
      </c>
      <c r="U307">
        <v>0</v>
      </c>
    </row>
    <row r="308" spans="1:21" x14ac:dyDescent="0.25">
      <c r="A308" t="s">
        <v>62</v>
      </c>
      <c r="B308" t="s">
        <v>63</v>
      </c>
      <c r="C308">
        <v>7</v>
      </c>
      <c r="D308">
        <v>2</v>
      </c>
      <c r="E308"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v>96.189638783903618</v>
      </c>
      <c r="P308">
        <v>13349.842458351146</v>
      </c>
      <c r="Q308">
        <v>32083.255127015491</v>
      </c>
      <c r="R308">
        <v>85020.626086591044</v>
      </c>
      <c r="S308">
        <v>106</v>
      </c>
      <c r="T308">
        <v>0.17</v>
      </c>
      <c r="U308">
        <v>0</v>
      </c>
    </row>
    <row r="309" spans="1:21" x14ac:dyDescent="0.25">
      <c r="A309" t="s">
        <v>62</v>
      </c>
      <c r="B309" t="s">
        <v>63</v>
      </c>
      <c r="C309">
        <v>8</v>
      </c>
      <c r="D309">
        <v>2</v>
      </c>
      <c r="E309"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v>99.017276030801298</v>
      </c>
      <c r="P309">
        <v>14562.105836726927</v>
      </c>
      <c r="Q309">
        <v>34996.649451398531</v>
      </c>
      <c r="R309">
        <v>92741.121046206099</v>
      </c>
      <c r="S309">
        <v>106</v>
      </c>
      <c r="T309">
        <v>0.17</v>
      </c>
      <c r="U309">
        <v>0</v>
      </c>
    </row>
    <row r="310" spans="1:21" x14ac:dyDescent="0.25">
      <c r="A310" t="s">
        <v>62</v>
      </c>
      <c r="B310" t="s">
        <v>63</v>
      </c>
      <c r="C310">
        <v>9</v>
      </c>
      <c r="D310">
        <v>2</v>
      </c>
      <c r="E310"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v>101.02990430668122</v>
      </c>
      <c r="P310">
        <v>15468.246487307668</v>
      </c>
      <c r="Q310">
        <v>37174.3486837483</v>
      </c>
      <c r="R310">
        <v>98512.024011932997</v>
      </c>
      <c r="S310">
        <v>106</v>
      </c>
      <c r="T310">
        <v>0.17</v>
      </c>
      <c r="U310">
        <v>0</v>
      </c>
    </row>
    <row r="311" spans="1:21" x14ac:dyDescent="0.25">
      <c r="A311" t="s">
        <v>62</v>
      </c>
      <c r="B311" t="s">
        <v>63</v>
      </c>
      <c r="C311">
        <v>10</v>
      </c>
      <c r="D311">
        <v>2</v>
      </c>
      <c r="E311"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v>102.46243338420544</v>
      </c>
      <c r="P311">
        <v>16135.605092024631</v>
      </c>
      <c r="Q311">
        <v>38778.190560020739</v>
      </c>
      <c r="R311">
        <v>102762.20498405496</v>
      </c>
      <c r="S311">
        <v>106</v>
      </c>
      <c r="T311">
        <v>0.17</v>
      </c>
      <c r="U311">
        <v>0</v>
      </c>
    </row>
    <row r="312" spans="1:21" x14ac:dyDescent="0.25">
      <c r="A312" t="s">
        <v>64</v>
      </c>
      <c r="B312" t="s">
        <v>65</v>
      </c>
      <c r="C312">
        <v>1</v>
      </c>
      <c r="D312">
        <v>7</v>
      </c>
      <c r="E312"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v>155.68861302014159</v>
      </c>
      <c r="P312">
        <v>20378.129079572347</v>
      </c>
      <c r="Q312">
        <v>48974.114586811695</v>
      </c>
      <c r="R312">
        <v>129781.40365505099</v>
      </c>
      <c r="S312">
        <v>280</v>
      </c>
      <c r="T312">
        <v>0.11600000000000001</v>
      </c>
      <c r="U312">
        <v>0</v>
      </c>
    </row>
    <row r="313" spans="1:21" x14ac:dyDescent="0.25">
      <c r="A313" t="s">
        <v>64</v>
      </c>
      <c r="B313" t="s">
        <v>65</v>
      </c>
      <c r="C313">
        <v>2</v>
      </c>
      <c r="D313">
        <v>7</v>
      </c>
      <c r="E313"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v>224.80956809694248</v>
      </c>
      <c r="P313">
        <v>61353.329181622066</v>
      </c>
      <c r="Q313">
        <v>147448.52002312441</v>
      </c>
      <c r="R313">
        <v>390738.57806127967</v>
      </c>
      <c r="S313">
        <v>280</v>
      </c>
      <c r="T313">
        <v>0.11600000000000001</v>
      </c>
      <c r="U313">
        <v>0</v>
      </c>
    </row>
    <row r="314" spans="1:21" x14ac:dyDescent="0.25">
      <c r="A314" t="s">
        <v>64</v>
      </c>
      <c r="B314" t="s">
        <v>65</v>
      </c>
      <c r="C314">
        <v>3</v>
      </c>
      <c r="D314">
        <v>7</v>
      </c>
      <c r="E314"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v>255.49714593611961</v>
      </c>
      <c r="P314">
        <v>90064.142671856898</v>
      </c>
      <c r="Q314">
        <v>216448.31211693559</v>
      </c>
      <c r="R314">
        <v>573588.0271098793</v>
      </c>
      <c r="S314">
        <v>280</v>
      </c>
      <c r="T314">
        <v>0.11600000000000001</v>
      </c>
      <c r="U314">
        <v>0</v>
      </c>
    </row>
    <row r="315" spans="1:21" x14ac:dyDescent="0.25">
      <c r="A315" t="s">
        <v>64</v>
      </c>
      <c r="B315" t="s">
        <v>65</v>
      </c>
      <c r="C315">
        <v>4</v>
      </c>
      <c r="D315">
        <v>7</v>
      </c>
      <c r="E315"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v>269.12148652269275</v>
      </c>
      <c r="P315">
        <v>105254.06528389525</v>
      </c>
      <c r="Q315">
        <v>252953.77381373526</v>
      </c>
      <c r="R315">
        <v>670327.50060639845</v>
      </c>
      <c r="S315">
        <v>280</v>
      </c>
      <c r="T315">
        <v>0.11600000000000001</v>
      </c>
      <c r="U315">
        <v>0</v>
      </c>
    </row>
    <row r="316" spans="1:21" x14ac:dyDescent="0.25">
      <c r="A316" t="s">
        <v>64</v>
      </c>
      <c r="B316" t="s">
        <v>65</v>
      </c>
      <c r="C316">
        <v>5</v>
      </c>
      <c r="D316">
        <v>7</v>
      </c>
      <c r="E316"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v>275.17027464770302</v>
      </c>
      <c r="P316">
        <v>112511.86192027108</v>
      </c>
      <c r="Q316">
        <v>270396.20745078364</v>
      </c>
      <c r="R316">
        <v>716549.94974457659</v>
      </c>
      <c r="S316">
        <v>280</v>
      </c>
      <c r="T316">
        <v>0.11600000000000001</v>
      </c>
      <c r="U316">
        <v>0</v>
      </c>
    </row>
    <row r="317" spans="1:21" x14ac:dyDescent="0.25">
      <c r="A317" t="s">
        <v>64</v>
      </c>
      <c r="B317" t="s">
        <v>65</v>
      </c>
      <c r="C317">
        <v>6</v>
      </c>
      <c r="D317">
        <v>7</v>
      </c>
      <c r="E317"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v>277.85575050972921</v>
      </c>
      <c r="P317">
        <v>115838.23401710109</v>
      </c>
      <c r="Q317">
        <v>278390.37254770752</v>
      </c>
      <c r="R317">
        <v>737734.48725142493</v>
      </c>
      <c r="S317">
        <v>280</v>
      </c>
      <c r="T317">
        <v>0.11600000000000001</v>
      </c>
      <c r="U317">
        <v>0</v>
      </c>
    </row>
    <row r="318" spans="1:21" x14ac:dyDescent="0.25">
      <c r="A318" t="s">
        <v>64</v>
      </c>
      <c r="B318" t="s">
        <v>65</v>
      </c>
      <c r="C318">
        <v>7</v>
      </c>
      <c r="D318">
        <v>7</v>
      </c>
      <c r="E318"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v>279.04801918511993</v>
      </c>
      <c r="P318">
        <v>117335.81437704373</v>
      </c>
      <c r="Q318">
        <v>281989.46017073718</v>
      </c>
      <c r="R318">
        <v>747272.06945245352</v>
      </c>
      <c r="S318">
        <v>280</v>
      </c>
      <c r="T318">
        <v>0.11600000000000001</v>
      </c>
      <c r="U318">
        <v>0</v>
      </c>
    </row>
    <row r="319" spans="1:21" x14ac:dyDescent="0.25">
      <c r="A319" t="s">
        <v>64</v>
      </c>
      <c r="B319" t="s">
        <v>65</v>
      </c>
      <c r="C319">
        <v>8</v>
      </c>
      <c r="D319">
        <v>7</v>
      </c>
      <c r="E319"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v>279.57734980187161</v>
      </c>
      <c r="P319">
        <v>118004.81030881433</v>
      </c>
      <c r="Q319">
        <v>283597.23698345188</v>
      </c>
      <c r="R319">
        <v>751532.6780061475</v>
      </c>
      <c r="S319">
        <v>280</v>
      </c>
      <c r="T319">
        <v>0.11600000000000001</v>
      </c>
      <c r="U319">
        <v>0</v>
      </c>
    </row>
    <row r="320" spans="1:21" x14ac:dyDescent="0.25">
      <c r="A320" t="s">
        <v>64</v>
      </c>
      <c r="B320" t="s">
        <v>65</v>
      </c>
      <c r="C320">
        <v>9</v>
      </c>
      <c r="D320">
        <v>7</v>
      </c>
      <c r="E320"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v>279.8123563130834</v>
      </c>
      <c r="P320">
        <v>118302.63718369848</v>
      </c>
      <c r="Q320">
        <v>284312.99491395935</v>
      </c>
      <c r="R320">
        <v>753429.4365219922</v>
      </c>
      <c r="S320">
        <v>280</v>
      </c>
      <c r="T320">
        <v>0.11600000000000001</v>
      </c>
      <c r="U320">
        <v>0</v>
      </c>
    </row>
    <row r="321" spans="1:21" x14ac:dyDescent="0.25">
      <c r="A321" t="s">
        <v>64</v>
      </c>
      <c r="B321" t="s">
        <v>65</v>
      </c>
      <c r="C321">
        <v>10</v>
      </c>
      <c r="D321">
        <v>7</v>
      </c>
      <c r="E321"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v>279.91669197507639</v>
      </c>
      <c r="P321">
        <v>118435.02362145261</v>
      </c>
      <c r="Q321">
        <v>284631.15506237105</v>
      </c>
      <c r="R321">
        <v>754272.56091528328</v>
      </c>
      <c r="S321">
        <v>280</v>
      </c>
      <c r="T321">
        <v>0.11600000000000001</v>
      </c>
      <c r="U321">
        <v>0</v>
      </c>
    </row>
    <row r="322" spans="1:21" x14ac:dyDescent="0.25">
      <c r="A322" t="s">
        <v>66</v>
      </c>
      <c r="B322" t="s">
        <v>67</v>
      </c>
      <c r="C322">
        <v>1</v>
      </c>
      <c r="D322">
        <v>7</v>
      </c>
      <c r="E322"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 s="3">
        <v>190.34915827040234</v>
      </c>
      <c r="P322" s="3">
        <v>75753.177550342138</v>
      </c>
      <c r="Q322" s="3">
        <v>182055.22122168262</v>
      </c>
      <c r="R322" s="3">
        <v>482446.33623745892</v>
      </c>
      <c r="S322">
        <v>309.24444444444441</v>
      </c>
      <c r="T322">
        <v>0.13655555555555554</v>
      </c>
      <c r="U322">
        <v>0</v>
      </c>
    </row>
    <row r="323" spans="1:21" x14ac:dyDescent="0.25">
      <c r="A323" t="s">
        <v>66</v>
      </c>
      <c r="B323" t="s">
        <v>67</v>
      </c>
      <c r="C323">
        <v>2</v>
      </c>
      <c r="D323">
        <v>7</v>
      </c>
      <c r="E323"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 s="3">
        <v>256.84427503747037</v>
      </c>
      <c r="P323" s="3">
        <v>194135.25529926375</v>
      </c>
      <c r="Q323" s="3">
        <v>466559.13313930243</v>
      </c>
      <c r="R323" s="3">
        <v>1236381.7028191513</v>
      </c>
      <c r="S323">
        <v>309.24444444444441</v>
      </c>
      <c r="T323">
        <v>0.13655555555555554</v>
      </c>
      <c r="U323">
        <v>1</v>
      </c>
    </row>
    <row r="324" spans="1:21" x14ac:dyDescent="0.25">
      <c r="A324" t="s">
        <v>66</v>
      </c>
      <c r="B324" t="s">
        <v>67</v>
      </c>
      <c r="C324">
        <v>3</v>
      </c>
      <c r="D324">
        <v>7</v>
      </c>
      <c r="E324"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 s="3">
        <v>286.15036021085893</v>
      </c>
      <c r="P324" s="3">
        <v>272579.99151432054</v>
      </c>
      <c r="Q324" s="3">
        <v>655082.89236798976</v>
      </c>
      <c r="R324" s="3">
        <v>1735969.6647751727</v>
      </c>
      <c r="S324">
        <v>309.24444444444441</v>
      </c>
      <c r="T324">
        <v>0.13655555555555554</v>
      </c>
      <c r="U324">
        <v>2</v>
      </c>
    </row>
    <row r="325" spans="1:21" x14ac:dyDescent="0.25">
      <c r="A325" t="s">
        <v>66</v>
      </c>
      <c r="B325" t="s">
        <v>67</v>
      </c>
      <c r="C325">
        <v>4</v>
      </c>
      <c r="D325">
        <v>7</v>
      </c>
      <c r="E325"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 s="3">
        <v>299.06629554485403</v>
      </c>
      <c r="P325" s="3">
        <v>313124.40229506715</v>
      </c>
      <c r="Q325" s="3">
        <v>752521.99542193499</v>
      </c>
      <c r="R325" s="3">
        <v>1994183.2878681277</v>
      </c>
      <c r="S325">
        <v>309.24444444444441</v>
      </c>
      <c r="T325">
        <v>0.13655555555555554</v>
      </c>
      <c r="U325">
        <v>3</v>
      </c>
    </row>
    <row r="326" spans="1:21" x14ac:dyDescent="0.25">
      <c r="A326" t="s">
        <v>66</v>
      </c>
      <c r="B326" t="s">
        <v>67</v>
      </c>
      <c r="C326">
        <v>5</v>
      </c>
      <c r="D326">
        <v>7</v>
      </c>
      <c r="E326"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 s="3">
        <v>304.75867596908847</v>
      </c>
      <c r="P326" s="3">
        <v>332228.83883435238</v>
      </c>
      <c r="Q326" s="3">
        <v>798435.08491793415</v>
      </c>
      <c r="R326" s="3">
        <v>2115852.9750325256</v>
      </c>
      <c r="S326">
        <v>309.24444444444441</v>
      </c>
      <c r="T326">
        <v>0.13655555555555554</v>
      </c>
      <c r="U326">
        <v>4</v>
      </c>
    </row>
    <row r="327" spans="1:21" x14ac:dyDescent="0.25">
      <c r="A327" t="s">
        <v>66</v>
      </c>
      <c r="B327" t="s">
        <v>67</v>
      </c>
      <c r="C327">
        <v>6</v>
      </c>
      <c r="D327">
        <v>7</v>
      </c>
      <c r="E327"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 s="3">
        <v>307.26745245768865</v>
      </c>
      <c r="P327" s="3">
        <v>340895.13319316495</v>
      </c>
      <c r="Q327" s="3">
        <v>819262.51668628922</v>
      </c>
      <c r="R327" s="3">
        <v>2171045.6692186664</v>
      </c>
      <c r="S327">
        <v>309.24444444444441</v>
      </c>
      <c r="T327">
        <v>0.13655555555555554</v>
      </c>
      <c r="U327">
        <v>5</v>
      </c>
    </row>
    <row r="328" spans="1:21" x14ac:dyDescent="0.25">
      <c r="A328" t="s">
        <v>66</v>
      </c>
      <c r="B328" t="s">
        <v>67</v>
      </c>
      <c r="C328">
        <v>7</v>
      </c>
      <c r="D328">
        <v>7</v>
      </c>
      <c r="E328"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 s="3">
        <v>308.37313391266616</v>
      </c>
      <c r="P328" s="3">
        <v>344763.02418619045</v>
      </c>
      <c r="Q328" s="3">
        <v>828558.09705885698</v>
      </c>
      <c r="R328" s="3">
        <v>2195678.9572059708</v>
      </c>
      <c r="S328">
        <v>309.24444444444441</v>
      </c>
      <c r="T328">
        <v>0.13655555555555554</v>
      </c>
      <c r="U328">
        <v>6</v>
      </c>
    </row>
    <row r="329" spans="1:21" x14ac:dyDescent="0.25">
      <c r="A329" t="s">
        <v>66</v>
      </c>
      <c r="B329" t="s">
        <v>67</v>
      </c>
      <c r="C329">
        <v>8</v>
      </c>
      <c r="D329">
        <v>7</v>
      </c>
      <c r="E329"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 s="3">
        <v>308.86043578488807</v>
      </c>
      <c r="P329" s="3">
        <v>346477.15773133357</v>
      </c>
      <c r="Q329" s="3">
        <v>832677.62011856178</v>
      </c>
      <c r="R329" s="3">
        <v>2206595.6933141886</v>
      </c>
      <c r="S329">
        <v>309.24444444444441</v>
      </c>
      <c r="T329">
        <v>0.13655555555555554</v>
      </c>
      <c r="U329">
        <v>7</v>
      </c>
    </row>
    <row r="330" spans="1:21" x14ac:dyDescent="0.25">
      <c r="A330" t="s">
        <v>66</v>
      </c>
      <c r="B330" t="s">
        <v>67</v>
      </c>
      <c r="C330">
        <v>9</v>
      </c>
      <c r="D330">
        <v>7</v>
      </c>
      <c r="E330"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 s="3">
        <v>309.07520208453246</v>
      </c>
      <c r="P330" s="3">
        <v>347234.46066853148</v>
      </c>
      <c r="Q330" s="3">
        <v>834497.62237089989</v>
      </c>
      <c r="R330" s="3">
        <v>2211418.6992828846</v>
      </c>
      <c r="S330">
        <v>309.24444444444441</v>
      </c>
      <c r="T330">
        <v>0.13655555555555554</v>
      </c>
      <c r="U330">
        <v>8</v>
      </c>
    </row>
    <row r="331" spans="1:21" x14ac:dyDescent="0.25">
      <c r="A331" t="s">
        <v>66</v>
      </c>
      <c r="B331" t="s">
        <v>67</v>
      </c>
      <c r="C331">
        <v>10</v>
      </c>
      <c r="D331">
        <v>7</v>
      </c>
      <c r="E331"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 s="3">
        <v>309.16985504215944</v>
      </c>
      <c r="P331" s="3">
        <v>347568.58119228948</v>
      </c>
      <c r="Q331" s="3">
        <v>835300.60368250287</v>
      </c>
      <c r="R331" s="3">
        <v>2213546.5997586325</v>
      </c>
      <c r="S331">
        <v>309.24444444444441</v>
      </c>
      <c r="T331">
        <v>0.13655555555555554</v>
      </c>
      <c r="U331">
        <v>9</v>
      </c>
    </row>
    <row r="332" spans="1:21" x14ac:dyDescent="0.25">
      <c r="A332" t="s">
        <v>68</v>
      </c>
      <c r="B332" t="s">
        <v>69</v>
      </c>
      <c r="C332">
        <v>1</v>
      </c>
      <c r="D332">
        <v>2</v>
      </c>
      <c r="E332"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v>12.954731404433961</v>
      </c>
      <c r="P332">
        <v>16.853081877749126</v>
      </c>
      <c r="Q332">
        <v>40.502479879233661</v>
      </c>
      <c r="R332">
        <v>107.3315716799692</v>
      </c>
      <c r="S332">
        <v>31.4</v>
      </c>
      <c r="T332">
        <v>0.19</v>
      </c>
      <c r="U332">
        <v>-0.8</v>
      </c>
    </row>
    <row r="333" spans="1:21" x14ac:dyDescent="0.25">
      <c r="A333" t="s">
        <v>68</v>
      </c>
      <c r="B333" t="s">
        <v>69</v>
      </c>
      <c r="C333">
        <v>2</v>
      </c>
      <c r="D333">
        <v>2</v>
      </c>
      <c r="E333"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v>18.785992624935794</v>
      </c>
      <c r="P333">
        <v>53.338046744098072</v>
      </c>
      <c r="Q333">
        <v>128.18564466257646</v>
      </c>
      <c r="R333">
        <v>339.69195835582764</v>
      </c>
      <c r="S333">
        <v>31.4</v>
      </c>
      <c r="T333">
        <v>0.19</v>
      </c>
      <c r="U333">
        <v>-0.8</v>
      </c>
    </row>
    <row r="334" spans="1:21" x14ac:dyDescent="0.25">
      <c r="A334" t="s">
        <v>68</v>
      </c>
      <c r="B334" t="s">
        <v>69</v>
      </c>
      <c r="C334">
        <v>3</v>
      </c>
      <c r="D334">
        <v>2</v>
      </c>
      <c r="E334"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v>22.773767140673542</v>
      </c>
      <c r="P334">
        <v>96.872245124489154</v>
      </c>
      <c r="Q334">
        <v>232.81000991225466</v>
      </c>
      <c r="R334">
        <v>616.94652626747484</v>
      </c>
      <c r="S334">
        <v>31.4</v>
      </c>
      <c r="T334">
        <v>0.19</v>
      </c>
      <c r="U334">
        <v>-0.8</v>
      </c>
    </row>
    <row r="335" spans="1:21" x14ac:dyDescent="0.25">
      <c r="A335" t="s">
        <v>68</v>
      </c>
      <c r="B335" t="s">
        <v>69</v>
      </c>
      <c r="C335">
        <v>4</v>
      </c>
      <c r="D335">
        <v>2</v>
      </c>
      <c r="E335"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v>25.500852240627079</v>
      </c>
      <c r="P335">
        <v>137.5532336427658</v>
      </c>
      <c r="Q335">
        <v>330.57734593310693</v>
      </c>
      <c r="R335">
        <v>876.02996672273332</v>
      </c>
      <c r="S335">
        <v>31.4</v>
      </c>
      <c r="T335">
        <v>0.19</v>
      </c>
      <c r="U335">
        <v>-0.8</v>
      </c>
    </row>
    <row r="336" spans="1:21" x14ac:dyDescent="0.25">
      <c r="A336" t="s">
        <v>68</v>
      </c>
      <c r="B336" t="s">
        <v>69</v>
      </c>
      <c r="C336">
        <v>5</v>
      </c>
      <c r="D336">
        <v>2</v>
      </c>
      <c r="E336"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v>27.365800500123324</v>
      </c>
      <c r="P336">
        <v>171.19715208220546</v>
      </c>
      <c r="Q336">
        <v>411.43271348763631</v>
      </c>
      <c r="R336">
        <v>1090.2966907422363</v>
      </c>
      <c r="S336">
        <v>31.4</v>
      </c>
      <c r="T336">
        <v>0.19</v>
      </c>
      <c r="U336">
        <v>-0.8</v>
      </c>
    </row>
    <row r="337" spans="1:21" x14ac:dyDescent="0.25">
      <c r="A337" t="s">
        <v>68</v>
      </c>
      <c r="B337" t="s">
        <v>69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v>28.641166644970554</v>
      </c>
      <c r="P337">
        <v>197.16164515638485</v>
      </c>
      <c r="Q337">
        <v>473.83236038544783</v>
      </c>
      <c r="R337">
        <v>1255.6557550214368</v>
      </c>
      <c r="S337">
        <v>31.4</v>
      </c>
      <c r="T337">
        <v>0.19</v>
      </c>
      <c r="U337">
        <v>-0.8</v>
      </c>
    </row>
    <row r="338" spans="1:21" x14ac:dyDescent="0.25">
      <c r="A338" t="s">
        <v>68</v>
      </c>
      <c r="B338" t="s">
        <v>69</v>
      </c>
      <c r="C338">
        <v>7</v>
      </c>
      <c r="D338">
        <v>2</v>
      </c>
      <c r="E338"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v>29.513340334047513</v>
      </c>
      <c r="P338">
        <v>216.3755499949242</v>
      </c>
      <c r="Q338">
        <v>520.00853159078156</v>
      </c>
      <c r="R338">
        <v>1378.0226087155711</v>
      </c>
      <c r="S338">
        <v>31.4</v>
      </c>
      <c r="T338">
        <v>0.19</v>
      </c>
      <c r="U338">
        <v>-0.8</v>
      </c>
    </row>
    <row r="339" spans="1:21" x14ac:dyDescent="0.25">
      <c r="A339" t="s">
        <v>68</v>
      </c>
      <c r="B339" t="s">
        <v>69</v>
      </c>
      <c r="C339">
        <v>8</v>
      </c>
      <c r="D339">
        <v>2</v>
      </c>
      <c r="E339"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v>30.109786262137618</v>
      </c>
      <c r="P339">
        <v>230.22105276450003</v>
      </c>
      <c r="Q339">
        <v>553.28299150324449</v>
      </c>
      <c r="R339">
        <v>1466.1999274835978</v>
      </c>
      <c r="S339">
        <v>31.4</v>
      </c>
      <c r="T339">
        <v>0.19</v>
      </c>
      <c r="U339">
        <v>-0.8</v>
      </c>
    </row>
    <row r="340" spans="1:21" x14ac:dyDescent="0.25">
      <c r="A340" t="s">
        <v>68</v>
      </c>
      <c r="B340" t="s">
        <v>69</v>
      </c>
      <c r="C340">
        <v>9</v>
      </c>
      <c r="D340">
        <v>2</v>
      </c>
      <c r="E340"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v>30.51767261504029</v>
      </c>
      <c r="P340">
        <v>240.02728929089074</v>
      </c>
      <c r="Q340">
        <v>576.85001031216234</v>
      </c>
      <c r="R340">
        <v>1528.6525273272302</v>
      </c>
      <c r="S340">
        <v>31.4</v>
      </c>
      <c r="T340">
        <v>0.19</v>
      </c>
      <c r="U340">
        <v>-0.8</v>
      </c>
    </row>
    <row r="341" spans="1:21" x14ac:dyDescent="0.25">
      <c r="A341" t="s">
        <v>68</v>
      </c>
      <c r="B341" t="s">
        <v>69</v>
      </c>
      <c r="C341">
        <v>10</v>
      </c>
      <c r="D341">
        <v>2</v>
      </c>
      <c r="E341"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v>30.796610351134802</v>
      </c>
      <c r="P341">
        <v>246.89386414200465</v>
      </c>
      <c r="Q341">
        <v>593.35223297766072</v>
      </c>
      <c r="R341">
        <v>1572.3834173908008</v>
      </c>
      <c r="S341">
        <v>31.4</v>
      </c>
      <c r="T341">
        <v>0.19</v>
      </c>
      <c r="U341">
        <v>-0.8</v>
      </c>
    </row>
    <row r="342" spans="1:21" x14ac:dyDescent="0.25">
      <c r="A342" t="s">
        <v>70</v>
      </c>
      <c r="B342" t="s">
        <v>71</v>
      </c>
      <c r="C342">
        <v>1</v>
      </c>
      <c r="D342">
        <v>8</v>
      </c>
      <c r="E342"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3">
        <v>2E-3</v>
      </c>
      <c r="M342" s="3">
        <v>3</v>
      </c>
      <c r="N342">
        <v>53.322391670000002</v>
      </c>
      <c r="O342">
        <v>89.301231321361854</v>
      </c>
      <c r="P342">
        <v>1424.3028297716794</v>
      </c>
      <c r="Q342">
        <v>3422.9820470359991</v>
      </c>
      <c r="R342">
        <v>9070.9024246453973</v>
      </c>
      <c r="S342">
        <v>114.3</v>
      </c>
      <c r="T342">
        <v>0.19</v>
      </c>
      <c r="U342">
        <v>0</v>
      </c>
    </row>
    <row r="343" spans="1:21" x14ac:dyDescent="0.25">
      <c r="A343" t="s">
        <v>70</v>
      </c>
      <c r="B343" t="s">
        <v>71</v>
      </c>
      <c r="C343">
        <v>2</v>
      </c>
      <c r="D343">
        <v>8</v>
      </c>
      <c r="E343"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3">
        <v>2E-3</v>
      </c>
      <c r="M343" s="3">
        <v>3</v>
      </c>
      <c r="N343">
        <v>107.3627072</v>
      </c>
      <c r="O343">
        <v>108.83247213081313</v>
      </c>
      <c r="P343">
        <v>2578.1339538074772</v>
      </c>
      <c r="Q343">
        <v>6195.9479783885527</v>
      </c>
      <c r="R343">
        <v>16419.262142729665</v>
      </c>
      <c r="S343">
        <v>114.3</v>
      </c>
      <c r="T343">
        <v>0.19</v>
      </c>
      <c r="U343">
        <v>0</v>
      </c>
    </row>
    <row r="344" spans="1:21" x14ac:dyDescent="0.25">
      <c r="A344" t="s">
        <v>70</v>
      </c>
      <c r="B344" t="s">
        <v>71</v>
      </c>
      <c r="C344">
        <v>3</v>
      </c>
      <c r="D344">
        <v>8</v>
      </c>
      <c r="E344"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3">
        <v>2E-3</v>
      </c>
      <c r="M344" s="3">
        <v>3</v>
      </c>
      <c r="N344">
        <v>134.1311675</v>
      </c>
      <c r="O344">
        <v>113.10418666276631</v>
      </c>
      <c r="P344">
        <v>2893.7835188385952</v>
      </c>
      <c r="Q344">
        <v>6954.5386177327455</v>
      </c>
      <c r="R344">
        <v>18429.527336991774</v>
      </c>
      <c r="S344">
        <v>114.3</v>
      </c>
      <c r="T344">
        <v>0.19</v>
      </c>
      <c r="U344">
        <v>0</v>
      </c>
    </row>
    <row r="345" spans="1:21" x14ac:dyDescent="0.25">
      <c r="A345" t="s">
        <v>70</v>
      </c>
      <c r="B345" t="s">
        <v>71</v>
      </c>
      <c r="C345">
        <v>4</v>
      </c>
      <c r="D345">
        <v>8</v>
      </c>
      <c r="E345"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3">
        <v>2E-3</v>
      </c>
      <c r="M345" s="3">
        <v>3</v>
      </c>
      <c r="N345">
        <v>147.5685182</v>
      </c>
      <c r="O345">
        <v>114.038461408571</v>
      </c>
      <c r="P345">
        <v>2966.0880787360079</v>
      </c>
      <c r="Q345">
        <v>7128.3058849699773</v>
      </c>
      <c r="R345">
        <v>18890.010595170439</v>
      </c>
      <c r="S345">
        <v>114.3</v>
      </c>
      <c r="T345">
        <v>0.19</v>
      </c>
      <c r="U345">
        <v>0</v>
      </c>
    </row>
    <row r="346" spans="1:21" x14ac:dyDescent="0.25">
      <c r="A346" t="s">
        <v>70</v>
      </c>
      <c r="B346" t="s">
        <v>71</v>
      </c>
      <c r="C346">
        <v>5</v>
      </c>
      <c r="D346">
        <v>8</v>
      </c>
      <c r="E346"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3">
        <v>2E-3</v>
      </c>
      <c r="M346" s="3">
        <v>3</v>
      </c>
      <c r="N346">
        <v>161.4254301</v>
      </c>
      <c r="O346">
        <v>114.24279840115774</v>
      </c>
      <c r="P346">
        <v>2982.0607992826299</v>
      </c>
      <c r="Q346">
        <v>7166.6926202418408</v>
      </c>
      <c r="R346">
        <v>18991.735443640879</v>
      </c>
      <c r="S346">
        <v>114.3</v>
      </c>
      <c r="T346">
        <v>0.19</v>
      </c>
      <c r="U346">
        <v>0</v>
      </c>
    </row>
    <row r="347" spans="1:21" x14ac:dyDescent="0.25">
      <c r="A347" t="s">
        <v>70</v>
      </c>
      <c r="B347" t="s">
        <v>71</v>
      </c>
      <c r="C347">
        <v>6</v>
      </c>
      <c r="D347">
        <v>8</v>
      </c>
      <c r="E347"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3">
        <v>2E-3</v>
      </c>
      <c r="M347" s="3">
        <v>3</v>
      </c>
      <c r="N347">
        <v>170.3228407</v>
      </c>
      <c r="O347">
        <v>114.28748933038052</v>
      </c>
      <c r="P347">
        <v>2985.5618482265209</v>
      </c>
      <c r="Q347">
        <v>7175.106580693393</v>
      </c>
      <c r="R347">
        <v>19014.03243883749</v>
      </c>
      <c r="S347">
        <v>114.3</v>
      </c>
      <c r="T347">
        <v>0.19</v>
      </c>
      <c r="U347">
        <v>0</v>
      </c>
    </row>
    <row r="348" spans="1:21" x14ac:dyDescent="0.25">
      <c r="A348" t="s">
        <v>70</v>
      </c>
      <c r="B348" t="s">
        <v>71</v>
      </c>
      <c r="C348">
        <v>7</v>
      </c>
      <c r="D348">
        <v>8</v>
      </c>
      <c r="E348"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3">
        <v>2E-3</v>
      </c>
      <c r="M348" s="3">
        <v>3</v>
      </c>
      <c r="N348">
        <v>183.45654730000001</v>
      </c>
      <c r="O348">
        <v>114.29726376784048</v>
      </c>
      <c r="P348">
        <v>2986.3279342684064</v>
      </c>
      <c r="Q348">
        <v>7176.9476911040774</v>
      </c>
      <c r="R348">
        <v>19018.911381425805</v>
      </c>
      <c r="S348">
        <v>114.3</v>
      </c>
      <c r="T348">
        <v>0.19</v>
      </c>
      <c r="U348">
        <v>0</v>
      </c>
    </row>
    <row r="349" spans="1:21" x14ac:dyDescent="0.25">
      <c r="A349" t="s">
        <v>70</v>
      </c>
      <c r="B349" t="s">
        <v>71</v>
      </c>
      <c r="C349">
        <v>8</v>
      </c>
      <c r="D349">
        <v>8</v>
      </c>
      <c r="E349"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3">
        <v>2E-3</v>
      </c>
      <c r="M349" s="3">
        <v>3</v>
      </c>
      <c r="N349">
        <v>194.93589650000001</v>
      </c>
      <c r="O349">
        <v>114.29940155350126</v>
      </c>
      <c r="P349">
        <v>2986.495503855821</v>
      </c>
      <c r="Q349">
        <v>7177.3504058058652</v>
      </c>
      <c r="R349">
        <v>19019.978575385543</v>
      </c>
      <c r="S349">
        <v>114.3</v>
      </c>
      <c r="T349">
        <v>0.19</v>
      </c>
      <c r="U349">
        <v>0</v>
      </c>
    </row>
    <row r="350" spans="1:21" x14ac:dyDescent="0.25">
      <c r="A350" t="s">
        <v>70</v>
      </c>
      <c r="B350" t="s">
        <v>71</v>
      </c>
      <c r="C350">
        <v>9</v>
      </c>
      <c r="D350">
        <v>8</v>
      </c>
      <c r="E350"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3">
        <v>2E-3</v>
      </c>
      <c r="M350" s="3">
        <v>3</v>
      </c>
      <c r="N350">
        <v>205.2001631</v>
      </c>
      <c r="O350">
        <v>114.29986911263701</v>
      </c>
      <c r="P350">
        <v>2986.5321541518792</v>
      </c>
      <c r="Q350">
        <v>7177.4384863058849</v>
      </c>
      <c r="R350">
        <v>19020.211988710595</v>
      </c>
      <c r="S350">
        <v>114.3</v>
      </c>
      <c r="T350">
        <v>0.19</v>
      </c>
      <c r="U350">
        <v>0</v>
      </c>
    </row>
    <row r="351" spans="1:21" x14ac:dyDescent="0.25">
      <c r="A351" t="s">
        <v>70</v>
      </c>
      <c r="B351" t="s">
        <v>71</v>
      </c>
      <c r="C351">
        <v>10</v>
      </c>
      <c r="D351">
        <v>8</v>
      </c>
      <c r="E351"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3">
        <v>2E-3</v>
      </c>
      <c r="M351" s="3">
        <v>3</v>
      </c>
      <c r="N351">
        <v>217.4624772</v>
      </c>
      <c r="O351">
        <v>114.29997137337786</v>
      </c>
      <c r="P351">
        <v>2986.5401700472498</v>
      </c>
      <c r="Q351">
        <v>7177.4577506542901</v>
      </c>
      <c r="R351">
        <v>19020.263039233869</v>
      </c>
      <c r="S351">
        <v>114.3</v>
      </c>
      <c r="T351">
        <v>0.19</v>
      </c>
      <c r="U351">
        <v>0</v>
      </c>
    </row>
    <row r="352" spans="1:21" x14ac:dyDescent="0.25">
      <c r="A352" t="s">
        <v>72</v>
      </c>
      <c r="B352" t="s">
        <v>73</v>
      </c>
      <c r="C352">
        <v>1</v>
      </c>
      <c r="D352">
        <v>2</v>
      </c>
      <c r="E352"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v>19.031543165416181</v>
      </c>
      <c r="P352">
        <v>89.611833907615278</v>
      </c>
      <c r="Q352">
        <v>215.36129273639818</v>
      </c>
      <c r="R352">
        <v>570.70742575145516</v>
      </c>
      <c r="S352">
        <v>60.2</v>
      </c>
      <c r="T352">
        <v>0.19</v>
      </c>
      <c r="U352">
        <v>0</v>
      </c>
    </row>
    <row r="353" spans="1:21" x14ac:dyDescent="0.25">
      <c r="A353" t="s">
        <v>72</v>
      </c>
      <c r="B353" t="s">
        <v>73</v>
      </c>
      <c r="C353">
        <v>2</v>
      </c>
      <c r="D353">
        <v>2</v>
      </c>
      <c r="E353"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v>32.046481094003468</v>
      </c>
      <c r="P353">
        <v>427.84296656974954</v>
      </c>
      <c r="Q353">
        <v>1028.2215010087707</v>
      </c>
      <c r="R353">
        <v>2724.7869776732423</v>
      </c>
      <c r="S353">
        <v>60.2</v>
      </c>
      <c r="T353">
        <v>0.19</v>
      </c>
      <c r="U353">
        <v>0</v>
      </c>
    </row>
    <row r="354" spans="1:21" x14ac:dyDescent="0.25">
      <c r="A354" t="s">
        <v>72</v>
      </c>
      <c r="B354" t="s">
        <v>73</v>
      </c>
      <c r="C354">
        <v>3</v>
      </c>
      <c r="D354">
        <v>2</v>
      </c>
      <c r="E354"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v>40.946894886658512</v>
      </c>
      <c r="P354">
        <v>892.49598935225401</v>
      </c>
      <c r="Q354">
        <v>2144.9074485754722</v>
      </c>
      <c r="R354">
        <v>5684.0047387250015</v>
      </c>
      <c r="S354">
        <v>60.2</v>
      </c>
      <c r="T354">
        <v>0.19</v>
      </c>
      <c r="U354">
        <v>0</v>
      </c>
    </row>
    <row r="355" spans="1:21" x14ac:dyDescent="0.25">
      <c r="A355" t="s">
        <v>72</v>
      </c>
      <c r="B355" t="s">
        <v>73</v>
      </c>
      <c r="C355">
        <v>4</v>
      </c>
      <c r="D355">
        <v>2</v>
      </c>
      <c r="E355"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v>47.033544405476675</v>
      </c>
      <c r="P355">
        <v>1352.5909471082523</v>
      </c>
      <c r="Q355">
        <v>3250.6391422933243</v>
      </c>
      <c r="R355">
        <v>8614.1937270773087</v>
      </c>
      <c r="S355">
        <v>60.2</v>
      </c>
      <c r="T355">
        <v>0.19</v>
      </c>
      <c r="U355">
        <v>0</v>
      </c>
    </row>
    <row r="356" spans="1:21" x14ac:dyDescent="0.25">
      <c r="A356" t="s">
        <v>72</v>
      </c>
      <c r="B356" t="s">
        <v>73</v>
      </c>
      <c r="C356">
        <v>5</v>
      </c>
      <c r="D356">
        <v>2</v>
      </c>
      <c r="E356"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v>51.195969122797372</v>
      </c>
      <c r="P356">
        <v>1744.4183950364686</v>
      </c>
      <c r="Q356">
        <v>4192.3056838175162</v>
      </c>
      <c r="R356">
        <v>11109.610062116417</v>
      </c>
      <c r="S356">
        <v>60.2</v>
      </c>
      <c r="T356">
        <v>0.19</v>
      </c>
      <c r="U356">
        <v>0</v>
      </c>
    </row>
    <row r="357" spans="1:21" x14ac:dyDescent="0.25">
      <c r="A357" t="s">
        <v>72</v>
      </c>
      <c r="B357" t="s">
        <v>73</v>
      </c>
      <c r="C357">
        <v>6</v>
      </c>
      <c r="D357">
        <v>2</v>
      </c>
      <c r="E357"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v>54.04249075572465</v>
      </c>
      <c r="P357">
        <v>2051.8680220091942</v>
      </c>
      <c r="Q357">
        <v>4931.1896707743199</v>
      </c>
      <c r="R357">
        <v>13067.652627551948</v>
      </c>
      <c r="S357">
        <v>60.2</v>
      </c>
      <c r="T357">
        <v>0.19</v>
      </c>
      <c r="U357">
        <v>0</v>
      </c>
    </row>
    <row r="358" spans="1:21" x14ac:dyDescent="0.25">
      <c r="A358" t="s">
        <v>72</v>
      </c>
      <c r="B358" t="s">
        <v>73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v>55.98911705097175</v>
      </c>
      <c r="P358">
        <v>2281.67723045515</v>
      </c>
      <c r="Q358">
        <v>5483.4828898225187</v>
      </c>
      <c r="R358">
        <v>14531.229658029673</v>
      </c>
      <c r="S358">
        <v>60.2</v>
      </c>
      <c r="T358">
        <v>0.19</v>
      </c>
      <c r="U358">
        <v>0</v>
      </c>
    </row>
    <row r="359" spans="1:21" x14ac:dyDescent="0.25">
      <c r="A359" t="s">
        <v>72</v>
      </c>
      <c r="B359" t="s">
        <v>73</v>
      </c>
      <c r="C359">
        <v>8</v>
      </c>
      <c r="D359">
        <v>2</v>
      </c>
      <c r="E359"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v>57.320339652449263</v>
      </c>
      <c r="P359">
        <v>2448.3281037301608</v>
      </c>
      <c r="Q359">
        <v>5883.9896749102645</v>
      </c>
      <c r="R359">
        <v>15592.5726385122</v>
      </c>
      <c r="S359">
        <v>60.2</v>
      </c>
      <c r="T359">
        <v>0.19</v>
      </c>
      <c r="U359">
        <v>0</v>
      </c>
    </row>
    <row r="360" spans="1:21" x14ac:dyDescent="0.25">
      <c r="A360" t="s">
        <v>72</v>
      </c>
      <c r="B360" t="s">
        <v>73</v>
      </c>
      <c r="C360">
        <v>9</v>
      </c>
      <c r="D360">
        <v>2</v>
      </c>
      <c r="E360"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v>58.230711416671014</v>
      </c>
      <c r="P360">
        <v>2566.8449758529418</v>
      </c>
      <c r="Q360">
        <v>6168.8175338931551</v>
      </c>
      <c r="R360">
        <v>16347.36646481686</v>
      </c>
      <c r="S360">
        <v>60.2</v>
      </c>
      <c r="T360">
        <v>0.19</v>
      </c>
      <c r="U360">
        <v>0</v>
      </c>
    </row>
    <row r="361" spans="1:21" x14ac:dyDescent="0.25">
      <c r="A361" t="s">
        <v>72</v>
      </c>
      <c r="B361" t="s">
        <v>73</v>
      </c>
      <c r="C361">
        <v>10</v>
      </c>
      <c r="D361">
        <v>2</v>
      </c>
      <c r="E361"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v>58.853279534258832</v>
      </c>
      <c r="P361">
        <v>2650.0578686173258</v>
      </c>
      <c r="Q361">
        <v>6368.8004532980667</v>
      </c>
      <c r="R361">
        <v>16877.321201239876</v>
      </c>
      <c r="S361">
        <v>60.2</v>
      </c>
      <c r="T361">
        <v>0.19</v>
      </c>
      <c r="U361">
        <v>0</v>
      </c>
    </row>
    <row r="362" spans="1:21" x14ac:dyDescent="0.25">
      <c r="A362" t="s">
        <v>74</v>
      </c>
      <c r="B362" t="s">
        <v>75</v>
      </c>
      <c r="C362">
        <v>1</v>
      </c>
      <c r="D362">
        <v>9</v>
      </c>
      <c r="E362"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3">
        <v>1.7000000000000001E-2</v>
      </c>
      <c r="M362">
        <v>3</v>
      </c>
      <c r="N362">
        <v>1465.5893920000001</v>
      </c>
      <c r="O362" s="3">
        <v>1417.9064450384276</v>
      </c>
      <c r="P362" s="3">
        <v>48460919.603417419</v>
      </c>
      <c r="Q362" s="3">
        <v>116464598.9027095</v>
      </c>
      <c r="R362" s="3">
        <v>308631187.09218013</v>
      </c>
      <c r="S362">
        <v>1584.96</v>
      </c>
      <c r="T362" s="3">
        <v>0.25</v>
      </c>
      <c r="U362">
        <v>0</v>
      </c>
    </row>
    <row r="363" spans="1:21" x14ac:dyDescent="0.25">
      <c r="A363" t="s">
        <v>74</v>
      </c>
      <c r="B363" t="s">
        <v>75</v>
      </c>
      <c r="C363">
        <v>2</v>
      </c>
      <c r="D363">
        <v>9</v>
      </c>
      <c r="E363"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3">
        <v>1.7000000000000001E-2</v>
      </c>
      <c r="M363">
        <v>3</v>
      </c>
      <c r="N363">
        <v>1542.0432000000001</v>
      </c>
      <c r="O363" s="3">
        <v>1567.3526848467475</v>
      </c>
      <c r="P363" s="3">
        <v>65455948.114194192</v>
      </c>
      <c r="Q363" s="3">
        <v>157308214.64598462</v>
      </c>
      <c r="R363" s="3">
        <v>416866768.81185925</v>
      </c>
      <c r="S363">
        <v>1584.96</v>
      </c>
      <c r="T363" s="3">
        <v>0.25</v>
      </c>
      <c r="U363">
        <v>0</v>
      </c>
    </row>
    <row r="364" spans="1:21" x14ac:dyDescent="0.25">
      <c r="A364" t="s">
        <v>74</v>
      </c>
      <c r="B364" t="s">
        <v>75</v>
      </c>
      <c r="C364">
        <v>3</v>
      </c>
      <c r="D364">
        <v>9</v>
      </c>
      <c r="E364"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3">
        <v>1.7000000000000001E-2</v>
      </c>
      <c r="M364">
        <v>3</v>
      </c>
      <c r="N364">
        <v>1544.863059</v>
      </c>
      <c r="O364" s="3">
        <v>1583.1042026362309</v>
      </c>
      <c r="P364" s="3">
        <v>67449296.887868449</v>
      </c>
      <c r="Q364" s="3">
        <v>162098766.85380542</v>
      </c>
      <c r="R364" s="3">
        <v>429561732.16258436</v>
      </c>
      <c r="S364">
        <v>1584.96</v>
      </c>
      <c r="T364" s="3">
        <v>0.25</v>
      </c>
      <c r="U364">
        <v>0</v>
      </c>
    </row>
    <row r="365" spans="1:21" x14ac:dyDescent="0.25">
      <c r="A365" t="s">
        <v>74</v>
      </c>
      <c r="B365" t="s">
        <v>75</v>
      </c>
      <c r="C365">
        <v>4</v>
      </c>
      <c r="D365">
        <v>9</v>
      </c>
      <c r="E365"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3">
        <v>1.7000000000000001E-2</v>
      </c>
      <c r="M365">
        <v>3</v>
      </c>
      <c r="N365">
        <v>1544.9670639999999</v>
      </c>
      <c r="O365" s="3">
        <v>1584.7644003969149</v>
      </c>
      <c r="P365" s="3">
        <v>67661721.271844134</v>
      </c>
      <c r="Q365" s="3">
        <v>162609279.6727809</v>
      </c>
      <c r="R365" s="3">
        <v>430914591.13286936</v>
      </c>
      <c r="S365">
        <v>1584.96</v>
      </c>
      <c r="T365" s="3">
        <v>0.25</v>
      </c>
      <c r="U365">
        <v>0</v>
      </c>
    </row>
    <row r="366" spans="1:21" x14ac:dyDescent="0.25">
      <c r="A366" t="s">
        <v>74</v>
      </c>
      <c r="B366" t="s">
        <v>75</v>
      </c>
      <c r="C366">
        <v>5</v>
      </c>
      <c r="D366">
        <v>9</v>
      </c>
      <c r="E366"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3">
        <v>1.7000000000000001E-2</v>
      </c>
      <c r="M366">
        <v>3</v>
      </c>
      <c r="N366">
        <v>1544.9709</v>
      </c>
      <c r="O366" s="3">
        <v>1584.9393839535103</v>
      </c>
      <c r="P366" s="3">
        <v>67684136.583491653</v>
      </c>
      <c r="Q366" s="3">
        <v>162663149.68395016</v>
      </c>
      <c r="R366" s="3">
        <v>431057346.6624679</v>
      </c>
      <c r="S366">
        <v>1584.96</v>
      </c>
      <c r="T366" s="3">
        <v>0.25</v>
      </c>
      <c r="U366">
        <v>0</v>
      </c>
    </row>
    <row r="367" spans="1:21" x14ac:dyDescent="0.25">
      <c r="A367" t="s">
        <v>74</v>
      </c>
      <c r="B367" t="s">
        <v>75</v>
      </c>
      <c r="C367">
        <v>6</v>
      </c>
      <c r="D367">
        <v>9</v>
      </c>
      <c r="E367"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3">
        <v>1.7000000000000001E-2</v>
      </c>
      <c r="M367">
        <v>3</v>
      </c>
      <c r="N367">
        <v>1544.971041</v>
      </c>
      <c r="O367" s="3">
        <v>1584.9578270846864</v>
      </c>
      <c r="P367" s="3">
        <v>67686499.428307354</v>
      </c>
      <c r="Q367" s="3">
        <v>162668828.23433635</v>
      </c>
      <c r="R367" s="3">
        <v>431072394.82099128</v>
      </c>
      <c r="S367">
        <v>1584.96</v>
      </c>
      <c r="T367" s="3">
        <v>0.25</v>
      </c>
      <c r="U367">
        <v>0</v>
      </c>
    </row>
    <row r="368" spans="1:21" x14ac:dyDescent="0.25">
      <c r="A368" t="s">
        <v>74</v>
      </c>
      <c r="B368" t="s">
        <v>75</v>
      </c>
      <c r="C368">
        <v>7</v>
      </c>
      <c r="D368">
        <v>9</v>
      </c>
      <c r="E368"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3">
        <v>1.7000000000000001E-2</v>
      </c>
      <c r="M368">
        <v>3</v>
      </c>
      <c r="N368">
        <v>1544.971047</v>
      </c>
      <c r="O368" s="3">
        <v>1584.9597709764109</v>
      </c>
      <c r="P368" s="3">
        <v>67686748.473522097</v>
      </c>
      <c r="Q368" s="3">
        <v>162669426.75684234</v>
      </c>
      <c r="R368" s="3">
        <v>431073980.9056322</v>
      </c>
      <c r="S368">
        <v>1584.96</v>
      </c>
      <c r="T368" s="3">
        <v>0.25</v>
      </c>
      <c r="U368">
        <v>0</v>
      </c>
    </row>
    <row r="369" spans="1:21" x14ac:dyDescent="0.25">
      <c r="A369" t="s">
        <v>74</v>
      </c>
      <c r="B369" t="s">
        <v>75</v>
      </c>
      <c r="C369">
        <v>8</v>
      </c>
      <c r="D369">
        <v>9</v>
      </c>
      <c r="E369"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3">
        <v>1.7000000000000001E-2</v>
      </c>
      <c r="M369">
        <v>3</v>
      </c>
      <c r="N369">
        <v>1544.971047</v>
      </c>
      <c r="O369" s="3">
        <v>1584.9599758610914</v>
      </c>
      <c r="P369" s="3">
        <v>67686774.722730204</v>
      </c>
      <c r="Q369" s="3">
        <v>162669489.84073585</v>
      </c>
      <c r="R369" s="3">
        <v>431074148.07795</v>
      </c>
      <c r="S369">
        <v>1584.96</v>
      </c>
      <c r="T369" s="3">
        <v>0.25</v>
      </c>
      <c r="U369">
        <v>0</v>
      </c>
    </row>
    <row r="370" spans="1:21" x14ac:dyDescent="0.25">
      <c r="A370" t="s">
        <v>74</v>
      </c>
      <c r="B370" t="s">
        <v>75</v>
      </c>
      <c r="C370">
        <v>9</v>
      </c>
      <c r="D370">
        <v>9</v>
      </c>
      <c r="E370"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3">
        <v>1.7000000000000001E-2</v>
      </c>
      <c r="M370">
        <v>3</v>
      </c>
      <c r="N370">
        <v>1544.971047</v>
      </c>
      <c r="O370" s="3">
        <v>1584.9599974557777</v>
      </c>
      <c r="P370" s="3">
        <v>67686777.489376783</v>
      </c>
      <c r="Q370" s="3">
        <v>162669496.48973033</v>
      </c>
      <c r="R370" s="3">
        <v>431074165.69778538</v>
      </c>
      <c r="S370">
        <v>1584.96</v>
      </c>
      <c r="T370" s="3">
        <v>0.25</v>
      </c>
      <c r="U370">
        <v>0</v>
      </c>
    </row>
    <row r="371" spans="1:21" x14ac:dyDescent="0.25">
      <c r="A371" t="s">
        <v>74</v>
      </c>
      <c r="B371" t="s">
        <v>75</v>
      </c>
      <c r="C371">
        <v>10</v>
      </c>
      <c r="D371">
        <v>9</v>
      </c>
      <c r="E371"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3">
        <v>1.7000000000000001E-2</v>
      </c>
      <c r="M371">
        <v>3</v>
      </c>
      <c r="N371">
        <v>1544.971047</v>
      </c>
      <c r="O371" s="3">
        <v>1584.959999731841</v>
      </c>
      <c r="P371" s="3">
        <v>67686777.780979186</v>
      </c>
      <c r="Q371" s="3">
        <v>162669497.19052917</v>
      </c>
      <c r="R371" s="3">
        <v>431074167.55490226</v>
      </c>
      <c r="S371">
        <v>1584.96</v>
      </c>
      <c r="T371" s="3">
        <v>0.25</v>
      </c>
      <c r="U371">
        <v>0</v>
      </c>
    </row>
    <row r="372" spans="1:21" x14ac:dyDescent="0.25">
      <c r="A372" t="s">
        <v>76</v>
      </c>
      <c r="B372" s="3" t="s">
        <v>77</v>
      </c>
      <c r="C372">
        <v>1</v>
      </c>
      <c r="D372">
        <v>2</v>
      </c>
      <c r="E372"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1.35E-2</v>
      </c>
      <c r="M372">
        <v>3</v>
      </c>
      <c r="N372">
        <v>15.782353730000001</v>
      </c>
      <c r="O372">
        <v>44.83647373915305</v>
      </c>
      <c r="P372">
        <v>1216.8249786763251</v>
      </c>
      <c r="Q372">
        <v>2924.3570744444251</v>
      </c>
      <c r="R372">
        <v>7749.5462472777263</v>
      </c>
      <c r="S372">
        <v>136</v>
      </c>
      <c r="T372">
        <v>0.2</v>
      </c>
      <c r="U372">
        <v>0</v>
      </c>
    </row>
    <row r="373" spans="1:21" x14ac:dyDescent="0.25">
      <c r="A373" t="s">
        <v>76</v>
      </c>
      <c r="B373" s="3" t="s">
        <v>77</v>
      </c>
      <c r="C373">
        <v>2</v>
      </c>
      <c r="D373">
        <v>2</v>
      </c>
      <c r="E373"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1.35E-2</v>
      </c>
      <c r="M373">
        <v>3</v>
      </c>
      <c r="N373">
        <v>22.0428712</v>
      </c>
      <c r="O373">
        <v>74.891260880057871</v>
      </c>
      <c r="P373">
        <v>5670.5762678764968</v>
      </c>
      <c r="Q373">
        <v>13627.917010037245</v>
      </c>
      <c r="R373">
        <v>36113.980076598695</v>
      </c>
      <c r="S373">
        <v>136</v>
      </c>
      <c r="T373">
        <v>0.2</v>
      </c>
      <c r="U373">
        <v>0</v>
      </c>
    </row>
    <row r="374" spans="1:21" x14ac:dyDescent="0.25">
      <c r="A374" t="s">
        <v>76</v>
      </c>
      <c r="B374" s="3" t="s">
        <v>77</v>
      </c>
      <c r="C374">
        <v>3</v>
      </c>
      <c r="D374">
        <v>2</v>
      </c>
      <c r="E374"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1.35E-2</v>
      </c>
      <c r="M374">
        <v>3</v>
      </c>
      <c r="N374">
        <v>28.262336659999999</v>
      </c>
      <c r="O374">
        <v>95.03758717994053</v>
      </c>
      <c r="P374">
        <v>11588.306520557882</v>
      </c>
      <c r="Q374">
        <v>27849.811392833173</v>
      </c>
      <c r="R374">
        <v>73802.000191007901</v>
      </c>
      <c r="S374">
        <v>136</v>
      </c>
      <c r="T374">
        <v>0.2</v>
      </c>
      <c r="U374">
        <v>0</v>
      </c>
    </row>
    <row r="375" spans="1:21" x14ac:dyDescent="0.25">
      <c r="A375" t="s">
        <v>76</v>
      </c>
      <c r="B375" s="3" t="s">
        <v>77</v>
      </c>
      <c r="C375">
        <v>4</v>
      </c>
      <c r="D375">
        <v>2</v>
      </c>
      <c r="E375"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1.35E-2</v>
      </c>
      <c r="M375">
        <v>3</v>
      </c>
      <c r="N375">
        <v>32.51414389</v>
      </c>
      <c r="O375">
        <v>108.54207355272688</v>
      </c>
      <c r="P375">
        <v>17263.47063256989</v>
      </c>
      <c r="Q375">
        <v>41488.754223912256</v>
      </c>
      <c r="R375">
        <v>109945.19869336748</v>
      </c>
      <c r="S375">
        <v>136</v>
      </c>
      <c r="T375">
        <v>0.2</v>
      </c>
      <c r="U375">
        <v>0</v>
      </c>
    </row>
    <row r="376" spans="1:21" x14ac:dyDescent="0.25">
      <c r="A376" t="s">
        <v>76</v>
      </c>
      <c r="B376" s="3" t="s">
        <v>77</v>
      </c>
      <c r="C376">
        <v>5</v>
      </c>
      <c r="D376">
        <v>2</v>
      </c>
      <c r="E376"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1.35E-2</v>
      </c>
      <c r="M376">
        <v>3</v>
      </c>
      <c r="N376">
        <v>36.288772530000003</v>
      </c>
      <c r="O376">
        <v>117.59440147982068</v>
      </c>
      <c r="P376">
        <v>21952.991364567482</v>
      </c>
      <c r="Q376">
        <v>52758.931421695466</v>
      </c>
      <c r="R376">
        <v>139811.16826749299</v>
      </c>
      <c r="S376">
        <v>136</v>
      </c>
      <c r="T376">
        <v>0.2</v>
      </c>
      <c r="U376">
        <v>0</v>
      </c>
    </row>
    <row r="377" spans="1:21" x14ac:dyDescent="0.25">
      <c r="A377" t="s">
        <v>76</v>
      </c>
      <c r="B377" s="3" t="s">
        <v>77</v>
      </c>
      <c r="C377">
        <v>6</v>
      </c>
      <c r="D377">
        <v>2</v>
      </c>
      <c r="E377"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1.35E-2</v>
      </c>
      <c r="M377">
        <v>3</v>
      </c>
      <c r="N377">
        <v>39.347356869999999</v>
      </c>
      <c r="O377">
        <v>123.6623583526399</v>
      </c>
      <c r="P377">
        <v>25529.737090035233</v>
      </c>
      <c r="Q377">
        <v>61354.811559805894</v>
      </c>
      <c r="R377">
        <v>162590.25063348562</v>
      </c>
      <c r="S377">
        <v>136</v>
      </c>
      <c r="T377">
        <v>0.2</v>
      </c>
      <c r="U377">
        <v>0</v>
      </c>
    </row>
    <row r="378" spans="1:21" x14ac:dyDescent="0.25">
      <c r="A378" t="s">
        <v>76</v>
      </c>
      <c r="B378" s="3" t="s">
        <v>77</v>
      </c>
      <c r="C378">
        <v>7</v>
      </c>
      <c r="D378">
        <v>2</v>
      </c>
      <c r="E378"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1.35E-2</v>
      </c>
      <c r="M378">
        <v>3</v>
      </c>
      <c r="N378">
        <v>41.240527700000001</v>
      </c>
      <c r="O378">
        <v>127.72983148297035</v>
      </c>
      <c r="P378">
        <v>28132.659259456639</v>
      </c>
      <c r="Q378">
        <v>67610.332274589382</v>
      </c>
      <c r="R378">
        <v>179167.38052766185</v>
      </c>
      <c r="S378">
        <v>136</v>
      </c>
      <c r="T378">
        <v>0.2</v>
      </c>
      <c r="U378">
        <v>0</v>
      </c>
    </row>
    <row r="379" spans="1:21" x14ac:dyDescent="0.25">
      <c r="A379" t="s">
        <v>76</v>
      </c>
      <c r="B379" s="3" t="s">
        <v>77</v>
      </c>
      <c r="C379">
        <v>8</v>
      </c>
      <c r="D379">
        <v>2</v>
      </c>
      <c r="E379"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1.35E-2</v>
      </c>
      <c r="M379">
        <v>3</v>
      </c>
      <c r="N379">
        <v>42.275504699999999</v>
      </c>
      <c r="O379">
        <v>130.45634025894219</v>
      </c>
      <c r="P379">
        <v>29972.939790618715</v>
      </c>
      <c r="Q379">
        <v>72033.020405236035</v>
      </c>
      <c r="R379">
        <v>190887.50407387549</v>
      </c>
      <c r="S379">
        <v>136</v>
      </c>
      <c r="T379">
        <v>0.2</v>
      </c>
      <c r="U379">
        <v>0</v>
      </c>
    </row>
    <row r="380" spans="1:21" x14ac:dyDescent="0.25">
      <c r="A380" t="s">
        <v>76</v>
      </c>
      <c r="B380" s="3" t="s">
        <v>77</v>
      </c>
      <c r="C380">
        <v>9</v>
      </c>
      <c r="D380">
        <v>2</v>
      </c>
      <c r="E380"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1.35E-2</v>
      </c>
      <c r="M380">
        <v>3</v>
      </c>
      <c r="N380">
        <v>43.353048229999999</v>
      </c>
      <c r="O380">
        <v>132.2839737471682</v>
      </c>
      <c r="P380">
        <v>31250.39173852326</v>
      </c>
      <c r="Q380">
        <v>75103.080361747794</v>
      </c>
      <c r="R380">
        <v>199023.16295863164</v>
      </c>
      <c r="S380">
        <v>136</v>
      </c>
      <c r="T380">
        <v>0.2</v>
      </c>
      <c r="U380">
        <v>0</v>
      </c>
    </row>
    <row r="381" spans="1:21" x14ac:dyDescent="0.25">
      <c r="A381" t="s">
        <v>76</v>
      </c>
      <c r="B381" s="3" t="s">
        <v>77</v>
      </c>
      <c r="C381">
        <v>10</v>
      </c>
      <c r="D381">
        <v>2</v>
      </c>
      <c r="E381"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1.35E-2</v>
      </c>
      <c r="M381">
        <v>3</v>
      </c>
      <c r="N381">
        <v>45.599358580000001</v>
      </c>
      <c r="O381">
        <v>133.50907311113215</v>
      </c>
      <c r="P381">
        <v>32126.699489423452</v>
      </c>
      <c r="Q381">
        <v>77209.083127669917</v>
      </c>
      <c r="R381">
        <v>204604.07028832528</v>
      </c>
      <c r="S381">
        <v>136</v>
      </c>
      <c r="T381">
        <v>0.2</v>
      </c>
      <c r="U381">
        <v>0</v>
      </c>
    </row>
    <row r="382" spans="1:21" x14ac:dyDescent="0.25">
      <c r="A382" t="s">
        <v>78</v>
      </c>
      <c r="B382" t="s">
        <v>79</v>
      </c>
      <c r="C382">
        <v>1</v>
      </c>
      <c r="D382">
        <v>2</v>
      </c>
      <c r="E382"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3">
        <v>6.5000000000000002E-2</v>
      </c>
      <c r="M382">
        <v>3</v>
      </c>
      <c r="N382">
        <v>61.181673609999997</v>
      </c>
      <c r="O382">
        <v>18.334128220497057</v>
      </c>
      <c r="P382">
        <v>400.58450789581048</v>
      </c>
      <c r="Q382">
        <v>962.7121074160309</v>
      </c>
      <c r="R382">
        <v>2551.1870846524816</v>
      </c>
      <c r="S382">
        <v>23.6</v>
      </c>
      <c r="T382">
        <v>0.75</v>
      </c>
      <c r="U382">
        <v>0</v>
      </c>
    </row>
    <row r="383" spans="1:21" x14ac:dyDescent="0.25">
      <c r="A383" t="s">
        <v>78</v>
      </c>
      <c r="B383" t="s">
        <v>79</v>
      </c>
      <c r="C383">
        <v>2</v>
      </c>
      <c r="D383">
        <v>2</v>
      </c>
      <c r="E383"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3">
        <v>6.5000000000000002E-2</v>
      </c>
      <c r="M383">
        <v>3</v>
      </c>
      <c r="N383">
        <v>78.690349569999995</v>
      </c>
      <c r="O383">
        <v>22.425025186518411</v>
      </c>
      <c r="P383">
        <v>733.01384085176244</v>
      </c>
      <c r="Q383">
        <v>1761.6290335298302</v>
      </c>
      <c r="R383">
        <v>4668.31693885405</v>
      </c>
      <c r="S383">
        <v>23.6</v>
      </c>
      <c r="T383">
        <v>0.75</v>
      </c>
      <c r="U383">
        <v>0</v>
      </c>
    </row>
    <row r="384" spans="1:21" x14ac:dyDescent="0.25">
      <c r="A384" t="s">
        <v>78</v>
      </c>
      <c r="B384" t="s">
        <v>79</v>
      </c>
      <c r="C384">
        <v>3</v>
      </c>
      <c r="D384">
        <v>2</v>
      </c>
      <c r="E384"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3">
        <v>6.5000000000000002E-2</v>
      </c>
      <c r="M384">
        <v>3</v>
      </c>
      <c r="N384">
        <v>81.954377719999997</v>
      </c>
      <c r="O384">
        <v>23.337827681697483</v>
      </c>
      <c r="P384">
        <v>826.21798263751305</v>
      </c>
      <c r="Q384">
        <v>1985.6236064347825</v>
      </c>
      <c r="R384">
        <v>5261.9025570521735</v>
      </c>
      <c r="S384">
        <v>23.6</v>
      </c>
      <c r="T384">
        <v>0.75</v>
      </c>
      <c r="U384">
        <v>0</v>
      </c>
    </row>
    <row r="385" spans="1:21" x14ac:dyDescent="0.25">
      <c r="A385" t="s">
        <v>78</v>
      </c>
      <c r="B385" t="s">
        <v>79</v>
      </c>
      <c r="C385">
        <v>4</v>
      </c>
      <c r="D385">
        <v>2</v>
      </c>
      <c r="E385"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3">
        <v>6.5000000000000002E-2</v>
      </c>
      <c r="M385">
        <v>3</v>
      </c>
      <c r="N385">
        <v>82.563657669999998</v>
      </c>
      <c r="O385">
        <v>23.541501448630676</v>
      </c>
      <c r="P385">
        <v>848.03901153410027</v>
      </c>
      <c r="Q385">
        <v>2038.0653966212451</v>
      </c>
      <c r="R385">
        <v>5400.8733010462993</v>
      </c>
      <c r="S385">
        <v>23.6</v>
      </c>
      <c r="T385">
        <v>0.75</v>
      </c>
      <c r="U385">
        <v>0</v>
      </c>
    </row>
    <row r="386" spans="1:21" x14ac:dyDescent="0.25">
      <c r="A386" t="s">
        <v>78</v>
      </c>
      <c r="B386" t="s">
        <v>79</v>
      </c>
      <c r="C386">
        <v>5</v>
      </c>
      <c r="D386">
        <v>2</v>
      </c>
      <c r="E386"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3">
        <v>6.5000000000000002E-2</v>
      </c>
      <c r="M386">
        <v>3</v>
      </c>
      <c r="N386">
        <v>82.675758979999998</v>
      </c>
      <c r="O386">
        <v>23.586947208864515</v>
      </c>
      <c r="P386">
        <v>852.95979682542873</v>
      </c>
      <c r="Q386">
        <v>2049.8913646369351</v>
      </c>
      <c r="R386">
        <v>5432.2121162878775</v>
      </c>
      <c r="S386">
        <v>23.6</v>
      </c>
      <c r="T386">
        <v>0.75</v>
      </c>
      <c r="U386">
        <v>0</v>
      </c>
    </row>
    <row r="387" spans="1:21" x14ac:dyDescent="0.25">
      <c r="A387" t="s">
        <v>78</v>
      </c>
      <c r="B387" t="s">
        <v>79</v>
      </c>
      <c r="C387">
        <v>6</v>
      </c>
      <c r="D387">
        <v>2</v>
      </c>
      <c r="E387"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3">
        <v>6.5000000000000002E-2</v>
      </c>
      <c r="M387">
        <v>3</v>
      </c>
      <c r="N387">
        <v>82.696315999999996</v>
      </c>
      <c r="O387">
        <v>23.597087528623558</v>
      </c>
      <c r="P387">
        <v>854.06036367353533</v>
      </c>
      <c r="Q387">
        <v>2052.5363222146971</v>
      </c>
      <c r="R387">
        <v>5439.2212538689473</v>
      </c>
      <c r="S387">
        <v>23.6</v>
      </c>
      <c r="T387">
        <v>0.75</v>
      </c>
      <c r="U387">
        <v>0</v>
      </c>
    </row>
    <row r="388" spans="1:21" x14ac:dyDescent="0.25">
      <c r="A388" t="s">
        <v>78</v>
      </c>
      <c r="B388" t="s">
        <v>79</v>
      </c>
      <c r="C388">
        <v>7</v>
      </c>
      <c r="D388">
        <v>2</v>
      </c>
      <c r="E388"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3">
        <v>6.5000000000000002E-2</v>
      </c>
      <c r="M388">
        <v>3</v>
      </c>
      <c r="N388">
        <v>82.700882840000006</v>
      </c>
      <c r="O388">
        <v>23.599350139795348</v>
      </c>
      <c r="P388">
        <v>854.30606244627211</v>
      </c>
      <c r="Q388">
        <v>2053.126802322211</v>
      </c>
      <c r="R388">
        <v>5440.786026153859</v>
      </c>
      <c r="S388">
        <v>23.6</v>
      </c>
      <c r="T388">
        <v>0.75</v>
      </c>
      <c r="U388">
        <v>0</v>
      </c>
    </row>
    <row r="389" spans="1:21" x14ac:dyDescent="0.25">
      <c r="A389" t="s">
        <v>78</v>
      </c>
      <c r="B389" t="s">
        <v>79</v>
      </c>
      <c r="C389">
        <v>8</v>
      </c>
      <c r="D389">
        <v>2</v>
      </c>
      <c r="E389"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3">
        <v>6.5000000000000002E-2</v>
      </c>
      <c r="M389">
        <v>3</v>
      </c>
      <c r="N389">
        <v>82.701643930000003</v>
      </c>
      <c r="O389">
        <v>23.599854996588462</v>
      </c>
      <c r="P389">
        <v>854.36089168224396</v>
      </c>
      <c r="Q389">
        <v>2053.2585716948906</v>
      </c>
      <c r="R389">
        <v>5441.1352149914601</v>
      </c>
      <c r="S389">
        <v>23.6</v>
      </c>
      <c r="T389">
        <v>0.75</v>
      </c>
      <c r="U389">
        <v>0</v>
      </c>
    </row>
    <row r="390" spans="1:21" x14ac:dyDescent="0.25">
      <c r="A390" t="s">
        <v>78</v>
      </c>
      <c r="B390" t="s">
        <v>79</v>
      </c>
      <c r="C390">
        <v>9</v>
      </c>
      <c r="D390">
        <v>2</v>
      </c>
      <c r="E390"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3">
        <v>6.5000000000000002E-2</v>
      </c>
      <c r="M390">
        <v>3</v>
      </c>
      <c r="N390">
        <v>82.702405010000007</v>
      </c>
      <c r="O390">
        <v>23.599967645365563</v>
      </c>
      <c r="P390">
        <v>854.37312605856425</v>
      </c>
      <c r="Q390">
        <v>2053.2879741854463</v>
      </c>
      <c r="R390">
        <v>5441.2131315914321</v>
      </c>
      <c r="S390">
        <v>23.6</v>
      </c>
      <c r="T390">
        <v>0.75</v>
      </c>
      <c r="U390">
        <v>0</v>
      </c>
    </row>
    <row r="391" spans="1:21" x14ac:dyDescent="0.25">
      <c r="A391" t="s">
        <v>78</v>
      </c>
      <c r="B391" t="s">
        <v>79</v>
      </c>
      <c r="C391">
        <v>10</v>
      </c>
      <c r="D391">
        <v>2</v>
      </c>
      <c r="E391"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3">
        <v>6.5000000000000002E-2</v>
      </c>
      <c r="M391">
        <v>3</v>
      </c>
      <c r="N391">
        <v>82.703166069999995</v>
      </c>
      <c r="O391">
        <v>23.599992780705239</v>
      </c>
      <c r="P391">
        <v>854.37585593284996</v>
      </c>
      <c r="Q391">
        <v>2053.2945348061762</v>
      </c>
      <c r="R391">
        <v>5441.2305172363667</v>
      </c>
      <c r="S391">
        <v>23.6</v>
      </c>
      <c r="T391">
        <v>0.75</v>
      </c>
      <c r="U391">
        <v>0</v>
      </c>
    </row>
    <row r="392" spans="1:21" x14ac:dyDescent="0.25">
      <c r="A392" t="s">
        <v>80</v>
      </c>
      <c r="B392" t="s">
        <v>81</v>
      </c>
      <c r="C392">
        <v>1</v>
      </c>
      <c r="D392">
        <v>2</v>
      </c>
      <c r="E392"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v>12.22093831486535</v>
      </c>
      <c r="P392">
        <v>35.165384491845217</v>
      </c>
      <c r="Q392">
        <v>84.511858908544141</v>
      </c>
      <c r="R392">
        <v>223.95642610764196</v>
      </c>
      <c r="S392">
        <v>42.4</v>
      </c>
      <c r="T392">
        <v>0.17</v>
      </c>
      <c r="U392">
        <v>0</v>
      </c>
    </row>
    <row r="393" spans="1:21" x14ac:dyDescent="0.25">
      <c r="A393" t="s">
        <v>80</v>
      </c>
      <c r="B393" t="s">
        <v>81</v>
      </c>
      <c r="C393">
        <v>2</v>
      </c>
      <c r="D393">
        <v>2</v>
      </c>
      <c r="E393"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v>20.919439523699001</v>
      </c>
      <c r="P393">
        <v>186.12143725570363</v>
      </c>
      <c r="Q393">
        <v>447.29977711055909</v>
      </c>
      <c r="R393">
        <v>1185.3444093429816</v>
      </c>
      <c r="S393">
        <v>42.4</v>
      </c>
      <c r="T393">
        <v>0.17</v>
      </c>
      <c r="U393">
        <v>0</v>
      </c>
    </row>
    <row r="394" spans="1:21" x14ac:dyDescent="0.25">
      <c r="A394" t="s">
        <v>80</v>
      </c>
      <c r="B394" t="s">
        <v>81</v>
      </c>
      <c r="C394">
        <v>3</v>
      </c>
      <c r="D394">
        <v>2</v>
      </c>
      <c r="E394"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v>27.110774536661477</v>
      </c>
      <c r="P394">
        <v>415.7490134753287</v>
      </c>
      <c r="Q394">
        <v>999.1564851606073</v>
      </c>
      <c r="R394">
        <v>2647.7646856756091</v>
      </c>
      <c r="S394">
        <v>42.4</v>
      </c>
      <c r="T394">
        <v>0.17</v>
      </c>
      <c r="U394">
        <v>0</v>
      </c>
    </row>
    <row r="395" spans="1:21" x14ac:dyDescent="0.25">
      <c r="A395" t="s">
        <v>80</v>
      </c>
      <c r="B395" t="s">
        <v>81</v>
      </c>
      <c r="C395">
        <v>4</v>
      </c>
      <c r="D395">
        <v>2</v>
      </c>
      <c r="E395"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v>31.517583057169233</v>
      </c>
      <c r="P395">
        <v>663.1400651542092</v>
      </c>
      <c r="Q395">
        <v>1593.7035932569313</v>
      </c>
      <c r="R395">
        <v>4223.3145221308678</v>
      </c>
      <c r="S395">
        <v>42.4</v>
      </c>
      <c r="T395">
        <v>0.17</v>
      </c>
      <c r="U395">
        <v>0</v>
      </c>
    </row>
    <row r="396" spans="1:21" x14ac:dyDescent="0.25">
      <c r="A396" t="s">
        <v>80</v>
      </c>
      <c r="B396" t="s">
        <v>81</v>
      </c>
      <c r="C396">
        <v>5</v>
      </c>
      <c r="D396">
        <v>2</v>
      </c>
      <c r="E396"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v>34.654218580164056</v>
      </c>
      <c r="P396">
        <v>889.88769421479969</v>
      </c>
      <c r="Q396">
        <v>2138.6390151761589</v>
      </c>
      <c r="R396">
        <v>5667.393390216821</v>
      </c>
      <c r="S396">
        <v>42.4</v>
      </c>
      <c r="T396">
        <v>0.17</v>
      </c>
      <c r="U396">
        <v>0</v>
      </c>
    </row>
    <row r="397" spans="1:21" x14ac:dyDescent="0.25">
      <c r="A397" t="s">
        <v>80</v>
      </c>
      <c r="B397" t="s">
        <v>81</v>
      </c>
      <c r="C397">
        <v>6</v>
      </c>
      <c r="D397">
        <v>2</v>
      </c>
      <c r="E397"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v>36.88678265875474</v>
      </c>
      <c r="P397">
        <v>1079.9177194327967</v>
      </c>
      <c r="Q397">
        <v>2595.3321784013383</v>
      </c>
      <c r="R397">
        <v>6877.6302727635466</v>
      </c>
      <c r="S397">
        <v>42.4</v>
      </c>
      <c r="T397">
        <v>0.17</v>
      </c>
      <c r="U397">
        <v>0</v>
      </c>
    </row>
    <row r="398" spans="1:21" x14ac:dyDescent="0.25">
      <c r="A398" t="s">
        <v>80</v>
      </c>
      <c r="B398" t="s">
        <v>81</v>
      </c>
      <c r="C398">
        <v>7</v>
      </c>
      <c r="D398">
        <v>2</v>
      </c>
      <c r="E398"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v>38.475855513561449</v>
      </c>
      <c r="P398">
        <v>1230.764449250066</v>
      </c>
      <c r="Q398">
        <v>2957.8573642154915</v>
      </c>
      <c r="R398">
        <v>7838.322015171052</v>
      </c>
      <c r="S398">
        <v>42.4</v>
      </c>
      <c r="T398">
        <v>0.17</v>
      </c>
      <c r="U398">
        <v>0</v>
      </c>
    </row>
    <row r="399" spans="1:21" x14ac:dyDescent="0.25">
      <c r="A399" t="s">
        <v>80</v>
      </c>
      <c r="B399" t="s">
        <v>81</v>
      </c>
      <c r="C399">
        <v>8</v>
      </c>
      <c r="D399">
        <v>2</v>
      </c>
      <c r="E399"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v>39.606910412320516</v>
      </c>
      <c r="P399">
        <v>1346.4221690308948</v>
      </c>
      <c r="Q399">
        <v>3235.8139125952775</v>
      </c>
      <c r="R399">
        <v>8574.9068683774858</v>
      </c>
      <c r="S399">
        <v>42.4</v>
      </c>
      <c r="T399">
        <v>0.17</v>
      </c>
      <c r="U399">
        <v>0</v>
      </c>
    </row>
    <row r="400" spans="1:21" x14ac:dyDescent="0.25">
      <c r="A400" t="s">
        <v>80</v>
      </c>
      <c r="B400" t="s">
        <v>81</v>
      </c>
      <c r="C400">
        <v>9</v>
      </c>
      <c r="D400">
        <v>2</v>
      </c>
      <c r="E400"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v>40.411961722672487</v>
      </c>
      <c r="P400">
        <v>1433.0853330964405</v>
      </c>
      <c r="Q400">
        <v>3444.088760145255</v>
      </c>
      <c r="R400">
        <v>9126.8352143849261</v>
      </c>
      <c r="S400">
        <v>42.4</v>
      </c>
      <c r="T400">
        <v>0.17</v>
      </c>
      <c r="U400">
        <v>0</v>
      </c>
    </row>
    <row r="401" spans="1:21" x14ac:dyDescent="0.25">
      <c r="A401" t="s">
        <v>80</v>
      </c>
      <c r="B401" t="s">
        <v>81</v>
      </c>
      <c r="C401">
        <v>10</v>
      </c>
      <c r="D401">
        <v>2</v>
      </c>
      <c r="E401"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v>40.984973353682172</v>
      </c>
      <c r="P401">
        <v>1497.020322161912</v>
      </c>
      <c r="Q401">
        <v>3597.7417019031764</v>
      </c>
      <c r="R401">
        <v>9534.0155100434167</v>
      </c>
      <c r="S401">
        <v>42.4</v>
      </c>
      <c r="T401">
        <v>0.17</v>
      </c>
      <c r="U401">
        <v>0</v>
      </c>
    </row>
    <row r="402" spans="1:21" x14ac:dyDescent="0.25">
      <c r="A402" t="s">
        <v>82</v>
      </c>
      <c r="B402" t="s">
        <v>83</v>
      </c>
      <c r="C402">
        <v>1</v>
      </c>
      <c r="D402">
        <v>2</v>
      </c>
      <c r="E402"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 s="3">
        <v>30.428790426725772</v>
      </c>
      <c r="P402" s="3">
        <v>475.73355230166828</v>
      </c>
      <c r="Q402" s="3">
        <v>1143.3154345149444</v>
      </c>
      <c r="R402" s="3">
        <v>3029.7859014646024</v>
      </c>
      <c r="S402">
        <v>150.03333333333333</v>
      </c>
      <c r="T402">
        <v>0.11333333333333334</v>
      </c>
      <c r="U402">
        <v>0</v>
      </c>
    </row>
    <row r="403" spans="1:21" x14ac:dyDescent="0.25">
      <c r="A403" t="s">
        <v>82</v>
      </c>
      <c r="B403" t="s">
        <v>83</v>
      </c>
      <c r="C403">
        <v>2</v>
      </c>
      <c r="D403">
        <v>2</v>
      </c>
      <c r="E403"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 s="3">
        <v>43.244059241516467</v>
      </c>
      <c r="P403" s="3">
        <v>1414.3381376978314</v>
      </c>
      <c r="Q403" s="3">
        <v>3399.0342170099289</v>
      </c>
      <c r="R403" s="3">
        <v>9007.4406750763119</v>
      </c>
      <c r="S403">
        <v>150.03333333333333</v>
      </c>
      <c r="T403">
        <v>0.11333333333333334</v>
      </c>
      <c r="U403">
        <v>1</v>
      </c>
    </row>
    <row r="404" spans="1:21" x14ac:dyDescent="0.25">
      <c r="A404" t="s">
        <v>82</v>
      </c>
      <c r="B404" t="s">
        <v>83</v>
      </c>
      <c r="C404">
        <v>3</v>
      </c>
      <c r="D404">
        <v>2</v>
      </c>
      <c r="E404"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 s="3">
        <v>54.686210356893454</v>
      </c>
      <c r="P404" s="3">
        <v>2928.2119927871449</v>
      </c>
      <c r="Q404" s="3">
        <v>7037.2794827857379</v>
      </c>
      <c r="R404" s="3">
        <v>18648.790629382205</v>
      </c>
      <c r="S404">
        <v>150.03333333333333</v>
      </c>
      <c r="T404">
        <v>0.11333333333333334</v>
      </c>
      <c r="U404">
        <v>2</v>
      </c>
    </row>
    <row r="405" spans="1:21" x14ac:dyDescent="0.25">
      <c r="A405" t="s">
        <v>82</v>
      </c>
      <c r="B405" t="s">
        <v>83</v>
      </c>
      <c r="C405">
        <v>4</v>
      </c>
      <c r="D405">
        <v>2</v>
      </c>
      <c r="E405"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 s="3">
        <v>64.902369224822863</v>
      </c>
      <c r="P405" s="3">
        <v>4979.5368821648708</v>
      </c>
      <c r="Q405" s="3">
        <v>11967.163860045352</v>
      </c>
      <c r="R405" s="3">
        <v>31712.984229120182</v>
      </c>
      <c r="S405">
        <v>150.03333333333333</v>
      </c>
      <c r="T405">
        <v>0.11333333333333334</v>
      </c>
      <c r="U405">
        <v>3</v>
      </c>
    </row>
    <row r="406" spans="1:21" x14ac:dyDescent="0.25">
      <c r="A406" t="s">
        <v>82</v>
      </c>
      <c r="B406" t="s">
        <v>83</v>
      </c>
      <c r="C406">
        <v>5</v>
      </c>
      <c r="D406">
        <v>2</v>
      </c>
      <c r="E406"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 s="3">
        <v>74.023897245416052</v>
      </c>
      <c r="P406" s="3">
        <v>7485.7320844855512</v>
      </c>
      <c r="Q406" s="3">
        <v>17990.223707006851</v>
      </c>
      <c r="R406" s="3">
        <v>47674.092823568157</v>
      </c>
      <c r="S406">
        <v>150.03333333333333</v>
      </c>
      <c r="T406">
        <v>0.11333333333333334</v>
      </c>
      <c r="U406">
        <v>4</v>
      </c>
    </row>
    <row r="407" spans="1:21" x14ac:dyDescent="0.25">
      <c r="A407" t="s">
        <v>82</v>
      </c>
      <c r="B407" t="s">
        <v>83</v>
      </c>
      <c r="C407">
        <v>6</v>
      </c>
      <c r="D407">
        <v>2</v>
      </c>
      <c r="E407"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 s="3">
        <v>82.168080837906487</v>
      </c>
      <c r="P407" s="3">
        <v>10345.726443339534</v>
      </c>
      <c r="Q407" s="3">
        <v>24863.557902762637</v>
      </c>
      <c r="R407" s="3">
        <v>65888.42844232099</v>
      </c>
      <c r="S407">
        <v>150.03333333333333</v>
      </c>
      <c r="T407">
        <v>0.11333333333333334</v>
      </c>
      <c r="U407">
        <v>5</v>
      </c>
    </row>
    <row r="408" spans="1:21" x14ac:dyDescent="0.25">
      <c r="A408" t="s">
        <v>82</v>
      </c>
      <c r="B408" t="s">
        <v>83</v>
      </c>
      <c r="C408">
        <v>7</v>
      </c>
      <c r="D408">
        <v>2</v>
      </c>
      <c r="E408"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 s="3">
        <v>89.439639532726702</v>
      </c>
      <c r="P408" s="3">
        <v>13456.260024838362</v>
      </c>
      <c r="Q408" s="3">
        <v>32339.005106556982</v>
      </c>
      <c r="R408" s="3">
        <v>85698.363532375995</v>
      </c>
      <c r="S408">
        <v>150.03333333333333</v>
      </c>
      <c r="T408">
        <v>0.11333333333333334</v>
      </c>
      <c r="U408">
        <v>6</v>
      </c>
    </row>
    <row r="409" spans="1:21" x14ac:dyDescent="0.25">
      <c r="A409" t="s">
        <v>82</v>
      </c>
      <c r="B409" t="s">
        <v>83</v>
      </c>
      <c r="C409">
        <v>8</v>
      </c>
      <c r="D409">
        <v>2</v>
      </c>
      <c r="E409"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 s="3">
        <v>95.932072476032474</v>
      </c>
      <c r="P409" s="3">
        <v>16721.264219498746</v>
      </c>
      <c r="Q409" s="3">
        <v>40185.686660655476</v>
      </c>
      <c r="R409" s="3">
        <v>106492.069650737</v>
      </c>
      <c r="S409">
        <v>150.03333333333333</v>
      </c>
      <c r="T409">
        <v>0.11333333333333334</v>
      </c>
      <c r="U409">
        <v>7</v>
      </c>
    </row>
    <row r="410" spans="1:21" x14ac:dyDescent="0.25">
      <c r="A410" t="s">
        <v>82</v>
      </c>
      <c r="B410" t="s">
        <v>83</v>
      </c>
      <c r="C410">
        <v>9</v>
      </c>
      <c r="D410">
        <v>2</v>
      </c>
      <c r="E410"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 s="3">
        <v>101.72886066029736</v>
      </c>
      <c r="P410" s="3">
        <v>20056.641216152198</v>
      </c>
      <c r="Q410" s="3">
        <v>48201.49294917615</v>
      </c>
      <c r="R410" s="3">
        <v>127733.9563153168</v>
      </c>
      <c r="S410">
        <v>150.03333333333333</v>
      </c>
      <c r="T410">
        <v>0.11333333333333334</v>
      </c>
      <c r="U410">
        <v>8</v>
      </c>
    </row>
    <row r="411" spans="1:21" x14ac:dyDescent="0.25">
      <c r="A411" t="s">
        <v>82</v>
      </c>
      <c r="B411" t="s">
        <v>83</v>
      </c>
      <c r="C411">
        <v>10</v>
      </c>
      <c r="D411">
        <v>2</v>
      </c>
      <c r="E411"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 s="3">
        <v>106.9045403394968</v>
      </c>
      <c r="P411" s="3">
        <v>23392.105426918766</v>
      </c>
      <c r="Q411" s="3">
        <v>56217.508836622837</v>
      </c>
      <c r="R411" s="3">
        <v>148976.39841705051</v>
      </c>
      <c r="S411">
        <v>150.03333333333333</v>
      </c>
      <c r="T411">
        <v>0.11333333333333334</v>
      </c>
      <c r="U411">
        <v>9</v>
      </c>
    </row>
    <row r="412" spans="1:21" x14ac:dyDescent="0.25">
      <c r="A412" t="s">
        <v>84</v>
      </c>
      <c r="B412" t="s">
        <v>85</v>
      </c>
      <c r="C412">
        <v>1</v>
      </c>
      <c r="D412">
        <v>1</v>
      </c>
      <c r="E412"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v>10.773328173702811</v>
      </c>
      <c r="P412">
        <v>10.104691121020659</v>
      </c>
      <c r="Q412">
        <v>24.28428531848272</v>
      </c>
      <c r="R412">
        <v>64.353356093979201</v>
      </c>
      <c r="S412">
        <v>65.400000000000006</v>
      </c>
      <c r="T412">
        <v>0.18</v>
      </c>
      <c r="U412">
        <v>0</v>
      </c>
    </row>
    <row r="413" spans="1:21" x14ac:dyDescent="0.25">
      <c r="A413" t="s">
        <v>84</v>
      </c>
      <c r="B413" t="s">
        <v>85</v>
      </c>
      <c r="C413">
        <v>2</v>
      </c>
      <c r="D413">
        <v>1</v>
      </c>
      <c r="E413"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v>19.771968274954574</v>
      </c>
      <c r="P413">
        <v>55.320116515163534</v>
      </c>
      <c r="Q413">
        <v>132.94909039933557</v>
      </c>
      <c r="R413">
        <v>352.31508955823926</v>
      </c>
      <c r="S413">
        <v>65.400000000000006</v>
      </c>
      <c r="T413">
        <v>0.18</v>
      </c>
      <c r="U413">
        <v>0</v>
      </c>
    </row>
    <row r="414" spans="1:21" x14ac:dyDescent="0.25">
      <c r="A414" t="s">
        <v>84</v>
      </c>
      <c r="B414" t="s">
        <v>85</v>
      </c>
      <c r="C414">
        <v>3</v>
      </c>
      <c r="D414">
        <v>1</v>
      </c>
      <c r="E414"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v>27.288264294741079</v>
      </c>
      <c r="P414">
        <v>136.35651965689235</v>
      </c>
      <c r="Q414">
        <v>327.70132097306498</v>
      </c>
      <c r="R414">
        <v>868.40850057862212</v>
      </c>
      <c r="S414">
        <v>65.400000000000006</v>
      </c>
      <c r="T414">
        <v>0.18</v>
      </c>
      <c r="U414">
        <v>0</v>
      </c>
    </row>
    <row r="415" spans="1:21" x14ac:dyDescent="0.25">
      <c r="A415" t="s">
        <v>84</v>
      </c>
      <c r="B415" t="s">
        <v>85</v>
      </c>
      <c r="C415">
        <v>4</v>
      </c>
      <c r="D415">
        <v>1</v>
      </c>
      <c r="E415"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v>33.566402460217851</v>
      </c>
      <c r="P415">
        <v>243.48756422705969</v>
      </c>
      <c r="Q415">
        <v>585.16597987757677</v>
      </c>
      <c r="R415">
        <v>1550.6898466755783</v>
      </c>
      <c r="S415">
        <v>65.400000000000006</v>
      </c>
      <c r="T415">
        <v>0.18</v>
      </c>
      <c r="U415">
        <v>0</v>
      </c>
    </row>
    <row r="416" spans="1:21" x14ac:dyDescent="0.25">
      <c r="A416" t="s">
        <v>84</v>
      </c>
      <c r="B416" t="s">
        <v>85</v>
      </c>
      <c r="C416">
        <v>5</v>
      </c>
      <c r="D416">
        <v>1</v>
      </c>
      <c r="E416"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v>38.810344252964818</v>
      </c>
      <c r="P416">
        <v>365.59170918238988</v>
      </c>
      <c r="Q416">
        <v>878.61501846284534</v>
      </c>
      <c r="R416">
        <v>2328.3297989265402</v>
      </c>
      <c r="S416">
        <v>65.400000000000006</v>
      </c>
      <c r="T416">
        <v>0.18</v>
      </c>
      <c r="U416">
        <v>0</v>
      </c>
    </row>
    <row r="417" spans="1:21" x14ac:dyDescent="0.25">
      <c r="A417" t="s">
        <v>84</v>
      </c>
      <c r="B417" t="s">
        <v>85</v>
      </c>
      <c r="C417">
        <v>6</v>
      </c>
      <c r="D417">
        <v>1</v>
      </c>
      <c r="E417"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v>43.190452622820985</v>
      </c>
      <c r="P417">
        <v>493.20681311952842</v>
      </c>
      <c r="Q417">
        <v>1185.3083708712531</v>
      </c>
      <c r="R417">
        <v>3141.0671828088207</v>
      </c>
      <c r="S417">
        <v>65.400000000000006</v>
      </c>
      <c r="T417">
        <v>0.18</v>
      </c>
      <c r="U417">
        <v>0</v>
      </c>
    </row>
    <row r="418" spans="1:21" x14ac:dyDescent="0.25">
      <c r="A418" t="s">
        <v>84</v>
      </c>
      <c r="B418" t="s">
        <v>85</v>
      </c>
      <c r="C418">
        <v>7</v>
      </c>
      <c r="D418">
        <v>1</v>
      </c>
      <c r="E418"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v>46.849026666915016</v>
      </c>
      <c r="P418">
        <v>619.30552591043613</v>
      </c>
      <c r="Q418">
        <v>1488.3574282875177</v>
      </c>
      <c r="R418">
        <v>3944.1471849619215</v>
      </c>
      <c r="S418">
        <v>65.400000000000006</v>
      </c>
      <c r="T418">
        <v>0.18</v>
      </c>
      <c r="U418">
        <v>0</v>
      </c>
    </row>
    <row r="419" spans="1:21" x14ac:dyDescent="0.25">
      <c r="A419" t="s">
        <v>84</v>
      </c>
      <c r="B419" t="s">
        <v>85</v>
      </c>
      <c r="C419">
        <v>8</v>
      </c>
      <c r="D419">
        <v>1</v>
      </c>
      <c r="E419"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v>49.904924582189238</v>
      </c>
      <c r="P419">
        <v>739.1709363358284</v>
      </c>
      <c r="Q419">
        <v>1776.4261868200635</v>
      </c>
      <c r="R419">
        <v>4707.5293950731684</v>
      </c>
      <c r="S419">
        <v>65.400000000000006</v>
      </c>
      <c r="T419">
        <v>0.18</v>
      </c>
      <c r="U419">
        <v>0</v>
      </c>
    </row>
    <row r="420" spans="1:21" x14ac:dyDescent="0.25">
      <c r="A420" t="s">
        <v>84</v>
      </c>
      <c r="B420" t="s">
        <v>85</v>
      </c>
      <c r="C420">
        <v>9</v>
      </c>
      <c r="D420">
        <v>1</v>
      </c>
      <c r="E420"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v>52.457425079931603</v>
      </c>
      <c r="P420">
        <v>849.96856780960229</v>
      </c>
      <c r="Q420">
        <v>2042.7026383311756</v>
      </c>
      <c r="R420">
        <v>5413.1619915776155</v>
      </c>
      <c r="S420">
        <v>65.400000000000006</v>
      </c>
      <c r="T420">
        <v>0.18</v>
      </c>
      <c r="U420">
        <v>0</v>
      </c>
    </row>
    <row r="421" spans="1:21" x14ac:dyDescent="0.25">
      <c r="A421" t="s">
        <v>84</v>
      </c>
      <c r="B421" t="s">
        <v>85</v>
      </c>
      <c r="C421">
        <v>10</v>
      </c>
      <c r="D421">
        <v>1</v>
      </c>
      <c r="E421"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v>54.589452710308244</v>
      </c>
      <c r="P421">
        <v>950.27176421676768</v>
      </c>
      <c r="Q421">
        <v>2283.7581451977112</v>
      </c>
      <c r="R421">
        <v>6051.9590847739346</v>
      </c>
      <c r="S421">
        <v>65.400000000000006</v>
      </c>
      <c r="T421">
        <v>0.18</v>
      </c>
      <c r="U421">
        <v>0</v>
      </c>
    </row>
    <row r="422" spans="1:21" x14ac:dyDescent="0.25">
      <c r="A422" s="3" t="s">
        <v>188</v>
      </c>
      <c r="B422" t="s">
        <v>198</v>
      </c>
      <c r="C422">
        <v>1</v>
      </c>
      <c r="D422">
        <v>3</v>
      </c>
      <c r="E422">
        <v>3</v>
      </c>
      <c r="F422">
        <v>350</v>
      </c>
      <c r="G422">
        <v>927.5</v>
      </c>
      <c r="H422">
        <v>145.63499999999999</v>
      </c>
      <c r="I422">
        <v>0.14563499999999999</v>
      </c>
      <c r="J422">
        <v>1.45635E-4</v>
      </c>
      <c r="K422">
        <v>0.32097954000000001</v>
      </c>
      <c r="L422" s="4">
        <v>1.2699999999999999E-2</v>
      </c>
      <c r="M422" s="4">
        <v>3.1</v>
      </c>
      <c r="N422">
        <v>20.39406896596369</v>
      </c>
      <c r="O422" s="3">
        <v>50.405438298908479</v>
      </c>
      <c r="P422" s="3">
        <v>2407.0418820143009</v>
      </c>
      <c r="Q422" s="3">
        <v>5784.7678010437421</v>
      </c>
      <c r="R422" s="3">
        <v>15329.634672765917</v>
      </c>
      <c r="S422">
        <v>109.97499999999999</v>
      </c>
      <c r="T422">
        <v>0.14750000000000002</v>
      </c>
      <c r="U422">
        <v>-1.1566666666666667</v>
      </c>
    </row>
    <row r="423" spans="1:21" x14ac:dyDescent="0.25">
      <c r="A423" s="3" t="s">
        <v>188</v>
      </c>
      <c r="B423" t="s">
        <v>198</v>
      </c>
      <c r="C423">
        <v>2</v>
      </c>
      <c r="D423">
        <v>3</v>
      </c>
      <c r="E423">
        <v>6</v>
      </c>
      <c r="F423">
        <v>1200</v>
      </c>
      <c r="G423">
        <v>3180</v>
      </c>
      <c r="H423">
        <v>499.32</v>
      </c>
      <c r="I423">
        <v>0.49931999999999999</v>
      </c>
      <c r="J423">
        <v>4.9932000000000004E-4</v>
      </c>
      <c r="K423">
        <v>1.10050128</v>
      </c>
      <c r="L423" s="4">
        <v>1.2699999999999999E-2</v>
      </c>
      <c r="M423" s="4">
        <v>3.1</v>
      </c>
      <c r="N423">
        <v>30.347369004339537</v>
      </c>
      <c r="O423" s="3">
        <v>71.705825304169778</v>
      </c>
      <c r="P423" s="3">
        <v>7178.3144840419727</v>
      </c>
      <c r="Q423" s="3">
        <v>17251.416688396956</v>
      </c>
      <c r="R423" s="3">
        <v>45716.254224251934</v>
      </c>
      <c r="S423">
        <v>109.97499999999999</v>
      </c>
      <c r="T423">
        <v>0.14750000000000002</v>
      </c>
      <c r="U423">
        <v>-1.1566666666666667</v>
      </c>
    </row>
    <row r="424" spans="1:21" x14ac:dyDescent="0.25">
      <c r="A424" s="3" t="s">
        <v>188</v>
      </c>
      <c r="B424" t="s">
        <v>198</v>
      </c>
      <c r="C424">
        <v>3</v>
      </c>
      <c r="D424">
        <v>3</v>
      </c>
      <c r="E424">
        <v>9</v>
      </c>
      <c r="F424">
        <v>1800</v>
      </c>
      <c r="G424">
        <v>4770</v>
      </c>
      <c r="H424">
        <v>748.98</v>
      </c>
      <c r="I424">
        <v>0.74897999999999998</v>
      </c>
      <c r="J424">
        <v>7.4898E-4</v>
      </c>
      <c r="K424">
        <v>1.65075192</v>
      </c>
      <c r="L424" s="4">
        <v>1.2699999999999999E-2</v>
      </c>
      <c r="M424" s="4">
        <v>3.1</v>
      </c>
      <c r="N424">
        <v>34.587938444619454</v>
      </c>
      <c r="O424" s="3">
        <v>85.389797589938681</v>
      </c>
      <c r="P424" s="3">
        <v>12335.656618930945</v>
      </c>
      <c r="Q424" s="3">
        <v>29645.894301684559</v>
      </c>
      <c r="R424" s="3">
        <v>78561.619899464073</v>
      </c>
      <c r="S424">
        <v>109.97499999999999</v>
      </c>
      <c r="T424">
        <v>0.14750000000000002</v>
      </c>
      <c r="U424">
        <v>-1.1566666666666667</v>
      </c>
    </row>
    <row r="425" spans="1:21" x14ac:dyDescent="0.25">
      <c r="A425" s="3" t="s">
        <v>188</v>
      </c>
      <c r="B425" t="s">
        <v>198</v>
      </c>
      <c r="C425">
        <v>4</v>
      </c>
      <c r="D425">
        <v>3</v>
      </c>
      <c r="E425">
        <v>12</v>
      </c>
      <c r="F425">
        <v>3129.99</v>
      </c>
      <c r="G425">
        <v>8294.48</v>
      </c>
      <c r="H425">
        <v>1302.388839</v>
      </c>
      <c r="I425">
        <v>1.302388839</v>
      </c>
      <c r="J425">
        <v>1.3023888389999999E-3</v>
      </c>
      <c r="K425">
        <v>2.8704650011560005</v>
      </c>
      <c r="L425" s="4">
        <v>1.2699999999999999E-2</v>
      </c>
      <c r="M425" s="4">
        <v>3.1</v>
      </c>
      <c r="N425">
        <v>41.345787911509852</v>
      </c>
      <c r="O425" s="3">
        <v>94.180769203338897</v>
      </c>
      <c r="P425" s="3">
        <v>16714.240375901685</v>
      </c>
      <c r="Q425" s="3">
        <v>40168.80647897545</v>
      </c>
      <c r="R425" s="3">
        <v>106447.33716928493</v>
      </c>
      <c r="S425">
        <v>109.97499999999999</v>
      </c>
      <c r="T425">
        <v>0.14750000000000002</v>
      </c>
      <c r="U425">
        <v>-1.1566666666666667</v>
      </c>
    </row>
    <row r="426" spans="1:21" x14ac:dyDescent="0.25">
      <c r="A426" s="3" t="s">
        <v>188</v>
      </c>
      <c r="B426" t="s">
        <v>198</v>
      </c>
      <c r="C426">
        <v>5</v>
      </c>
      <c r="D426">
        <v>3</v>
      </c>
      <c r="E426">
        <v>15</v>
      </c>
      <c r="F426">
        <v>7000</v>
      </c>
      <c r="G426">
        <v>18550</v>
      </c>
      <c r="H426">
        <v>2912.7</v>
      </c>
      <c r="I426">
        <v>2.9126999999999996</v>
      </c>
      <c r="J426">
        <v>2.9126999999999998E-3</v>
      </c>
      <c r="K426">
        <v>6.4195907999999999</v>
      </c>
      <c r="L426" s="4">
        <v>1.2699999999999999E-2</v>
      </c>
      <c r="M426" s="4">
        <v>3.1</v>
      </c>
      <c r="N426">
        <v>53.603232342129658</v>
      </c>
      <c r="O426" s="3">
        <v>99.828338512433433</v>
      </c>
      <c r="P426" s="3">
        <v>20021.224447421999</v>
      </c>
      <c r="Q426" s="3">
        <v>48116.376946459983</v>
      </c>
      <c r="R426" s="3">
        <v>127508.39890811895</v>
      </c>
      <c r="S426">
        <v>109.97499999999999</v>
      </c>
      <c r="T426">
        <v>0.14750000000000002</v>
      </c>
      <c r="U426">
        <v>-1.1566666666666667</v>
      </c>
    </row>
    <row r="427" spans="1:21" x14ac:dyDescent="0.25">
      <c r="A427" s="3" t="s">
        <v>188</v>
      </c>
      <c r="B427" t="s">
        <v>198</v>
      </c>
      <c r="C427">
        <v>6</v>
      </c>
      <c r="D427">
        <v>3</v>
      </c>
      <c r="E427">
        <v>18</v>
      </c>
      <c r="F427">
        <v>9000</v>
      </c>
      <c r="G427">
        <v>23850</v>
      </c>
      <c r="H427">
        <v>3744.9</v>
      </c>
      <c r="I427">
        <v>3.7448999999999999</v>
      </c>
      <c r="J427">
        <v>3.7448999999999998E-3</v>
      </c>
      <c r="K427">
        <v>8.2537596000000004</v>
      </c>
      <c r="L427" s="4">
        <v>1.2699999999999999E-2</v>
      </c>
      <c r="M427" s="4">
        <v>3.1</v>
      </c>
      <c r="N427">
        <v>58.129805837341053</v>
      </c>
      <c r="O427" s="3">
        <v>103.45649709417751</v>
      </c>
      <c r="P427" s="3">
        <v>22364.171135055134</v>
      </c>
      <c r="Q427" s="3">
        <v>53747.106789365862</v>
      </c>
      <c r="R427" s="3">
        <v>142429.83299181954</v>
      </c>
      <c r="S427">
        <v>109.97499999999999</v>
      </c>
      <c r="T427">
        <v>0.14750000000000002</v>
      </c>
      <c r="U427">
        <v>-1.1566666666666667</v>
      </c>
    </row>
    <row r="428" spans="1:21" x14ac:dyDescent="0.25">
      <c r="A428" s="3" t="s">
        <v>188</v>
      </c>
      <c r="B428" t="s">
        <v>198</v>
      </c>
      <c r="C428">
        <v>7</v>
      </c>
      <c r="D428">
        <v>3</v>
      </c>
      <c r="E428">
        <v>21</v>
      </c>
      <c r="F428">
        <v>13000</v>
      </c>
      <c r="G428">
        <v>34450</v>
      </c>
      <c r="H428">
        <v>5409.3</v>
      </c>
      <c r="I428">
        <v>5.4093</v>
      </c>
      <c r="J428">
        <v>5.4092999999999997E-3</v>
      </c>
      <c r="K428">
        <v>11.922097200000001</v>
      </c>
      <c r="L428" s="4">
        <v>1.2699999999999999E-2</v>
      </c>
      <c r="M428" s="4">
        <v>3.1</v>
      </c>
      <c r="N428">
        <v>65.450847322550857</v>
      </c>
      <c r="O428" s="3">
        <v>105.78732899261659</v>
      </c>
      <c r="P428" s="3">
        <v>23963.378179590727</v>
      </c>
      <c r="Q428" s="3">
        <v>57590.430616656398</v>
      </c>
      <c r="R428" s="3">
        <v>152614.64113413944</v>
      </c>
      <c r="S428">
        <v>109.97499999999999</v>
      </c>
      <c r="T428">
        <v>0.14750000000000002</v>
      </c>
      <c r="U428">
        <v>-1.1566666666666667</v>
      </c>
    </row>
    <row r="429" spans="1:21" x14ac:dyDescent="0.25">
      <c r="A429" s="3" t="s">
        <v>188</v>
      </c>
      <c r="B429" t="s">
        <v>198</v>
      </c>
      <c r="C429">
        <v>8</v>
      </c>
      <c r="D429">
        <v>3</v>
      </c>
      <c r="E429">
        <v>24</v>
      </c>
      <c r="F429">
        <v>18000</v>
      </c>
      <c r="G429">
        <v>40770</v>
      </c>
      <c r="H429">
        <v>7489.8</v>
      </c>
      <c r="I429">
        <v>7.4897999999999998</v>
      </c>
      <c r="J429">
        <v>7.4897999999999996E-3</v>
      </c>
      <c r="K429">
        <v>16.507519200000001</v>
      </c>
      <c r="L429" s="4">
        <v>1.2699999999999999E-2</v>
      </c>
      <c r="M429" s="4">
        <v>3.1</v>
      </c>
      <c r="N429">
        <v>72.695130842069446</v>
      </c>
      <c r="O429" s="3">
        <v>107.28472146220639</v>
      </c>
      <c r="P429" s="3">
        <v>25030.593239997157</v>
      </c>
      <c r="Q429" s="3">
        <v>60155.234895450987</v>
      </c>
      <c r="R429" s="3">
        <v>159411.37247294511</v>
      </c>
      <c r="S429">
        <v>109.97499999999999</v>
      </c>
      <c r="T429">
        <v>0.14750000000000002</v>
      </c>
      <c r="U429">
        <v>-1.1566666666666667</v>
      </c>
    </row>
    <row r="430" spans="1:21" x14ac:dyDescent="0.25">
      <c r="A430" s="3" t="s">
        <v>188</v>
      </c>
      <c r="B430" t="s">
        <v>198</v>
      </c>
      <c r="C430">
        <v>9</v>
      </c>
      <c r="D430">
        <v>3</v>
      </c>
      <c r="E430">
        <v>27</v>
      </c>
      <c r="F430">
        <v>30000</v>
      </c>
      <c r="G430">
        <v>79500</v>
      </c>
      <c r="H430">
        <v>12483</v>
      </c>
      <c r="I430">
        <v>12.483000000000001</v>
      </c>
      <c r="J430">
        <v>1.2483000000000001E-2</v>
      </c>
      <c r="K430">
        <v>27.512532000000004</v>
      </c>
      <c r="L430" s="4">
        <v>1.2699999999999999E-2</v>
      </c>
      <c r="M430" s="4">
        <v>3.1</v>
      </c>
      <c r="N430">
        <v>85.717488006455042</v>
      </c>
      <c r="O430" s="3">
        <v>108.24668882222311</v>
      </c>
      <c r="P430" s="3">
        <v>25732.918501360557</v>
      </c>
      <c r="Q430" s="3">
        <v>61843.11103427194</v>
      </c>
      <c r="R430" s="3">
        <v>163884.24424082064</v>
      </c>
      <c r="S430">
        <v>109.97499999999999</v>
      </c>
      <c r="T430">
        <v>0.14750000000000002</v>
      </c>
      <c r="U430">
        <v>-1.1566666666666667</v>
      </c>
    </row>
    <row r="431" spans="1:21" x14ac:dyDescent="0.25">
      <c r="A431" s="3" t="s">
        <v>188</v>
      </c>
      <c r="B431" t="s">
        <v>198</v>
      </c>
      <c r="C431">
        <v>10</v>
      </c>
      <c r="D431">
        <v>3</v>
      </c>
      <c r="E431">
        <v>30</v>
      </c>
      <c r="F431">
        <v>32000</v>
      </c>
      <c r="G431">
        <v>85500</v>
      </c>
      <c r="H431">
        <v>13315.2</v>
      </c>
      <c r="I431">
        <v>13.315200000000001</v>
      </c>
      <c r="J431">
        <v>1.3315200000000001E-2</v>
      </c>
      <c r="K431">
        <v>29.346700800000004</v>
      </c>
      <c r="L431" s="4">
        <v>1.2699999999999999E-2</v>
      </c>
      <c r="M431" s="4">
        <v>3.1</v>
      </c>
      <c r="N431">
        <v>87.52073557813911</v>
      </c>
      <c r="O431" s="3">
        <v>108.86468391738413</v>
      </c>
      <c r="P431" s="3">
        <v>26191.083819039475</v>
      </c>
      <c r="Q431" s="3">
        <v>62944.205284882177</v>
      </c>
      <c r="R431" s="3">
        <v>166802.14400493776</v>
      </c>
      <c r="S431">
        <v>109.97499999999999</v>
      </c>
      <c r="T431">
        <v>0.14750000000000002</v>
      </c>
      <c r="U431">
        <v>-1.1566666666666667</v>
      </c>
    </row>
    <row r="432" spans="1:21" x14ac:dyDescent="0.25">
      <c r="A432" t="s">
        <v>86</v>
      </c>
      <c r="B432" t="s">
        <v>87</v>
      </c>
      <c r="C432">
        <v>1</v>
      </c>
      <c r="D432">
        <v>5</v>
      </c>
      <c r="E432"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v>52.071727826074678</v>
      </c>
      <c r="P432">
        <v>508.28637274412449</v>
      </c>
      <c r="Q432">
        <v>1221.5486006828276</v>
      </c>
      <c r="R432">
        <v>3237.103791809493</v>
      </c>
      <c r="S432">
        <v>150</v>
      </c>
      <c r="T432">
        <v>4.1000000000000002E-2</v>
      </c>
      <c r="U432">
        <v>-5.4</v>
      </c>
    </row>
    <row r="433" spans="1:21" x14ac:dyDescent="0.25">
      <c r="A433" t="s">
        <v>86</v>
      </c>
      <c r="B433" t="s">
        <v>87</v>
      </c>
      <c r="C433">
        <v>2</v>
      </c>
      <c r="D433">
        <v>5</v>
      </c>
      <c r="E433"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v>70.222995872705141</v>
      </c>
      <c r="P433">
        <v>1246.6385752361687</v>
      </c>
      <c r="Q433">
        <v>2996.007150291201</v>
      </c>
      <c r="R433">
        <v>7939.418948271682</v>
      </c>
      <c r="S433">
        <v>150</v>
      </c>
      <c r="T433">
        <v>4.1000000000000002E-2</v>
      </c>
      <c r="U433">
        <v>-5.4</v>
      </c>
    </row>
    <row r="434" spans="1:21" x14ac:dyDescent="0.25">
      <c r="A434" t="s">
        <v>86</v>
      </c>
      <c r="B434" t="s">
        <v>87</v>
      </c>
      <c r="C434">
        <v>3</v>
      </c>
      <c r="D434">
        <v>5</v>
      </c>
      <c r="E434"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v>85.009877676356894</v>
      </c>
      <c r="P434">
        <v>2211.6208446574719</v>
      </c>
      <c r="Q434">
        <v>5315.1185884582355</v>
      </c>
      <c r="R434">
        <v>14085.064259414323</v>
      </c>
      <c r="S434">
        <v>150</v>
      </c>
      <c r="T434">
        <v>4.1000000000000002E-2</v>
      </c>
      <c r="U434">
        <v>-5.4</v>
      </c>
    </row>
    <row r="435" spans="1:21" x14ac:dyDescent="0.25">
      <c r="A435" t="s">
        <v>86</v>
      </c>
      <c r="B435" t="s">
        <v>87</v>
      </c>
      <c r="C435">
        <v>4</v>
      </c>
      <c r="D435">
        <v>5</v>
      </c>
      <c r="E435"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v>97.055971255794574</v>
      </c>
      <c r="P435">
        <v>3291.3137248274465</v>
      </c>
      <c r="Q435">
        <v>7909.9104177540185</v>
      </c>
      <c r="R435">
        <v>20961.262607048149</v>
      </c>
      <c r="S435">
        <v>150</v>
      </c>
      <c r="T435">
        <v>4.1000000000000002E-2</v>
      </c>
      <c r="U435">
        <v>-5.4</v>
      </c>
    </row>
    <row r="436" spans="1:21" x14ac:dyDescent="0.25">
      <c r="A436" t="s">
        <v>86</v>
      </c>
      <c r="B436" t="s">
        <v>87</v>
      </c>
      <c r="C436">
        <v>5</v>
      </c>
      <c r="D436">
        <v>5</v>
      </c>
      <c r="E436"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v>106.86928906352426</v>
      </c>
      <c r="P436">
        <v>4394.0122330630593</v>
      </c>
      <c r="Q436">
        <v>10559.990947039316</v>
      </c>
      <c r="R436">
        <v>27983.976009654187</v>
      </c>
      <c r="S436">
        <v>150</v>
      </c>
      <c r="T436">
        <v>4.1000000000000002E-2</v>
      </c>
      <c r="U436">
        <v>-5.4</v>
      </c>
    </row>
    <row r="437" spans="1:21" x14ac:dyDescent="0.25">
      <c r="A437" t="s">
        <v>86</v>
      </c>
      <c r="B437" t="s">
        <v>87</v>
      </c>
      <c r="C437">
        <v>6</v>
      </c>
      <c r="D437">
        <v>5</v>
      </c>
      <c r="E437"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v>114.86368208068359</v>
      </c>
      <c r="P437">
        <v>5455.7027820230469</v>
      </c>
      <c r="Q437">
        <v>13111.518341800162</v>
      </c>
      <c r="R437">
        <v>34745.523605770424</v>
      </c>
      <c r="S437">
        <v>150</v>
      </c>
      <c r="T437">
        <v>4.1000000000000002E-2</v>
      </c>
      <c r="U437">
        <v>-5.4</v>
      </c>
    </row>
    <row r="438" spans="1:21" x14ac:dyDescent="0.25">
      <c r="A438" t="s">
        <v>86</v>
      </c>
      <c r="B438" t="s">
        <v>87</v>
      </c>
      <c r="C438">
        <v>7</v>
      </c>
      <c r="D438">
        <v>5</v>
      </c>
      <c r="E438"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v>121.37629289845059</v>
      </c>
      <c r="P438">
        <v>6437.3053166414402</v>
      </c>
      <c r="Q438">
        <v>15470.57273886431</v>
      </c>
      <c r="R438">
        <v>40997.017757990419</v>
      </c>
      <c r="S438">
        <v>150</v>
      </c>
      <c r="T438">
        <v>4.1000000000000002E-2</v>
      </c>
      <c r="U438">
        <v>-5.4</v>
      </c>
    </row>
    <row r="439" spans="1:21" x14ac:dyDescent="0.25">
      <c r="A439" t="s">
        <v>86</v>
      </c>
      <c r="B439" t="s">
        <v>87</v>
      </c>
      <c r="C439">
        <v>8</v>
      </c>
      <c r="D439">
        <v>5</v>
      </c>
      <c r="E439"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v>126.68177382397643</v>
      </c>
      <c r="P439">
        <v>7318.8847471111585</v>
      </c>
      <c r="Q439">
        <v>17589.244765948468</v>
      </c>
      <c r="R439">
        <v>46611.498629763439</v>
      </c>
      <c r="S439">
        <v>150</v>
      </c>
      <c r="T439">
        <v>4.1000000000000002E-2</v>
      </c>
      <c r="U439">
        <v>-5.4</v>
      </c>
    </row>
    <row r="440" spans="1:21" x14ac:dyDescent="0.25">
      <c r="A440" t="s">
        <v>86</v>
      </c>
      <c r="B440" t="s">
        <v>87</v>
      </c>
      <c r="C440">
        <v>9</v>
      </c>
      <c r="D440">
        <v>5</v>
      </c>
      <c r="E440"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v>131.003869622228</v>
      </c>
      <c r="P440">
        <v>8093.8448123255794</v>
      </c>
      <c r="Q440">
        <v>19451.681836879547</v>
      </c>
      <c r="R440">
        <v>51546.956867730798</v>
      </c>
      <c r="S440">
        <v>150</v>
      </c>
      <c r="T440">
        <v>4.1000000000000002E-2</v>
      </c>
      <c r="U440">
        <v>-5.4</v>
      </c>
    </row>
    <row r="441" spans="1:21" x14ac:dyDescent="0.25">
      <c r="A441" t="s">
        <v>86</v>
      </c>
      <c r="B441" t="s">
        <v>87</v>
      </c>
      <c r="C441">
        <v>10</v>
      </c>
      <c r="D441">
        <v>5</v>
      </c>
      <c r="E441"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v>134.52485336554668</v>
      </c>
      <c r="P441">
        <v>8764.1556661491104</v>
      </c>
      <c r="Q441">
        <v>21062.618760271838</v>
      </c>
      <c r="R441">
        <v>55815.939714720371</v>
      </c>
      <c r="S441">
        <v>150</v>
      </c>
      <c r="T441">
        <v>4.1000000000000002E-2</v>
      </c>
      <c r="U441">
        <v>-5.4</v>
      </c>
    </row>
    <row r="442" spans="1:21" x14ac:dyDescent="0.25">
      <c r="A442" t="s">
        <v>88</v>
      </c>
      <c r="B442" t="s">
        <v>89</v>
      </c>
      <c r="C442">
        <v>1</v>
      </c>
      <c r="D442">
        <v>5</v>
      </c>
      <c r="E442"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v>76.611400666372134</v>
      </c>
      <c r="P442">
        <v>2983.8569822381373</v>
      </c>
      <c r="Q442">
        <v>7171.0093300604112</v>
      </c>
      <c r="R442">
        <v>19003.17472466009</v>
      </c>
      <c r="S442">
        <v>186</v>
      </c>
      <c r="T442">
        <v>4.5999999999999999E-2</v>
      </c>
      <c r="U442">
        <v>-6.54</v>
      </c>
    </row>
    <row r="443" spans="1:21" x14ac:dyDescent="0.25">
      <c r="A443" t="s">
        <v>88</v>
      </c>
      <c r="B443" t="s">
        <v>89</v>
      </c>
      <c r="C443">
        <v>2</v>
      </c>
      <c r="D443">
        <v>5</v>
      </c>
      <c r="E443"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v>99.08708209865884</v>
      </c>
      <c r="P443">
        <v>6624.0145574934386</v>
      </c>
      <c r="Q443">
        <v>15919.285165809753</v>
      </c>
      <c r="R443">
        <v>42186.105689395845</v>
      </c>
      <c r="S443">
        <v>186</v>
      </c>
      <c r="T443">
        <v>4.5999999999999999E-2</v>
      </c>
      <c r="U443">
        <v>-6.54</v>
      </c>
    </row>
    <row r="444" spans="1:21" x14ac:dyDescent="0.25">
      <c r="A444" t="s">
        <v>88</v>
      </c>
      <c r="B444" t="s">
        <v>89</v>
      </c>
      <c r="C444">
        <v>3</v>
      </c>
      <c r="D444">
        <v>5</v>
      </c>
      <c r="E444"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v>116.94476623577091</v>
      </c>
      <c r="P444">
        <v>11071.562215979566</v>
      </c>
      <c r="Q444">
        <v>26607.936111462546</v>
      </c>
      <c r="R444">
        <v>70511.030695375739</v>
      </c>
      <c r="S444">
        <v>186</v>
      </c>
      <c r="T444">
        <v>4.5999999999999999E-2</v>
      </c>
      <c r="U444">
        <v>-6.54</v>
      </c>
    </row>
    <row r="445" spans="1:21" x14ac:dyDescent="0.25">
      <c r="A445" t="s">
        <v>88</v>
      </c>
      <c r="B445" t="s">
        <v>89</v>
      </c>
      <c r="C445">
        <v>4</v>
      </c>
      <c r="D445">
        <v>5</v>
      </c>
      <c r="E445"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v>131.13329634559719</v>
      </c>
      <c r="P445">
        <v>15789.874875237629</v>
      </c>
      <c r="Q445">
        <v>37947.308039504038</v>
      </c>
      <c r="R445">
        <v>100560.3663046857</v>
      </c>
      <c r="S445">
        <v>186</v>
      </c>
      <c r="T445">
        <v>4.5999999999999999E-2</v>
      </c>
      <c r="U445">
        <v>-6.54</v>
      </c>
    </row>
    <row r="446" spans="1:21" x14ac:dyDescent="0.25">
      <c r="A446" t="s">
        <v>88</v>
      </c>
      <c r="B446" t="s">
        <v>89</v>
      </c>
      <c r="C446">
        <v>5</v>
      </c>
      <c r="D446">
        <v>5</v>
      </c>
      <c r="E446"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v>142.40656028798449</v>
      </c>
      <c r="P446">
        <v>20389.728589471877</v>
      </c>
      <c r="Q446">
        <v>49001.991322931688</v>
      </c>
      <c r="R446">
        <v>129855.27700576896</v>
      </c>
      <c r="S446">
        <v>186</v>
      </c>
      <c r="T446">
        <v>4.5999999999999999E-2</v>
      </c>
      <c r="U446">
        <v>-6.54</v>
      </c>
    </row>
    <row r="447" spans="1:21" x14ac:dyDescent="0.25">
      <c r="A447" t="s">
        <v>88</v>
      </c>
      <c r="B447" t="s">
        <v>89</v>
      </c>
      <c r="C447">
        <v>6</v>
      </c>
      <c r="D447">
        <v>5</v>
      </c>
      <c r="E447"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v>151.36354730010044</v>
      </c>
      <c r="P447">
        <v>24633.973887026525</v>
      </c>
      <c r="Q447">
        <v>59202.052119746506</v>
      </c>
      <c r="R447">
        <v>156885.43811732825</v>
      </c>
      <c r="S447">
        <v>186</v>
      </c>
      <c r="T447">
        <v>4.5999999999999999E-2</v>
      </c>
      <c r="U447">
        <v>-6.54</v>
      </c>
    </row>
    <row r="448" spans="1:21" x14ac:dyDescent="0.25">
      <c r="A448" t="s">
        <v>88</v>
      </c>
      <c r="B448" t="s">
        <v>89</v>
      </c>
      <c r="C448">
        <v>7</v>
      </c>
      <c r="D448">
        <v>5</v>
      </c>
      <c r="E448"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v>158.48017445841245</v>
      </c>
      <c r="P448">
        <v>28404.73693357033</v>
      </c>
      <c r="Q448">
        <v>68264.207963399022</v>
      </c>
      <c r="R448">
        <v>180900.1511030074</v>
      </c>
      <c r="S448">
        <v>186</v>
      </c>
      <c r="T448">
        <v>4.5999999999999999E-2</v>
      </c>
      <c r="U448">
        <v>-6.54</v>
      </c>
    </row>
    <row r="449" spans="1:21" x14ac:dyDescent="0.25">
      <c r="A449" t="s">
        <v>88</v>
      </c>
      <c r="B449" t="s">
        <v>89</v>
      </c>
      <c r="C449">
        <v>8</v>
      </c>
      <c r="D449">
        <v>5</v>
      </c>
      <c r="E449"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v>164.13457387217917</v>
      </c>
      <c r="P449">
        <v>31665.669795615515</v>
      </c>
      <c r="Q449">
        <v>76101.105012293963</v>
      </c>
      <c r="R449">
        <v>201667.928282579</v>
      </c>
      <c r="S449">
        <v>186</v>
      </c>
      <c r="T449">
        <v>4.5999999999999999E-2</v>
      </c>
      <c r="U449">
        <v>-6.54</v>
      </c>
    </row>
    <row r="450" spans="1:21" x14ac:dyDescent="0.25">
      <c r="A450" t="s">
        <v>88</v>
      </c>
      <c r="B450" t="s">
        <v>89</v>
      </c>
      <c r="C450">
        <v>9</v>
      </c>
      <c r="D450">
        <v>5</v>
      </c>
      <c r="E450"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v>168.62718420839201</v>
      </c>
      <c r="P450">
        <v>34430.55145672807</v>
      </c>
      <c r="Q450">
        <v>82745.857862840843</v>
      </c>
      <c r="R450">
        <v>219276.52333652822</v>
      </c>
      <c r="S450">
        <v>186</v>
      </c>
      <c r="T450">
        <v>4.5999999999999999E-2</v>
      </c>
      <c r="U450">
        <v>-6.54</v>
      </c>
    </row>
    <row r="451" spans="1:21" x14ac:dyDescent="0.25">
      <c r="A451" t="s">
        <v>88</v>
      </c>
      <c r="B451" t="s">
        <v>89</v>
      </c>
      <c r="C451">
        <v>10</v>
      </c>
      <c r="D451">
        <v>5</v>
      </c>
      <c r="E451"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v>172.19671408346687</v>
      </c>
      <c r="P451">
        <v>36740.538811986386</v>
      </c>
      <c r="Q451">
        <v>88297.377582279223</v>
      </c>
      <c r="R451">
        <v>233988.05059303992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90</v>
      </c>
      <c r="B452" t="s">
        <v>91</v>
      </c>
      <c r="C452">
        <v>1</v>
      </c>
      <c r="D452">
        <v>2</v>
      </c>
      <c r="E452"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v>53.621521096701734</v>
      </c>
      <c r="P452">
        <v>1263.1162036541746</v>
      </c>
      <c r="Q452">
        <v>3035.6073147180355</v>
      </c>
      <c r="R452">
        <v>8044.3593840027934</v>
      </c>
      <c r="S452">
        <v>98.7</v>
      </c>
      <c r="T452">
        <v>0.158</v>
      </c>
      <c r="U452">
        <v>-2.96</v>
      </c>
    </row>
    <row r="453" spans="1:21" x14ac:dyDescent="0.25">
      <c r="A453" t="s">
        <v>90</v>
      </c>
      <c r="B453" t="s">
        <v>91</v>
      </c>
      <c r="C453">
        <v>2</v>
      </c>
      <c r="D453">
        <v>2</v>
      </c>
      <c r="E453"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v>65.835108956368529</v>
      </c>
      <c r="P453">
        <v>2290.2703502839645</v>
      </c>
      <c r="Q453">
        <v>5504.1344635519454</v>
      </c>
      <c r="R453">
        <v>14585.956328412654</v>
      </c>
      <c r="S453">
        <v>98.7</v>
      </c>
      <c r="T453">
        <v>0.158</v>
      </c>
      <c r="U453">
        <v>-2.96</v>
      </c>
    </row>
    <row r="454" spans="1:21" x14ac:dyDescent="0.25">
      <c r="A454" t="s">
        <v>90</v>
      </c>
      <c r="B454" t="s">
        <v>91</v>
      </c>
      <c r="C454">
        <v>3</v>
      </c>
      <c r="D454">
        <v>2</v>
      </c>
      <c r="E454"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v>74.739540605911188</v>
      </c>
      <c r="P454">
        <v>3308.6898603615082</v>
      </c>
      <c r="Q454">
        <v>7951.6699359805534</v>
      </c>
      <c r="R454">
        <v>21071.925330348466</v>
      </c>
      <c r="S454">
        <v>98.7</v>
      </c>
      <c r="T454">
        <v>0.158</v>
      </c>
      <c r="U454">
        <v>-2.96</v>
      </c>
    </row>
    <row r="455" spans="1:21" x14ac:dyDescent="0.25">
      <c r="A455" t="s">
        <v>90</v>
      </c>
      <c r="B455" t="s">
        <v>91</v>
      </c>
      <c r="C455">
        <v>4</v>
      </c>
      <c r="D455">
        <v>2</v>
      </c>
      <c r="E455"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v>81.231400648381936</v>
      </c>
      <c r="P455">
        <v>4212.6876703371154</v>
      </c>
      <c r="Q455">
        <v>10124.219347121161</v>
      </c>
      <c r="R455">
        <v>26829.181269871078</v>
      </c>
      <c r="S455">
        <v>98.7</v>
      </c>
      <c r="T455">
        <v>0.158</v>
      </c>
      <c r="U455">
        <v>-2.96</v>
      </c>
    </row>
    <row r="456" spans="1:21" x14ac:dyDescent="0.25">
      <c r="A456" t="s">
        <v>90</v>
      </c>
      <c r="B456" t="s">
        <v>91</v>
      </c>
      <c r="C456">
        <v>5</v>
      </c>
      <c r="D456">
        <v>2</v>
      </c>
      <c r="E456"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v>85.964352561510822</v>
      </c>
      <c r="P456">
        <v>4964.5876313099352</v>
      </c>
      <c r="Q456">
        <v>11931.236797188021</v>
      </c>
      <c r="R456">
        <v>31617.777512548255</v>
      </c>
      <c r="S456">
        <v>98.7</v>
      </c>
      <c r="T456">
        <v>0.158</v>
      </c>
      <c r="U456">
        <v>-2.96</v>
      </c>
    </row>
    <row r="457" spans="1:21" x14ac:dyDescent="0.25">
      <c r="A457" t="s">
        <v>90</v>
      </c>
      <c r="B457" t="s">
        <v>91</v>
      </c>
      <c r="C457">
        <v>6</v>
      </c>
      <c r="D457">
        <v>2</v>
      </c>
      <c r="E457"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v>89.414955880966374</v>
      </c>
      <c r="P457">
        <v>5564.7968412451664</v>
      </c>
      <c r="Q457">
        <v>13373.700651874949</v>
      </c>
      <c r="R457">
        <v>35440.306727468618</v>
      </c>
      <c r="S457">
        <v>98.7</v>
      </c>
      <c r="T457">
        <v>0.158</v>
      </c>
      <c r="U457">
        <v>-2.96</v>
      </c>
    </row>
    <row r="458" spans="1:21" x14ac:dyDescent="0.25">
      <c r="A458" t="s">
        <v>90</v>
      </c>
      <c r="B458" t="s">
        <v>91</v>
      </c>
      <c r="C458">
        <v>7</v>
      </c>
      <c r="D458">
        <v>2</v>
      </c>
      <c r="E458"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v>91.93065083979522</v>
      </c>
      <c r="P458">
        <v>6031.0760049300561</v>
      </c>
      <c r="Q458">
        <v>14494.294652559616</v>
      </c>
      <c r="R458">
        <v>38409.880829282978</v>
      </c>
      <c r="S458">
        <v>98.7</v>
      </c>
      <c r="T458">
        <v>0.158</v>
      </c>
      <c r="U458">
        <v>-2.96</v>
      </c>
    </row>
    <row r="459" spans="1:21" x14ac:dyDescent="0.25">
      <c r="A459" t="s">
        <v>90</v>
      </c>
      <c r="B459" t="s">
        <v>91</v>
      </c>
      <c r="C459">
        <v>8</v>
      </c>
      <c r="D459">
        <v>2</v>
      </c>
      <c r="E459"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v>93.764742023268425</v>
      </c>
      <c r="P459">
        <v>6386.6712780728694</v>
      </c>
      <c r="Q459">
        <v>15348.885551725236</v>
      </c>
      <c r="R459">
        <v>40674.546712071875</v>
      </c>
      <c r="S459">
        <v>98.7</v>
      </c>
      <c r="T459">
        <v>0.158</v>
      </c>
      <c r="U459">
        <v>-2.96</v>
      </c>
    </row>
    <row r="460" spans="1:21" x14ac:dyDescent="0.25">
      <c r="A460" t="s">
        <v>90</v>
      </c>
      <c r="B460" t="s">
        <v>91</v>
      </c>
      <c r="C460">
        <v>9</v>
      </c>
      <c r="D460">
        <v>2</v>
      </c>
      <c r="E460"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v>95.101903533048713</v>
      </c>
      <c r="P460">
        <v>6654.3944211897187</v>
      </c>
      <c r="Q460">
        <v>15992.296133597018</v>
      </c>
      <c r="R460">
        <v>42379.584754032097</v>
      </c>
      <c r="S460">
        <v>98.7</v>
      </c>
      <c r="T460">
        <v>0.158</v>
      </c>
      <c r="U460">
        <v>-2.96</v>
      </c>
    </row>
    <row r="461" spans="1:21" x14ac:dyDescent="0.25">
      <c r="A461" t="s">
        <v>90</v>
      </c>
      <c r="B461" t="s">
        <v>91</v>
      </c>
      <c r="C461">
        <v>10</v>
      </c>
      <c r="D461">
        <v>2</v>
      </c>
      <c r="E461"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v>96.076773768154425</v>
      </c>
      <c r="P461">
        <v>6854.143978602423</v>
      </c>
      <c r="Q461">
        <v>16472.347941846725</v>
      </c>
      <c r="R461">
        <v>43651.722045893817</v>
      </c>
      <c r="S461">
        <v>98.7</v>
      </c>
      <c r="T461">
        <v>0.158</v>
      </c>
      <c r="U461">
        <v>-2.96</v>
      </c>
    </row>
    <row r="462" spans="1:21" x14ac:dyDescent="0.25">
      <c r="A462" t="s">
        <v>92</v>
      </c>
      <c r="B462" t="s">
        <v>93</v>
      </c>
      <c r="C462">
        <v>1</v>
      </c>
      <c r="D462">
        <v>2</v>
      </c>
      <c r="E462"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v>30.021268763267113</v>
      </c>
      <c r="P462">
        <v>384.89283427329445</v>
      </c>
      <c r="Q462">
        <v>925.00080334846052</v>
      </c>
      <c r="R462">
        <v>2451.2521288734201</v>
      </c>
      <c r="S462">
        <v>85.9</v>
      </c>
      <c r="T462">
        <v>0.215</v>
      </c>
      <c r="U462">
        <v>0</v>
      </c>
    </row>
    <row r="463" spans="1:21" x14ac:dyDescent="0.25">
      <c r="A463" t="s">
        <v>92</v>
      </c>
      <c r="B463" t="s">
        <v>93</v>
      </c>
      <c r="C463">
        <v>2</v>
      </c>
      <c r="D463">
        <v>2</v>
      </c>
      <c r="E463"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v>49.550377128905374</v>
      </c>
      <c r="P463">
        <v>1774.4938030754352</v>
      </c>
      <c r="Q463">
        <v>4264.5849629306304</v>
      </c>
      <c r="R463">
        <v>11301.150151766171</v>
      </c>
      <c r="S463">
        <v>85.9</v>
      </c>
      <c r="T463">
        <v>0.215</v>
      </c>
      <c r="U463">
        <v>0</v>
      </c>
    </row>
    <row r="464" spans="1:21" x14ac:dyDescent="0.25">
      <c r="A464" t="s">
        <v>92</v>
      </c>
      <c r="B464" t="s">
        <v>93</v>
      </c>
      <c r="C464">
        <v>3</v>
      </c>
      <c r="D464">
        <v>2</v>
      </c>
      <c r="E464"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v>62.254239732590285</v>
      </c>
      <c r="P464">
        <v>3559.561444120221</v>
      </c>
      <c r="Q464">
        <v>8554.5816969964453</v>
      </c>
      <c r="R464">
        <v>22669.641497040579</v>
      </c>
      <c r="S464">
        <v>85.9</v>
      </c>
      <c r="T464">
        <v>0.215</v>
      </c>
      <c r="U464">
        <v>0</v>
      </c>
    </row>
    <row r="465" spans="1:21" x14ac:dyDescent="0.25">
      <c r="A465" t="s">
        <v>92</v>
      </c>
      <c r="B465" t="s">
        <v>93</v>
      </c>
      <c r="C465">
        <v>4</v>
      </c>
      <c r="D465">
        <v>2</v>
      </c>
      <c r="E465"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v>70.518217894402738</v>
      </c>
      <c r="P465">
        <v>5205.9536585971264</v>
      </c>
      <c r="Q465">
        <v>12511.304154282927</v>
      </c>
      <c r="R465">
        <v>33154.956008849753</v>
      </c>
      <c r="S465">
        <v>85.9</v>
      </c>
      <c r="T465">
        <v>0.215</v>
      </c>
      <c r="U465">
        <v>0</v>
      </c>
    </row>
    <row r="466" spans="1:21" x14ac:dyDescent="0.25">
      <c r="A466" t="s">
        <v>92</v>
      </c>
      <c r="B466" t="s">
        <v>93</v>
      </c>
      <c r="C466">
        <v>5</v>
      </c>
      <c r="D466">
        <v>2</v>
      </c>
      <c r="E466"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v>75.89401084725661</v>
      </c>
      <c r="P466">
        <v>6513.4957842609556</v>
      </c>
      <c r="Q466">
        <v>15653.678885510588</v>
      </c>
      <c r="R466">
        <v>41482.249046603058</v>
      </c>
      <c r="S466">
        <v>85.9</v>
      </c>
      <c r="T466">
        <v>0.215</v>
      </c>
      <c r="U466">
        <v>0</v>
      </c>
    </row>
    <row r="467" spans="1:21" x14ac:dyDescent="0.25">
      <c r="A467" t="s">
        <v>92</v>
      </c>
      <c r="B467" t="s">
        <v>93</v>
      </c>
      <c r="C467">
        <v>6</v>
      </c>
      <c r="D467">
        <v>2</v>
      </c>
      <c r="E467"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v>79.391013054437579</v>
      </c>
      <c r="P467">
        <v>7472.8083505459481</v>
      </c>
      <c r="Q467">
        <v>17959.164505037126</v>
      </c>
      <c r="R467">
        <v>47591.785938348381</v>
      </c>
      <c r="S467">
        <v>85.9</v>
      </c>
      <c r="T467">
        <v>0.215</v>
      </c>
      <c r="U467">
        <v>0</v>
      </c>
    </row>
    <row r="468" spans="1:21" x14ac:dyDescent="0.25">
      <c r="A468" t="s">
        <v>92</v>
      </c>
      <c r="B468" t="s">
        <v>93</v>
      </c>
      <c r="C468">
        <v>7</v>
      </c>
      <c r="D468">
        <v>2</v>
      </c>
      <c r="E468"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v>81.665844794476314</v>
      </c>
      <c r="P468">
        <v>8145.2542658519005</v>
      </c>
      <c r="Q468">
        <v>19575.232554318438</v>
      </c>
      <c r="R468">
        <v>51874.366268943857</v>
      </c>
      <c r="S468">
        <v>85.9</v>
      </c>
      <c r="T468">
        <v>0.215</v>
      </c>
      <c r="U468">
        <v>0</v>
      </c>
    </row>
    <row r="469" spans="1:21" x14ac:dyDescent="0.25">
      <c r="A469" t="s">
        <v>92</v>
      </c>
      <c r="B469" t="s">
        <v>93</v>
      </c>
      <c r="C469">
        <v>8</v>
      </c>
      <c r="D469">
        <v>2</v>
      </c>
      <c r="E469"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v>83.14564353033677</v>
      </c>
      <c r="P469">
        <v>8603.8279654683902</v>
      </c>
      <c r="Q469">
        <v>20677.308256352779</v>
      </c>
      <c r="R469">
        <v>54794.866879334862</v>
      </c>
      <c r="S469">
        <v>85.9</v>
      </c>
      <c r="T469">
        <v>0.215</v>
      </c>
      <c r="U469">
        <v>0</v>
      </c>
    </row>
    <row r="470" spans="1:21" x14ac:dyDescent="0.25">
      <c r="A470" t="s">
        <v>92</v>
      </c>
      <c r="B470" t="s">
        <v>93</v>
      </c>
      <c r="C470">
        <v>9</v>
      </c>
      <c r="D470">
        <v>2</v>
      </c>
      <c r="E470"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v>84.108266066374071</v>
      </c>
      <c r="P470">
        <v>8911.2621458725062</v>
      </c>
      <c r="Q470">
        <v>21416.155121058655</v>
      </c>
      <c r="R470">
        <v>56752.81107080543</v>
      </c>
      <c r="S470">
        <v>85.9</v>
      </c>
      <c r="T470">
        <v>0.215</v>
      </c>
      <c r="U470">
        <v>0</v>
      </c>
    </row>
    <row r="471" spans="1:21" x14ac:dyDescent="0.25">
      <c r="A471" t="s">
        <v>92</v>
      </c>
      <c r="B471" t="s">
        <v>93</v>
      </c>
      <c r="C471">
        <v>10</v>
      </c>
      <c r="D471">
        <v>2</v>
      </c>
      <c r="E471"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v>84.734460780851947</v>
      </c>
      <c r="P471">
        <v>9115.1634332104441</v>
      </c>
      <c r="Q471">
        <v>21906.184650830193</v>
      </c>
      <c r="R471">
        <v>58051.389324700009</v>
      </c>
      <c r="S471">
        <v>85.9</v>
      </c>
      <c r="T471">
        <v>0.215</v>
      </c>
      <c r="U471">
        <v>0</v>
      </c>
    </row>
    <row r="472" spans="1:21" x14ac:dyDescent="0.25">
      <c r="A472" t="s">
        <v>94</v>
      </c>
      <c r="B472" t="s">
        <v>95</v>
      </c>
      <c r="C472">
        <v>1</v>
      </c>
      <c r="D472">
        <v>7</v>
      </c>
      <c r="E472"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3">
        <v>1.4999999999999999E-2</v>
      </c>
      <c r="M472">
        <v>3</v>
      </c>
      <c r="N472">
        <v>707.50350370000001</v>
      </c>
      <c r="O472" s="3">
        <v>224.55171764903804</v>
      </c>
      <c r="P472" s="3">
        <v>169840.16510822729</v>
      </c>
      <c r="Q472" s="3">
        <v>408171.50951268279</v>
      </c>
      <c r="R472" s="3">
        <v>1081654.5002086093</v>
      </c>
      <c r="S472">
        <v>271.78000000000003</v>
      </c>
      <c r="T472">
        <v>0.25</v>
      </c>
      <c r="U472">
        <v>0</v>
      </c>
    </row>
    <row r="473" spans="1:21" x14ac:dyDescent="0.25">
      <c r="A473" t="s">
        <v>94</v>
      </c>
      <c r="B473" t="s">
        <v>95</v>
      </c>
      <c r="C473">
        <v>2</v>
      </c>
      <c r="D473">
        <v>7</v>
      </c>
      <c r="E473"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3">
        <v>1.4999999999999999E-2</v>
      </c>
      <c r="M473">
        <v>3</v>
      </c>
      <c r="N473">
        <v>726.6872836</v>
      </c>
      <c r="O473" s="3">
        <v>263.57295513348231</v>
      </c>
      <c r="P473" s="3">
        <v>274658.97599979589</v>
      </c>
      <c r="Q473" s="3">
        <v>660079.25017975457</v>
      </c>
      <c r="R473" s="3">
        <v>1749210.0129763496</v>
      </c>
      <c r="S473">
        <v>271.78000000000003</v>
      </c>
      <c r="T473">
        <v>0.25</v>
      </c>
      <c r="U473">
        <v>0</v>
      </c>
    </row>
    <row r="474" spans="1:21" x14ac:dyDescent="0.25">
      <c r="A474" t="s">
        <v>94</v>
      </c>
      <c r="B474" t="s">
        <v>95</v>
      </c>
      <c r="C474">
        <v>3</v>
      </c>
      <c r="D474">
        <v>7</v>
      </c>
      <c r="E474"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3">
        <v>1.4999999999999999E-2</v>
      </c>
      <c r="M474">
        <v>3</v>
      </c>
      <c r="N474">
        <v>727.03865089999999</v>
      </c>
      <c r="O474" s="3">
        <v>270.35382944947054</v>
      </c>
      <c r="P474" s="3">
        <v>296407.25929609837</v>
      </c>
      <c r="Q474" s="3">
        <v>712346.21316053439</v>
      </c>
      <c r="R474" s="3">
        <v>1887717.4648754161</v>
      </c>
      <c r="S474">
        <v>271.78000000000003</v>
      </c>
      <c r="T474">
        <v>0.25</v>
      </c>
      <c r="U474">
        <v>0</v>
      </c>
    </row>
    <row r="475" spans="1:21" x14ac:dyDescent="0.25">
      <c r="A475" t="s">
        <v>94</v>
      </c>
      <c r="B475" t="s">
        <v>95</v>
      </c>
      <c r="C475">
        <v>4</v>
      </c>
      <c r="D475">
        <v>7</v>
      </c>
      <c r="E475"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3">
        <v>1.4999999999999999E-2</v>
      </c>
      <c r="M475">
        <v>3</v>
      </c>
      <c r="N475">
        <v>727.04507169999999</v>
      </c>
      <c r="O475" s="3">
        <v>271.53216871940162</v>
      </c>
      <c r="P475" s="3">
        <v>300299.85605939425</v>
      </c>
      <c r="Q475" s="3">
        <v>721701.16813120467</v>
      </c>
      <c r="R475" s="3">
        <v>1912508.0955476924</v>
      </c>
      <c r="S475">
        <v>271.78000000000003</v>
      </c>
      <c r="T475">
        <v>0.25</v>
      </c>
      <c r="U475">
        <v>0</v>
      </c>
    </row>
    <row r="476" spans="1:21" x14ac:dyDescent="0.25">
      <c r="A476" t="s">
        <v>94</v>
      </c>
      <c r="B476" t="s">
        <v>95</v>
      </c>
      <c r="C476">
        <v>5</v>
      </c>
      <c r="D476">
        <v>7</v>
      </c>
      <c r="E476"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3">
        <v>1.4999999999999999E-2</v>
      </c>
      <c r="M476">
        <v>3</v>
      </c>
      <c r="N476">
        <v>727.04518989999997</v>
      </c>
      <c r="O476" s="3">
        <v>271.73693338106006</v>
      </c>
      <c r="P476" s="3">
        <v>300979.74435133958</v>
      </c>
      <c r="Q476" s="3">
        <v>723335.12220941973</v>
      </c>
      <c r="R476" s="3">
        <v>1916838.0738549621</v>
      </c>
      <c r="S476">
        <v>271.78000000000003</v>
      </c>
      <c r="T476">
        <v>0.25</v>
      </c>
      <c r="U476">
        <v>0</v>
      </c>
    </row>
    <row r="477" spans="1:21" x14ac:dyDescent="0.25">
      <c r="A477" t="s">
        <v>94</v>
      </c>
      <c r="B477" t="s">
        <v>95</v>
      </c>
      <c r="C477">
        <v>6</v>
      </c>
      <c r="D477">
        <v>7</v>
      </c>
      <c r="E477"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3">
        <v>1.4999999999999999E-2</v>
      </c>
      <c r="M477">
        <v>3</v>
      </c>
      <c r="N477">
        <v>727.04520960000002</v>
      </c>
      <c r="O477" s="3">
        <v>271.77251614379577</v>
      </c>
      <c r="P477" s="3">
        <v>301097.99577723094</v>
      </c>
      <c r="Q477" s="3">
        <v>723619.31212985073</v>
      </c>
      <c r="R477" s="3">
        <v>1917591.1771441044</v>
      </c>
      <c r="S477">
        <v>271.78000000000003</v>
      </c>
      <c r="T477">
        <v>0.25</v>
      </c>
      <c r="U477">
        <v>0</v>
      </c>
    </row>
    <row r="478" spans="1:21" x14ac:dyDescent="0.25">
      <c r="A478" t="s">
        <v>94</v>
      </c>
      <c r="B478" t="s">
        <v>95</v>
      </c>
      <c r="C478">
        <v>7</v>
      </c>
      <c r="D478">
        <v>7</v>
      </c>
      <c r="E478"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3">
        <v>1.4999999999999999E-2</v>
      </c>
      <c r="M478">
        <v>3</v>
      </c>
      <c r="N478">
        <v>727.04522929999996</v>
      </c>
      <c r="O478" s="3">
        <v>271.7786995007952</v>
      </c>
      <c r="P478" s="3">
        <v>301118.54795210814</v>
      </c>
      <c r="Q478" s="3">
        <v>723668.70452321111</v>
      </c>
      <c r="R478" s="3">
        <v>1917722.0669865094</v>
      </c>
      <c r="S478">
        <v>271.78000000000003</v>
      </c>
      <c r="T478">
        <v>0.25</v>
      </c>
      <c r="U478">
        <v>0</v>
      </c>
    </row>
    <row r="479" spans="1:21" x14ac:dyDescent="0.25">
      <c r="A479" t="s">
        <v>94</v>
      </c>
      <c r="B479" t="s">
        <v>95</v>
      </c>
      <c r="C479">
        <v>8</v>
      </c>
      <c r="D479">
        <v>7</v>
      </c>
      <c r="E479"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3">
        <v>1.4999999999999999E-2</v>
      </c>
      <c r="M479">
        <v>3</v>
      </c>
      <c r="N479">
        <v>727.04524900000001</v>
      </c>
      <c r="O479" s="3">
        <v>271.77977400712473</v>
      </c>
      <c r="P479" s="3">
        <v>301122.11947995983</v>
      </c>
      <c r="Q479" s="3">
        <v>723677.28786339785</v>
      </c>
      <c r="R479" s="3">
        <v>1917744.8128380042</v>
      </c>
      <c r="S479">
        <v>271.78000000000003</v>
      </c>
      <c r="T479">
        <v>0.25</v>
      </c>
      <c r="U479">
        <v>0</v>
      </c>
    </row>
    <row r="480" spans="1:21" x14ac:dyDescent="0.25">
      <c r="A480" t="s">
        <v>94</v>
      </c>
      <c r="B480" t="s">
        <v>95</v>
      </c>
      <c r="C480">
        <v>9</v>
      </c>
      <c r="D480">
        <v>7</v>
      </c>
      <c r="E480"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3">
        <v>1.4999999999999999E-2</v>
      </c>
      <c r="M480">
        <v>3</v>
      </c>
      <c r="N480">
        <v>727.04526869999995</v>
      </c>
      <c r="O480" s="3">
        <v>271.7799607283269</v>
      </c>
      <c r="P480" s="3">
        <v>301122.74012131902</v>
      </c>
      <c r="Q480" s="3">
        <v>723678.77943119197</v>
      </c>
      <c r="R480" s="3">
        <v>1917748.7654926586</v>
      </c>
      <c r="S480">
        <v>271.78000000000003</v>
      </c>
      <c r="T480">
        <v>0.25</v>
      </c>
      <c r="U480">
        <v>0</v>
      </c>
    </row>
    <row r="481" spans="1:21" x14ac:dyDescent="0.25">
      <c r="A481" t="s">
        <v>94</v>
      </c>
      <c r="B481" t="s">
        <v>95</v>
      </c>
      <c r="C481">
        <v>10</v>
      </c>
      <c r="D481">
        <v>7</v>
      </c>
      <c r="E481"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3">
        <v>1.4999999999999999E-2</v>
      </c>
      <c r="M481">
        <v>3</v>
      </c>
      <c r="N481">
        <v>727.04530810000006</v>
      </c>
      <c r="O481" s="3">
        <v>271.77999317560653</v>
      </c>
      <c r="P481" s="3">
        <v>301122.84797270247</v>
      </c>
      <c r="Q481" s="3">
        <v>723679.03862701869</v>
      </c>
      <c r="R481" s="3">
        <v>1917749.4523615995</v>
      </c>
      <c r="S481">
        <v>271.78000000000003</v>
      </c>
      <c r="T481">
        <v>0.25</v>
      </c>
      <c r="U481">
        <v>0</v>
      </c>
    </row>
    <row r="482" spans="1:21" x14ac:dyDescent="0.25">
      <c r="A482" t="s">
        <v>96</v>
      </c>
      <c r="B482" t="s">
        <v>97</v>
      </c>
      <c r="C482">
        <v>1</v>
      </c>
      <c r="D482">
        <v>2</v>
      </c>
      <c r="E482"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v>13.268908874691732</v>
      </c>
      <c r="P482">
        <v>35.042646182029266</v>
      </c>
      <c r="Q482">
        <v>84.216885801560352</v>
      </c>
      <c r="R482">
        <v>223.17474737413494</v>
      </c>
      <c r="S482">
        <v>73.2</v>
      </c>
      <c r="T482">
        <v>0.1</v>
      </c>
      <c r="U482">
        <v>0</v>
      </c>
    </row>
    <row r="483" spans="1:21" x14ac:dyDescent="0.25">
      <c r="A483" t="s">
        <v>96</v>
      </c>
      <c r="B483" t="s">
        <v>97</v>
      </c>
      <c r="C483">
        <v>2</v>
      </c>
      <c r="D483">
        <v>2</v>
      </c>
      <c r="E483"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v>24.132572630191202</v>
      </c>
      <c r="P483">
        <v>210.8152990674723</v>
      </c>
      <c r="Q483">
        <v>506.64575599007998</v>
      </c>
      <c r="R483">
        <v>1342.6112533737119</v>
      </c>
      <c r="S483">
        <v>73.2</v>
      </c>
      <c r="T483">
        <v>0.1</v>
      </c>
      <c r="U483">
        <v>0</v>
      </c>
    </row>
    <row r="484" spans="1:21" x14ac:dyDescent="0.25">
      <c r="A484" t="s">
        <v>96</v>
      </c>
      <c r="B484" t="s">
        <v>97</v>
      </c>
      <c r="C484">
        <v>3</v>
      </c>
      <c r="D484">
        <v>2</v>
      </c>
      <c r="E484"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v>33.026988237917273</v>
      </c>
      <c r="P484">
        <v>540.37864051599934</v>
      </c>
      <c r="Q484">
        <v>1298.6749351502026</v>
      </c>
      <c r="R484">
        <v>3441.4885781480366</v>
      </c>
      <c r="S484">
        <v>73.2</v>
      </c>
      <c r="T484">
        <v>0.1</v>
      </c>
      <c r="U484">
        <v>0</v>
      </c>
    </row>
    <row r="485" spans="1:21" x14ac:dyDescent="0.25">
      <c r="A485" t="s">
        <v>96</v>
      </c>
      <c r="B485" t="s">
        <v>97</v>
      </c>
      <c r="C485">
        <v>4</v>
      </c>
      <c r="D485">
        <v>2</v>
      </c>
      <c r="E485"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v>40.30911982661938</v>
      </c>
      <c r="P485">
        <v>982.42906970705906</v>
      </c>
      <c r="Q485">
        <v>2361.0407827614972</v>
      </c>
      <c r="R485">
        <v>6256.7580743179678</v>
      </c>
      <c r="S485">
        <v>73.2</v>
      </c>
      <c r="T485">
        <v>0.1</v>
      </c>
      <c r="U485">
        <v>0</v>
      </c>
    </row>
    <row r="486" spans="1:21" x14ac:dyDescent="0.25">
      <c r="A486" t="s">
        <v>96</v>
      </c>
      <c r="B486" t="s">
        <v>97</v>
      </c>
      <c r="C486">
        <v>5</v>
      </c>
      <c r="D486">
        <v>2</v>
      </c>
      <c r="E486"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v>46.271224906250424</v>
      </c>
      <c r="P486">
        <v>1486.0186101607526</v>
      </c>
      <c r="Q486">
        <v>3571.3016346088743</v>
      </c>
      <c r="R486">
        <v>9463.9493317135166</v>
      </c>
      <c r="S486">
        <v>73.2</v>
      </c>
      <c r="T486">
        <v>0.1</v>
      </c>
      <c r="U486">
        <v>0</v>
      </c>
    </row>
    <row r="487" spans="1:21" x14ac:dyDescent="0.25">
      <c r="A487" t="s">
        <v>96</v>
      </c>
      <c r="B487" t="s">
        <v>97</v>
      </c>
      <c r="C487">
        <v>6</v>
      </c>
      <c r="D487">
        <v>2</v>
      </c>
      <c r="E487"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v>51.152583688026816</v>
      </c>
      <c r="P487">
        <v>2007.677642740751</v>
      </c>
      <c r="Q487">
        <v>4824.9883267021169</v>
      </c>
      <c r="R487">
        <v>12786.21906576061</v>
      </c>
      <c r="S487">
        <v>73.2</v>
      </c>
      <c r="T487">
        <v>0.1</v>
      </c>
      <c r="U487">
        <v>0</v>
      </c>
    </row>
    <row r="488" spans="1:21" x14ac:dyDescent="0.25">
      <c r="A488" t="s">
        <v>96</v>
      </c>
      <c r="B488" t="s">
        <v>97</v>
      </c>
      <c r="C488">
        <v>7</v>
      </c>
      <c r="D488">
        <v>2</v>
      </c>
      <c r="E488"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v>55.149102239474409</v>
      </c>
      <c r="P488">
        <v>2515.976614977496</v>
      </c>
      <c r="Q488">
        <v>6046.5672073479836</v>
      </c>
      <c r="R488">
        <v>16023.403099472156</v>
      </c>
      <c r="S488">
        <v>73.2</v>
      </c>
      <c r="T488">
        <v>0.1</v>
      </c>
      <c r="U488">
        <v>0</v>
      </c>
    </row>
    <row r="489" spans="1:21" x14ac:dyDescent="0.25">
      <c r="A489" t="s">
        <v>96</v>
      </c>
      <c r="B489" t="s">
        <v>97</v>
      </c>
      <c r="C489">
        <v>8</v>
      </c>
      <c r="D489">
        <v>2</v>
      </c>
      <c r="E489"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v>58.421174882791227</v>
      </c>
      <c r="P489">
        <v>2990.9015578450121</v>
      </c>
      <c r="Q489">
        <v>7187.9393363254312</v>
      </c>
      <c r="R489">
        <v>19048.039241262391</v>
      </c>
      <c r="S489">
        <v>73.2</v>
      </c>
      <c r="T489">
        <v>0.1</v>
      </c>
      <c r="U489">
        <v>0</v>
      </c>
    </row>
    <row r="490" spans="1:21" x14ac:dyDescent="0.25">
      <c r="A490" t="s">
        <v>96</v>
      </c>
      <c r="B490" t="s">
        <v>97</v>
      </c>
      <c r="C490">
        <v>9</v>
      </c>
      <c r="D490">
        <v>2</v>
      </c>
      <c r="E490"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v>61.100121382179864</v>
      </c>
      <c r="P490">
        <v>3421.5073565730559</v>
      </c>
      <c r="Q490">
        <v>8222.8006646792983</v>
      </c>
      <c r="R490">
        <v>21790.421761400139</v>
      </c>
      <c r="S490">
        <v>73.2</v>
      </c>
      <c r="T490">
        <v>0.1</v>
      </c>
      <c r="U490">
        <v>0</v>
      </c>
    </row>
    <row r="491" spans="1:21" x14ac:dyDescent="0.25">
      <c r="A491" t="s">
        <v>96</v>
      </c>
      <c r="B491" t="s">
        <v>97</v>
      </c>
      <c r="C491">
        <v>10</v>
      </c>
      <c r="D491">
        <v>2</v>
      </c>
      <c r="E491"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v>63.293457267079951</v>
      </c>
      <c r="P491">
        <v>3803.362456432596</v>
      </c>
      <c r="Q491">
        <v>9140.5009767666306</v>
      </c>
      <c r="R491">
        <v>24222.32758843157</v>
      </c>
      <c r="S491">
        <v>73.2</v>
      </c>
      <c r="T491">
        <v>0.1</v>
      </c>
      <c r="U491">
        <v>0</v>
      </c>
    </row>
    <row r="492" spans="1:21" x14ac:dyDescent="0.25">
      <c r="A492" t="s">
        <v>98</v>
      </c>
      <c r="B492" t="s">
        <v>99</v>
      </c>
      <c r="C492">
        <v>1</v>
      </c>
      <c r="D492">
        <v>3</v>
      </c>
      <c r="E492"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 s="3">
        <v>79.381198515365853</v>
      </c>
      <c r="P492" s="3">
        <v>8986.2401870910271</v>
      </c>
      <c r="Q492" s="3">
        <v>21596.347481593435</v>
      </c>
      <c r="R492" s="3">
        <v>57230.320826222604</v>
      </c>
      <c r="S492">
        <v>133.76666666666668</v>
      </c>
      <c r="T492">
        <v>0.3</v>
      </c>
      <c r="U492">
        <v>0</v>
      </c>
    </row>
    <row r="493" spans="1:21" x14ac:dyDescent="0.25">
      <c r="A493" t="s">
        <v>98</v>
      </c>
      <c r="B493" t="s">
        <v>99</v>
      </c>
      <c r="C493">
        <v>2</v>
      </c>
      <c r="D493">
        <v>3</v>
      </c>
      <c r="E493"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 s="3">
        <v>103.91928891081172</v>
      </c>
      <c r="P493" s="3">
        <v>19945.01768238546</v>
      </c>
      <c r="Q493" s="3">
        <v>47933.231632745636</v>
      </c>
      <c r="R493" s="3">
        <v>127023.06382677594</v>
      </c>
      <c r="S493">
        <v>133.76666666666668</v>
      </c>
      <c r="T493">
        <v>0.3</v>
      </c>
      <c r="U493">
        <v>1</v>
      </c>
    </row>
    <row r="494" spans="1:21" x14ac:dyDescent="0.25">
      <c r="A494" t="s">
        <v>98</v>
      </c>
      <c r="B494" t="s">
        <v>99</v>
      </c>
      <c r="C494">
        <v>3</v>
      </c>
      <c r="D494">
        <v>3</v>
      </c>
      <c r="E494"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 s="3">
        <v>117.38607844735947</v>
      </c>
      <c r="P494" s="3">
        <v>28607.433188849067</v>
      </c>
      <c r="Q494" s="3">
        <v>68751.341477647366</v>
      </c>
      <c r="R494" s="3">
        <v>182191.0549157655</v>
      </c>
      <c r="S494">
        <v>133.76666666666668</v>
      </c>
      <c r="T494">
        <v>0.3</v>
      </c>
      <c r="U494">
        <v>2</v>
      </c>
    </row>
    <row r="495" spans="1:21" x14ac:dyDescent="0.25">
      <c r="A495" t="s">
        <v>98</v>
      </c>
      <c r="B495" t="s">
        <v>99</v>
      </c>
      <c r="C495">
        <v>4</v>
      </c>
      <c r="D495">
        <v>3</v>
      </c>
      <c r="E495"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 s="3">
        <v>124.77680924584615</v>
      </c>
      <c r="P495" s="3">
        <v>34274.414586449137</v>
      </c>
      <c r="Q495" s="3">
        <v>82370.619049385103</v>
      </c>
      <c r="R495" s="3">
        <v>218282.14048087053</v>
      </c>
      <c r="S495">
        <v>133.76666666666668</v>
      </c>
      <c r="T495">
        <v>0.3</v>
      </c>
      <c r="U495">
        <v>3</v>
      </c>
    </row>
    <row r="496" spans="1:21" x14ac:dyDescent="0.25">
      <c r="A496" t="s">
        <v>98</v>
      </c>
      <c r="B496" t="s">
        <v>99</v>
      </c>
      <c r="C496">
        <v>5</v>
      </c>
      <c r="D496">
        <v>3</v>
      </c>
      <c r="E496"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 s="3">
        <v>128.83292830729414</v>
      </c>
      <c r="P496" s="3">
        <v>37678.476387287912</v>
      </c>
      <c r="Q496" s="3">
        <v>90551.493360461202</v>
      </c>
      <c r="R496" s="3">
        <v>239961.45740522217</v>
      </c>
      <c r="S496">
        <v>133.76666666666668</v>
      </c>
      <c r="T496">
        <v>0.3</v>
      </c>
      <c r="U496">
        <v>4</v>
      </c>
    </row>
    <row r="497" spans="1:21" x14ac:dyDescent="0.25">
      <c r="A497" t="s">
        <v>98</v>
      </c>
      <c r="B497" t="s">
        <v>99</v>
      </c>
      <c r="C497">
        <v>6</v>
      </c>
      <c r="D497">
        <v>3</v>
      </c>
      <c r="E497"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 s="3">
        <v>131.05897364559959</v>
      </c>
      <c r="P497" s="3">
        <v>39638.333795720522</v>
      </c>
      <c r="Q497" s="3">
        <v>95261.556827013992</v>
      </c>
      <c r="R497" s="3">
        <v>252443.12559158707</v>
      </c>
      <c r="S497">
        <v>133.76666666666668</v>
      </c>
      <c r="T497">
        <v>0.3</v>
      </c>
      <c r="U497">
        <v>5</v>
      </c>
    </row>
    <row r="498" spans="1:21" x14ac:dyDescent="0.25">
      <c r="A498" t="s">
        <v>98</v>
      </c>
      <c r="B498" t="s">
        <v>99</v>
      </c>
      <c r="C498">
        <v>7</v>
      </c>
      <c r="D498">
        <v>3</v>
      </c>
      <c r="E498"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 s="3">
        <v>132.28065322973447</v>
      </c>
      <c r="P498" s="3">
        <v>40742.053315997917</v>
      </c>
      <c r="Q498" s="3">
        <v>97914.091122321362</v>
      </c>
      <c r="R498" s="3">
        <v>259472.34147415159</v>
      </c>
      <c r="S498">
        <v>133.76666666666668</v>
      </c>
      <c r="T498">
        <v>0.3</v>
      </c>
      <c r="U498">
        <v>6</v>
      </c>
    </row>
    <row r="499" spans="1:21" x14ac:dyDescent="0.25">
      <c r="A499" t="s">
        <v>98</v>
      </c>
      <c r="B499" t="s">
        <v>99</v>
      </c>
      <c r="C499">
        <v>8</v>
      </c>
      <c r="D499">
        <v>3</v>
      </c>
      <c r="E499"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 s="3">
        <v>132.9511252010862</v>
      </c>
      <c r="P499" s="3">
        <v>41356.34450021261</v>
      </c>
      <c r="Q499" s="3">
        <v>99390.397741438603</v>
      </c>
      <c r="R499" s="3">
        <v>263384.55401481228</v>
      </c>
      <c r="S499">
        <v>133.76666666666668</v>
      </c>
      <c r="T499">
        <v>0.3</v>
      </c>
      <c r="U499">
        <v>7</v>
      </c>
    </row>
    <row r="500" spans="1:21" x14ac:dyDescent="0.25">
      <c r="A500" t="s">
        <v>98</v>
      </c>
      <c r="B500" t="s">
        <v>99</v>
      </c>
      <c r="C500">
        <v>9</v>
      </c>
      <c r="D500">
        <v>3</v>
      </c>
      <c r="E500"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 s="3">
        <v>133.31908802063896</v>
      </c>
      <c r="P500" s="3">
        <v>41696.066099314681</v>
      </c>
      <c r="Q500" s="3">
        <v>100206.83994067456</v>
      </c>
      <c r="R500" s="3">
        <v>265548.12584278756</v>
      </c>
      <c r="S500">
        <v>133.76666666666668</v>
      </c>
      <c r="T500">
        <v>0.3</v>
      </c>
      <c r="U500">
        <v>8</v>
      </c>
    </row>
    <row r="501" spans="1:21" x14ac:dyDescent="0.25">
      <c r="A501" t="s">
        <v>98</v>
      </c>
      <c r="B501" t="s">
        <v>99</v>
      </c>
      <c r="C501">
        <v>10</v>
      </c>
      <c r="D501">
        <v>3</v>
      </c>
      <c r="E501"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 s="3">
        <v>133.52103029765945</v>
      </c>
      <c r="P501" s="3">
        <v>41883.292127343688</v>
      </c>
      <c r="Q501" s="3">
        <v>100656.79434593531</v>
      </c>
      <c r="R501" s="3">
        <v>266740.5050167286</v>
      </c>
      <c r="S501">
        <v>133.76666666666668</v>
      </c>
      <c r="T501">
        <v>0.3</v>
      </c>
      <c r="U501">
        <v>9</v>
      </c>
    </row>
    <row r="502" spans="1:21" x14ac:dyDescent="0.25">
      <c r="A502" t="s">
        <v>100</v>
      </c>
      <c r="B502" t="s">
        <v>101</v>
      </c>
      <c r="C502">
        <v>1</v>
      </c>
      <c r="D502">
        <v>7</v>
      </c>
      <c r="E502"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3">
        <v>1E-3</v>
      </c>
      <c r="M502">
        <v>3</v>
      </c>
      <c r="N502">
        <v>707.50350370000001</v>
      </c>
      <c r="O502" s="3">
        <v>2161.2090696800637</v>
      </c>
      <c r="P502" s="3">
        <v>10094628.581050098</v>
      </c>
      <c r="Q502" s="3">
        <v>24260102.333694059</v>
      </c>
      <c r="R502" s="3">
        <v>64289271.184289254</v>
      </c>
      <c r="S502">
        <v>2615.7600000000002</v>
      </c>
      <c r="T502">
        <v>0.25</v>
      </c>
      <c r="U502">
        <v>0</v>
      </c>
    </row>
    <row r="503" spans="1:21" x14ac:dyDescent="0.25">
      <c r="A503" t="s">
        <v>100</v>
      </c>
      <c r="B503" t="s">
        <v>101</v>
      </c>
      <c r="C503">
        <v>2</v>
      </c>
      <c r="D503">
        <v>7</v>
      </c>
      <c r="E503"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3">
        <v>1E-3</v>
      </c>
      <c r="M503">
        <v>3</v>
      </c>
      <c r="N503">
        <v>726.6872836</v>
      </c>
      <c r="O503" s="3">
        <v>2536.7708923392365</v>
      </c>
      <c r="P503" s="3">
        <v>16324644.688155601</v>
      </c>
      <c r="Q503" s="3">
        <v>39232503.456273966</v>
      </c>
      <c r="R503" s="3">
        <v>103966134.159126</v>
      </c>
      <c r="S503">
        <v>2615.7600000000002</v>
      </c>
      <c r="T503">
        <v>0.25</v>
      </c>
      <c r="U503">
        <v>0</v>
      </c>
    </row>
    <row r="504" spans="1:21" x14ac:dyDescent="0.25">
      <c r="A504" t="s">
        <v>100</v>
      </c>
      <c r="B504" t="s">
        <v>101</v>
      </c>
      <c r="C504">
        <v>3</v>
      </c>
      <c r="D504">
        <v>7</v>
      </c>
      <c r="E504"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3">
        <v>1E-3</v>
      </c>
      <c r="M504">
        <v>3</v>
      </c>
      <c r="N504">
        <v>727.03865089999999</v>
      </c>
      <c r="O504" s="3">
        <v>2602.0337512721576</v>
      </c>
      <c r="P504" s="3">
        <v>17617276.746136293</v>
      </c>
      <c r="Q504" s="3">
        <v>42339045.292324662</v>
      </c>
      <c r="R504" s="3">
        <v>112198470.02466035</v>
      </c>
      <c r="S504">
        <v>2615.7600000000002</v>
      </c>
      <c r="T504">
        <v>0.25</v>
      </c>
      <c r="U504">
        <v>0</v>
      </c>
    </row>
    <row r="505" spans="1:21" x14ac:dyDescent="0.25">
      <c r="A505" t="s">
        <v>100</v>
      </c>
      <c r="B505" t="s">
        <v>101</v>
      </c>
      <c r="C505">
        <v>4</v>
      </c>
      <c r="D505">
        <v>7</v>
      </c>
      <c r="E505"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3">
        <v>1E-3</v>
      </c>
      <c r="M505">
        <v>3</v>
      </c>
      <c r="N505">
        <v>727.04507169999999</v>
      </c>
      <c r="O505" s="3">
        <v>2613.3747356297813</v>
      </c>
      <c r="P505" s="3">
        <v>17848637.322806895</v>
      </c>
      <c r="Q505" s="3">
        <v>42895066.865673862</v>
      </c>
      <c r="R505" s="3">
        <v>113671927.19403574</v>
      </c>
      <c r="S505">
        <v>2615.7600000000002</v>
      </c>
      <c r="T505">
        <v>0.25</v>
      </c>
      <c r="U505">
        <v>0</v>
      </c>
    </row>
    <row r="506" spans="1:21" x14ac:dyDescent="0.25">
      <c r="A506" t="s">
        <v>100</v>
      </c>
      <c r="B506" t="s">
        <v>101</v>
      </c>
      <c r="C506">
        <v>5</v>
      </c>
      <c r="D506">
        <v>7</v>
      </c>
      <c r="E506"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3">
        <v>1E-3</v>
      </c>
      <c r="M506">
        <v>3</v>
      </c>
      <c r="N506">
        <v>727.04518989999997</v>
      </c>
      <c r="O506" s="3">
        <v>2615.3455032042152</v>
      </c>
      <c r="P506" s="3">
        <v>17889047.197464157</v>
      </c>
      <c r="Q506" s="3">
        <v>42992182.64230752</v>
      </c>
      <c r="R506" s="3">
        <v>113929284.00211492</v>
      </c>
      <c r="S506">
        <v>2615.7600000000002</v>
      </c>
      <c r="T506">
        <v>0.25</v>
      </c>
      <c r="U506">
        <v>0</v>
      </c>
    </row>
    <row r="507" spans="1:21" x14ac:dyDescent="0.25">
      <c r="A507" t="s">
        <v>100</v>
      </c>
      <c r="B507" t="s">
        <v>101</v>
      </c>
      <c r="C507">
        <v>6</v>
      </c>
      <c r="D507">
        <v>7</v>
      </c>
      <c r="E507"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3">
        <v>1E-3</v>
      </c>
      <c r="M507">
        <v>3</v>
      </c>
      <c r="N507">
        <v>727.04520960000002</v>
      </c>
      <c r="O507" s="3">
        <v>2615.687971257249</v>
      </c>
      <c r="P507" s="3">
        <v>17896075.59515084</v>
      </c>
      <c r="Q507" s="3">
        <v>43009073.768687427</v>
      </c>
      <c r="R507" s="3">
        <v>113974045.48702168</v>
      </c>
      <c r="S507">
        <v>2615.7600000000002</v>
      </c>
      <c r="T507">
        <v>0.25</v>
      </c>
      <c r="U507">
        <v>0</v>
      </c>
    </row>
    <row r="508" spans="1:21" x14ac:dyDescent="0.25">
      <c r="A508" t="s">
        <v>100</v>
      </c>
      <c r="B508" t="s">
        <v>101</v>
      </c>
      <c r="C508">
        <v>7</v>
      </c>
      <c r="D508">
        <v>7</v>
      </c>
      <c r="E508"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3">
        <v>1E-3</v>
      </c>
      <c r="M508">
        <v>3</v>
      </c>
      <c r="N508">
        <v>727.04522929999996</v>
      </c>
      <c r="O508" s="3">
        <v>2615.7474832813305</v>
      </c>
      <c r="P508" s="3">
        <v>17897297.135248773</v>
      </c>
      <c r="Q508" s="3">
        <v>43012009.457459204</v>
      </c>
      <c r="R508" s="3">
        <v>113981825.06226689</v>
      </c>
      <c r="S508">
        <v>2615.7600000000002</v>
      </c>
      <c r="T508">
        <v>0.25</v>
      </c>
      <c r="U508">
        <v>0</v>
      </c>
    </row>
    <row r="509" spans="1:21" x14ac:dyDescent="0.25">
      <c r="A509" t="s">
        <v>100</v>
      </c>
      <c r="B509" t="s">
        <v>101</v>
      </c>
      <c r="C509">
        <v>8</v>
      </c>
      <c r="D509">
        <v>7</v>
      </c>
      <c r="E509"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3">
        <v>1E-3</v>
      </c>
      <c r="M509">
        <v>3</v>
      </c>
      <c r="N509">
        <v>727.04524900000001</v>
      </c>
      <c r="O509" s="3">
        <v>2615.757824920438</v>
      </c>
      <c r="P509" s="3">
        <v>17897509.412757501</v>
      </c>
      <c r="Q509" s="3">
        <v>43012519.61729753</v>
      </c>
      <c r="R509" s="3">
        <v>113983176.98583846</v>
      </c>
      <c r="S509">
        <v>2615.7600000000002</v>
      </c>
      <c r="T509">
        <v>0.25</v>
      </c>
      <c r="U509">
        <v>0</v>
      </c>
    </row>
    <row r="510" spans="1:21" x14ac:dyDescent="0.25">
      <c r="A510" t="s">
        <v>100</v>
      </c>
      <c r="B510" t="s">
        <v>101</v>
      </c>
      <c r="C510">
        <v>9</v>
      </c>
      <c r="D510">
        <v>7</v>
      </c>
      <c r="E510"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3">
        <v>1E-3</v>
      </c>
      <c r="M510">
        <v>3</v>
      </c>
      <c r="N510">
        <v>727.04526869999995</v>
      </c>
      <c r="O510" s="3">
        <v>2615.7596220278474</v>
      </c>
      <c r="P510" s="3">
        <v>17897546.301228482</v>
      </c>
      <c r="Q510" s="3">
        <v>43012608.270195827</v>
      </c>
      <c r="R510" s="3">
        <v>113983411.91601893</v>
      </c>
      <c r="S510">
        <v>2615.7600000000002</v>
      </c>
      <c r="T510">
        <v>0.25</v>
      </c>
      <c r="U510">
        <v>0</v>
      </c>
    </row>
    <row r="511" spans="1:21" x14ac:dyDescent="0.25">
      <c r="A511" t="s">
        <v>100</v>
      </c>
      <c r="B511" t="s">
        <v>101</v>
      </c>
      <c r="C511">
        <v>10</v>
      </c>
      <c r="D511">
        <v>7</v>
      </c>
      <c r="E511"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3">
        <v>1E-3</v>
      </c>
      <c r="M511">
        <v>3</v>
      </c>
      <c r="N511">
        <v>727.04530810000006</v>
      </c>
      <c r="O511" s="3">
        <v>2615.7599343182887</v>
      </c>
      <c r="P511" s="3">
        <v>17897552.71148872</v>
      </c>
      <c r="Q511" s="3">
        <v>43012623.675771981</v>
      </c>
      <c r="R511" s="3">
        <v>113983452.74079575</v>
      </c>
      <c r="S511">
        <v>2615.7600000000002</v>
      </c>
      <c r="T511">
        <v>0.25</v>
      </c>
      <c r="U511">
        <v>0</v>
      </c>
    </row>
    <row r="512" spans="1:21" x14ac:dyDescent="0.25">
      <c r="A512" t="s">
        <v>102</v>
      </c>
      <c r="B512" t="s">
        <v>103</v>
      </c>
      <c r="C512">
        <v>1</v>
      </c>
      <c r="D512">
        <v>2</v>
      </c>
      <c r="E512"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v>22.930154254913251</v>
      </c>
      <c r="P512">
        <v>156.66977937661682</v>
      </c>
      <c r="Q512">
        <v>376.51953707430141</v>
      </c>
      <c r="R512">
        <v>997.77677324689876</v>
      </c>
      <c r="S512">
        <v>111</v>
      </c>
      <c r="T512">
        <v>0.13</v>
      </c>
      <c r="U512">
        <v>0.22</v>
      </c>
    </row>
    <row r="513" spans="1:21" x14ac:dyDescent="0.25">
      <c r="A513" t="s">
        <v>102</v>
      </c>
      <c r="B513" t="s">
        <v>103</v>
      </c>
      <c r="C513">
        <v>2</v>
      </c>
      <c r="D513">
        <v>2</v>
      </c>
      <c r="E513"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v>43.093605776775398</v>
      </c>
      <c r="P513">
        <v>1107.6521425180997</v>
      </c>
      <c r="Q513">
        <v>2661.9854422448925</v>
      </c>
      <c r="R513">
        <v>7054.2614219489651</v>
      </c>
      <c r="S513">
        <v>111</v>
      </c>
      <c r="T513">
        <v>0.13</v>
      </c>
      <c r="U513">
        <v>0.22</v>
      </c>
    </row>
    <row r="514" spans="1:21" x14ac:dyDescent="0.25">
      <c r="A514" t="s">
        <v>102</v>
      </c>
      <c r="B514" t="s">
        <v>103</v>
      </c>
      <c r="C514">
        <v>3</v>
      </c>
      <c r="D514">
        <v>2</v>
      </c>
      <c r="E514"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v>58.640667047980536</v>
      </c>
      <c r="P514">
        <v>2878.327459969747</v>
      </c>
      <c r="Q514">
        <v>6917.3935591678619</v>
      </c>
      <c r="R514">
        <v>18331.092931794832</v>
      </c>
      <c r="S514">
        <v>111</v>
      </c>
      <c r="T514">
        <v>0.13</v>
      </c>
      <c r="U514">
        <v>0.22</v>
      </c>
    </row>
    <row r="515" spans="1:21" x14ac:dyDescent="0.25">
      <c r="A515" t="s">
        <v>102</v>
      </c>
      <c r="B515" t="s">
        <v>103</v>
      </c>
      <c r="C515">
        <v>4</v>
      </c>
      <c r="D515">
        <v>2</v>
      </c>
      <c r="E515"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v>70.62825329572847</v>
      </c>
      <c r="P515">
        <v>5123.38331347024</v>
      </c>
      <c r="Q515">
        <v>12312.865449339677</v>
      </c>
      <c r="R515">
        <v>32629.093440750145</v>
      </c>
      <c r="S515">
        <v>111</v>
      </c>
      <c r="T515">
        <v>0.13</v>
      </c>
      <c r="U515">
        <v>0.22</v>
      </c>
    </row>
    <row r="516" spans="1:21" x14ac:dyDescent="0.25">
      <c r="A516" t="s">
        <v>102</v>
      </c>
      <c r="B516" t="s">
        <v>103</v>
      </c>
      <c r="C516">
        <v>5</v>
      </c>
      <c r="D516">
        <v>2</v>
      </c>
      <c r="E516"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v>79.871300682011537</v>
      </c>
      <c r="P516">
        <v>7501.2726572146157</v>
      </c>
      <c r="Q516">
        <v>18027.571875065165</v>
      </c>
      <c r="R516">
        <v>47773.065468922687</v>
      </c>
      <c r="S516">
        <v>111</v>
      </c>
      <c r="T516">
        <v>0.13</v>
      </c>
      <c r="U516">
        <v>0.22</v>
      </c>
    </row>
    <row r="517" spans="1:21" x14ac:dyDescent="0.25">
      <c r="A517" t="s">
        <v>102</v>
      </c>
      <c r="B517" t="s">
        <v>103</v>
      </c>
      <c r="C517">
        <v>6</v>
      </c>
      <c r="D517">
        <v>2</v>
      </c>
      <c r="E517"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v>86.998167026862603</v>
      </c>
      <c r="P517">
        <v>9776.9844196191934</v>
      </c>
      <c r="Q517">
        <v>23496.71814376158</v>
      </c>
      <c r="R517">
        <v>62266.303080968188</v>
      </c>
      <c r="S517">
        <v>111</v>
      </c>
      <c r="T517">
        <v>0.13</v>
      </c>
      <c r="U517">
        <v>0.22</v>
      </c>
    </row>
    <row r="518" spans="1:21" x14ac:dyDescent="0.25">
      <c r="A518" t="s">
        <v>102</v>
      </c>
      <c r="B518" t="s">
        <v>103</v>
      </c>
      <c r="C518">
        <v>7</v>
      </c>
      <c r="D518">
        <v>2</v>
      </c>
      <c r="E518"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v>92.493348623870091</v>
      </c>
      <c r="P518">
        <v>11821.325186971071</v>
      </c>
      <c r="Q518">
        <v>28409.817800939851</v>
      </c>
      <c r="R518">
        <v>75286.017172490596</v>
      </c>
      <c r="S518">
        <v>111</v>
      </c>
      <c r="T518">
        <v>0.13</v>
      </c>
      <c r="U518">
        <v>0.22</v>
      </c>
    </row>
    <row r="519" spans="1:21" x14ac:dyDescent="0.25">
      <c r="A519" t="s">
        <v>102</v>
      </c>
      <c r="B519" t="s">
        <v>103</v>
      </c>
      <c r="C519">
        <v>8</v>
      </c>
      <c r="D519">
        <v>2</v>
      </c>
      <c r="E519"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v>96.73041710852128</v>
      </c>
      <c r="P519">
        <v>13582.167836600664</v>
      </c>
      <c r="Q519">
        <v>32641.595377555062</v>
      </c>
      <c r="R519">
        <v>86500.227750520906</v>
      </c>
      <c r="S519">
        <v>111</v>
      </c>
      <c r="T519">
        <v>0.13</v>
      </c>
      <c r="U519">
        <v>0.22</v>
      </c>
    </row>
    <row r="520" spans="1:21" x14ac:dyDescent="0.25">
      <c r="A520" t="s">
        <v>102</v>
      </c>
      <c r="B520" t="s">
        <v>103</v>
      </c>
      <c r="C520">
        <v>9</v>
      </c>
      <c r="D520">
        <v>2</v>
      </c>
      <c r="E520"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v>99.997415482769895</v>
      </c>
      <c r="P520">
        <v>15055.279034998446</v>
      </c>
      <c r="Q520">
        <v>36181.877036766273</v>
      </c>
      <c r="R520">
        <v>95881.974147430621</v>
      </c>
      <c r="S520">
        <v>111</v>
      </c>
      <c r="T520">
        <v>0.13</v>
      </c>
      <c r="U520">
        <v>0.22</v>
      </c>
    </row>
    <row r="521" spans="1:21" x14ac:dyDescent="0.25">
      <c r="A521" t="s">
        <v>102</v>
      </c>
      <c r="B521" t="s">
        <v>103</v>
      </c>
      <c r="C521">
        <v>10</v>
      </c>
      <c r="D521">
        <v>2</v>
      </c>
      <c r="E521"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v>102.51643976005195</v>
      </c>
      <c r="P521">
        <v>16262.357460260959</v>
      </c>
      <c r="Q521">
        <v>39082.810526942943</v>
      </c>
      <c r="R521">
        <v>103569.44789639879</v>
      </c>
      <c r="S521">
        <v>111</v>
      </c>
      <c r="T521">
        <v>0.13</v>
      </c>
      <c r="U521">
        <v>0.22</v>
      </c>
    </row>
    <row r="522" spans="1:21" x14ac:dyDescent="0.25">
      <c r="A522" t="s">
        <v>104</v>
      </c>
      <c r="B522" t="s">
        <v>105</v>
      </c>
      <c r="C522">
        <v>1</v>
      </c>
      <c r="D522">
        <v>1</v>
      </c>
      <c r="E522"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v>12.942111147109506</v>
      </c>
      <c r="P522">
        <v>25.171327616078905</v>
      </c>
      <c r="Q522">
        <v>60.493457380627028</v>
      </c>
      <c r="R522">
        <v>160.30766205866161</v>
      </c>
      <c r="S522">
        <v>136</v>
      </c>
      <c r="T522">
        <v>0.1</v>
      </c>
      <c r="U522">
        <v>0</v>
      </c>
    </row>
    <row r="523" spans="1:21" x14ac:dyDescent="0.25">
      <c r="A523" t="s">
        <v>104</v>
      </c>
      <c r="B523" t="s">
        <v>105</v>
      </c>
      <c r="C523">
        <v>2</v>
      </c>
      <c r="D523">
        <v>1</v>
      </c>
      <c r="E523"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v>24.652617581394473</v>
      </c>
      <c r="P523">
        <v>163.11506433652227</v>
      </c>
      <c r="Q523">
        <v>392.00928703802515</v>
      </c>
      <c r="R523">
        <v>1038.8246106507665</v>
      </c>
      <c r="S523">
        <v>136</v>
      </c>
      <c r="T523">
        <v>0.1</v>
      </c>
      <c r="U523">
        <v>0</v>
      </c>
    </row>
    <row r="524" spans="1:21" x14ac:dyDescent="0.25">
      <c r="A524" t="s">
        <v>104</v>
      </c>
      <c r="B524" t="s">
        <v>105</v>
      </c>
      <c r="C524">
        <v>3</v>
      </c>
      <c r="D524">
        <v>1</v>
      </c>
      <c r="E524"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v>35.248721987286366</v>
      </c>
      <c r="P524">
        <v>460.05213204372916</v>
      </c>
      <c r="Q524">
        <v>1105.6287720349176</v>
      </c>
      <c r="R524">
        <v>2929.9162458925316</v>
      </c>
      <c r="S524">
        <v>136</v>
      </c>
      <c r="T524">
        <v>0.1</v>
      </c>
      <c r="U524">
        <v>0</v>
      </c>
    </row>
    <row r="525" spans="1:21" x14ac:dyDescent="0.25">
      <c r="A525" t="s">
        <v>104</v>
      </c>
      <c r="B525" t="s">
        <v>105</v>
      </c>
      <c r="C525">
        <v>4</v>
      </c>
      <c r="D525">
        <v>1</v>
      </c>
      <c r="E525"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v>44.83647373915305</v>
      </c>
      <c r="P525">
        <v>924.32023765543681</v>
      </c>
      <c r="Q525">
        <v>2221.3896603110716</v>
      </c>
      <c r="R525">
        <v>5886.6825998243394</v>
      </c>
      <c r="S525">
        <v>136</v>
      </c>
      <c r="T525">
        <v>0.1</v>
      </c>
      <c r="U525">
        <v>0</v>
      </c>
    </row>
    <row r="526" spans="1:21" x14ac:dyDescent="0.25">
      <c r="A526" t="s">
        <v>104</v>
      </c>
      <c r="B526" t="s">
        <v>105</v>
      </c>
      <c r="C526">
        <v>5</v>
      </c>
      <c r="D526">
        <v>1</v>
      </c>
      <c r="E526"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v>53.511830279081856</v>
      </c>
      <c r="P526">
        <v>1543.8165596502884</v>
      </c>
      <c r="Q526">
        <v>3710.2056228077104</v>
      </c>
      <c r="R526">
        <v>9832.0449004404327</v>
      </c>
      <c r="S526">
        <v>136</v>
      </c>
      <c r="T526">
        <v>0.1</v>
      </c>
      <c r="U526">
        <v>0</v>
      </c>
    </row>
    <row r="527" spans="1:21" x14ac:dyDescent="0.25">
      <c r="A527" t="s">
        <v>104</v>
      </c>
      <c r="B527" t="s">
        <v>105</v>
      </c>
      <c r="C527">
        <v>6</v>
      </c>
      <c r="D527">
        <v>1</v>
      </c>
      <c r="E527"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v>61.361617491212414</v>
      </c>
      <c r="P527">
        <v>2296.1062271517753</v>
      </c>
      <c r="Q527">
        <v>5518.1596422777584</v>
      </c>
      <c r="R527">
        <v>14623.123052036059</v>
      </c>
      <c r="S527">
        <v>136</v>
      </c>
      <c r="T527">
        <v>0.1</v>
      </c>
      <c r="U527">
        <v>0</v>
      </c>
    </row>
    <row r="528" spans="1:21" x14ac:dyDescent="0.25">
      <c r="A528" t="s">
        <v>104</v>
      </c>
      <c r="B528" t="s">
        <v>105</v>
      </c>
      <c r="C528">
        <v>7</v>
      </c>
      <c r="D528">
        <v>1</v>
      </c>
      <c r="E528"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v>68.464398684368319</v>
      </c>
      <c r="P528">
        <v>3154.5627713873805</v>
      </c>
      <c r="Q528">
        <v>7581.2611665161767</v>
      </c>
      <c r="R528">
        <v>20090.342091267867</v>
      </c>
      <c r="S528">
        <v>136</v>
      </c>
      <c r="T528">
        <v>0.1</v>
      </c>
      <c r="U528">
        <v>0</v>
      </c>
    </row>
    <row r="529" spans="1:21" x14ac:dyDescent="0.25">
      <c r="A529" t="s">
        <v>104</v>
      </c>
      <c r="B529" t="s">
        <v>105</v>
      </c>
      <c r="C529">
        <v>8</v>
      </c>
      <c r="D529">
        <v>1</v>
      </c>
      <c r="E529"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v>74.891260880057871</v>
      </c>
      <c r="P529">
        <v>4092.0560363752252</v>
      </c>
      <c r="Q529">
        <v>9834.3091477414673</v>
      </c>
      <c r="R529">
        <v>26060.919241514886</v>
      </c>
      <c r="S529">
        <v>136</v>
      </c>
      <c r="T529">
        <v>0.1</v>
      </c>
      <c r="U529">
        <v>0</v>
      </c>
    </row>
    <row r="530" spans="1:21" x14ac:dyDescent="0.25">
      <c r="A530" t="s">
        <v>104</v>
      </c>
      <c r="B530" t="s">
        <v>105</v>
      </c>
      <c r="C530">
        <v>9</v>
      </c>
      <c r="D530">
        <v>1</v>
      </c>
      <c r="E530"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v>80.70652627527852</v>
      </c>
      <c r="P530">
        <v>5083.0731391647432</v>
      </c>
      <c r="Q530">
        <v>12215.989279415388</v>
      </c>
      <c r="R530">
        <v>32372.371590450777</v>
      </c>
      <c r="S530">
        <v>136</v>
      </c>
      <c r="T530">
        <v>0.1</v>
      </c>
      <c r="U530">
        <v>0</v>
      </c>
    </row>
    <row r="531" spans="1:21" x14ac:dyDescent="0.25">
      <c r="A531" t="s">
        <v>104</v>
      </c>
      <c r="B531" t="s">
        <v>105</v>
      </c>
      <c r="C531">
        <v>10</v>
      </c>
      <c r="D531">
        <v>1</v>
      </c>
      <c r="E531"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v>85.968396000683839</v>
      </c>
      <c r="P531">
        <v>6104.8338399565846</v>
      </c>
      <c r="Q531">
        <v>14671.554530056677</v>
      </c>
      <c r="R531">
        <v>38879.619504650196</v>
      </c>
      <c r="S531">
        <v>136</v>
      </c>
      <c r="T531">
        <v>0.1</v>
      </c>
      <c r="U531">
        <v>0</v>
      </c>
    </row>
    <row r="532" spans="1:21" x14ac:dyDescent="0.25">
      <c r="A532" t="s">
        <v>106</v>
      </c>
      <c r="B532" t="s">
        <v>107</v>
      </c>
      <c r="C532">
        <v>1</v>
      </c>
      <c r="D532">
        <v>2</v>
      </c>
      <c r="E532"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v>29.25448950077212</v>
      </c>
      <c r="P532">
        <v>350.51419254962514</v>
      </c>
      <c r="Q532">
        <v>842.37969850907257</v>
      </c>
      <c r="R532">
        <v>2232.3062010490421</v>
      </c>
      <c r="S532">
        <v>62.2</v>
      </c>
      <c r="T532">
        <v>0.31</v>
      </c>
      <c r="U532">
        <v>-0.05</v>
      </c>
    </row>
    <row r="533" spans="1:21" x14ac:dyDescent="0.25">
      <c r="A533" t="s">
        <v>106</v>
      </c>
      <c r="B533" t="s">
        <v>107</v>
      </c>
      <c r="C533">
        <v>2</v>
      </c>
      <c r="D533">
        <v>2</v>
      </c>
      <c r="E533"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v>44.477145883223415</v>
      </c>
      <c r="P533">
        <v>1231.7959377121272</v>
      </c>
      <c r="Q533">
        <v>2960.3363078878328</v>
      </c>
      <c r="R533">
        <v>7844.8912159027568</v>
      </c>
      <c r="S533">
        <v>62.2</v>
      </c>
      <c r="T533">
        <v>0.31</v>
      </c>
      <c r="U533">
        <v>-0.05</v>
      </c>
    </row>
    <row r="534" spans="1:21" x14ac:dyDescent="0.25">
      <c r="A534" t="s">
        <v>106</v>
      </c>
      <c r="B534" t="s">
        <v>107</v>
      </c>
      <c r="C534">
        <v>3</v>
      </c>
      <c r="D534">
        <v>2</v>
      </c>
      <c r="E534"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v>52.666089209578161</v>
      </c>
      <c r="P534">
        <v>2045.1315425715502</v>
      </c>
      <c r="Q534">
        <v>4915.0001023108625</v>
      </c>
      <c r="R534">
        <v>13024.750271123785</v>
      </c>
      <c r="S534">
        <v>62.2</v>
      </c>
      <c r="T534">
        <v>0.31</v>
      </c>
      <c r="U534">
        <v>-0.05</v>
      </c>
    </row>
    <row r="535" spans="1:21" x14ac:dyDescent="0.25">
      <c r="A535" t="s">
        <v>106</v>
      </c>
      <c r="B535" t="s">
        <v>107</v>
      </c>
      <c r="C535">
        <v>4</v>
      </c>
      <c r="D535">
        <v>2</v>
      </c>
      <c r="E535"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v>57.071285721768724</v>
      </c>
      <c r="P535">
        <v>2602.4416775725908</v>
      </c>
      <c r="Q535">
        <v>6254.3659638851022</v>
      </c>
      <c r="R535">
        <v>16574.069804295519</v>
      </c>
      <c r="S535">
        <v>62.2</v>
      </c>
      <c r="T535">
        <v>0.31</v>
      </c>
      <c r="U535">
        <v>-0.05</v>
      </c>
    </row>
    <row r="536" spans="1:21" x14ac:dyDescent="0.25">
      <c r="A536" t="s">
        <v>106</v>
      </c>
      <c r="B536" t="s">
        <v>107</v>
      </c>
      <c r="C536">
        <v>5</v>
      </c>
      <c r="D536">
        <v>2</v>
      </c>
      <c r="E536"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v>59.441036682013106</v>
      </c>
      <c r="P536">
        <v>2940.2696501024207</v>
      </c>
      <c r="Q536">
        <v>7066.257270133191</v>
      </c>
      <c r="R536">
        <v>18725.581765852956</v>
      </c>
      <c r="S536">
        <v>62.2</v>
      </c>
      <c r="T536">
        <v>0.31</v>
      </c>
      <c r="U536">
        <v>-0.05</v>
      </c>
    </row>
    <row r="537" spans="1:21" x14ac:dyDescent="0.25">
      <c r="A537" t="s">
        <v>106</v>
      </c>
      <c r="B537" t="s">
        <v>107</v>
      </c>
      <c r="C537">
        <v>6</v>
      </c>
      <c r="D537">
        <v>2</v>
      </c>
      <c r="E537"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v>60.715831029561201</v>
      </c>
      <c r="P537">
        <v>3133.5300703345247</v>
      </c>
      <c r="Q537">
        <v>7530.7139397609344</v>
      </c>
      <c r="R537">
        <v>19956.391940366477</v>
      </c>
      <c r="S537">
        <v>62.2</v>
      </c>
      <c r="T537">
        <v>0.31</v>
      </c>
      <c r="U537">
        <v>-0.05</v>
      </c>
    </row>
    <row r="538" spans="1:21" x14ac:dyDescent="0.25">
      <c r="A538" t="s">
        <v>106</v>
      </c>
      <c r="B538" t="s">
        <v>107</v>
      </c>
      <c r="C538">
        <v>7</v>
      </c>
      <c r="D538">
        <v>2</v>
      </c>
      <c r="E538"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v>61.401599557901832</v>
      </c>
      <c r="P538">
        <v>3240.9108939090565</v>
      </c>
      <c r="Q538">
        <v>7788.7788846648809</v>
      </c>
      <c r="R538">
        <v>20640.264044361935</v>
      </c>
      <c r="S538">
        <v>62.2</v>
      </c>
      <c r="T538">
        <v>0.31</v>
      </c>
      <c r="U538">
        <v>-0.05</v>
      </c>
    </row>
    <row r="539" spans="1:21" x14ac:dyDescent="0.25">
      <c r="A539" t="s">
        <v>106</v>
      </c>
      <c r="B539" t="s">
        <v>107</v>
      </c>
      <c r="C539">
        <v>8</v>
      </c>
      <c r="D539">
        <v>2</v>
      </c>
      <c r="E539"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v>61.770504923200164</v>
      </c>
      <c r="P539">
        <v>3299.6774570688749</v>
      </c>
      <c r="Q539">
        <v>7930.0107115329847</v>
      </c>
      <c r="R539">
        <v>21014.528385562407</v>
      </c>
      <c r="S539">
        <v>62.2</v>
      </c>
      <c r="T539">
        <v>0.31</v>
      </c>
      <c r="U539">
        <v>-0.05</v>
      </c>
    </row>
    <row r="540" spans="1:21" x14ac:dyDescent="0.25">
      <c r="A540" t="s">
        <v>106</v>
      </c>
      <c r="B540" t="s">
        <v>107</v>
      </c>
      <c r="C540">
        <v>9</v>
      </c>
      <c r="D540">
        <v>2</v>
      </c>
      <c r="E540"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v>61.968955512461228</v>
      </c>
      <c r="P540">
        <v>3331.5824387885464</v>
      </c>
      <c r="Q540">
        <v>8006.686947340896</v>
      </c>
      <c r="R540">
        <v>21217.720410453374</v>
      </c>
      <c r="S540">
        <v>62.2</v>
      </c>
      <c r="T540">
        <v>0.31</v>
      </c>
      <c r="U540">
        <v>-0.05</v>
      </c>
    </row>
    <row r="541" spans="1:21" x14ac:dyDescent="0.25">
      <c r="A541" t="s">
        <v>106</v>
      </c>
      <c r="B541" t="s">
        <v>107</v>
      </c>
      <c r="C541">
        <v>10</v>
      </c>
      <c r="D541">
        <v>2</v>
      </c>
      <c r="E541"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v>62.075710903091611</v>
      </c>
      <c r="P541">
        <v>3348.8303064528977</v>
      </c>
      <c r="Q541">
        <v>8048.1382034436365</v>
      </c>
      <c r="R541">
        <v>21327.566239125637</v>
      </c>
      <c r="S541">
        <v>62.2</v>
      </c>
      <c r="T541">
        <v>0.31</v>
      </c>
      <c r="U541">
        <v>-0.05</v>
      </c>
    </row>
    <row r="542" spans="1:21" x14ac:dyDescent="0.25">
      <c r="A542" t="s">
        <v>108</v>
      </c>
      <c r="B542" t="s">
        <v>109</v>
      </c>
      <c r="C542">
        <v>1</v>
      </c>
      <c r="D542">
        <v>2</v>
      </c>
      <c r="E542"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v>13.020111467216152</v>
      </c>
      <c r="P542">
        <v>20.276843800880997</v>
      </c>
      <c r="Q542">
        <v>48.730698872581094</v>
      </c>
      <c r="R542">
        <v>129.1363520123399</v>
      </c>
      <c r="S542">
        <v>158</v>
      </c>
      <c r="T542">
        <v>4.2999999999999997E-2</v>
      </c>
      <c r="U542">
        <v>0</v>
      </c>
    </row>
    <row r="543" spans="1:21" x14ac:dyDescent="0.25">
      <c r="A543" t="s">
        <v>108</v>
      </c>
      <c r="B543" t="s">
        <v>109</v>
      </c>
      <c r="C543">
        <v>2</v>
      </c>
      <c r="D543">
        <v>2</v>
      </c>
      <c r="E543"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v>24.967290639377016</v>
      </c>
      <c r="P543">
        <v>132.23295204481903</v>
      </c>
      <c r="Q543">
        <v>317.79128104979344</v>
      </c>
      <c r="R543">
        <v>842.1468947819526</v>
      </c>
      <c r="S543">
        <v>158</v>
      </c>
      <c r="T543">
        <v>4.2999999999999997E-2</v>
      </c>
      <c r="U543">
        <v>0</v>
      </c>
    </row>
    <row r="544" spans="1:21" x14ac:dyDescent="0.25">
      <c r="A544" t="s">
        <v>108</v>
      </c>
      <c r="B544" t="s">
        <v>109</v>
      </c>
      <c r="C544">
        <v>3</v>
      </c>
      <c r="D544">
        <v>2</v>
      </c>
      <c r="E544"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v>35.929953327105366</v>
      </c>
      <c r="P544">
        <v>377.24646058580981</v>
      </c>
      <c r="Q544">
        <v>906.624514745998</v>
      </c>
      <c r="R544">
        <v>2402.5549640768945</v>
      </c>
      <c r="S544">
        <v>158</v>
      </c>
      <c r="T544">
        <v>4.2999999999999997E-2</v>
      </c>
      <c r="U544">
        <v>0</v>
      </c>
    </row>
    <row r="545" spans="1:21" x14ac:dyDescent="0.25">
      <c r="A545" t="s">
        <v>108</v>
      </c>
      <c r="B545" t="s">
        <v>109</v>
      </c>
      <c r="C545">
        <v>4</v>
      </c>
      <c r="D545">
        <v>2</v>
      </c>
      <c r="E545"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v>45.989229368177291</v>
      </c>
      <c r="P545">
        <v>767.99726584738755</v>
      </c>
      <c r="Q545">
        <v>1845.703594922825</v>
      </c>
      <c r="R545">
        <v>4891.1145265454861</v>
      </c>
      <c r="S545">
        <v>158</v>
      </c>
      <c r="T545">
        <v>4.2999999999999997E-2</v>
      </c>
      <c r="U545">
        <v>0</v>
      </c>
    </row>
    <row r="546" spans="1:21" x14ac:dyDescent="0.25">
      <c r="A546" t="s">
        <v>108</v>
      </c>
      <c r="B546" t="s">
        <v>109</v>
      </c>
      <c r="C546">
        <v>5</v>
      </c>
      <c r="D546">
        <v>2</v>
      </c>
      <c r="E546"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v>55.219563033715971</v>
      </c>
      <c r="P546">
        <v>1300.5820447465842</v>
      </c>
      <c r="Q546">
        <v>3125.6477883840048</v>
      </c>
      <c r="R546">
        <v>8282.9666392176132</v>
      </c>
      <c r="S546">
        <v>158</v>
      </c>
      <c r="T546">
        <v>4.2999999999999997E-2</v>
      </c>
      <c r="U546">
        <v>0</v>
      </c>
    </row>
    <row r="547" spans="1:21" x14ac:dyDescent="0.25">
      <c r="A547" t="s">
        <v>108</v>
      </c>
      <c r="B547" t="s">
        <v>109</v>
      </c>
      <c r="C547">
        <v>6</v>
      </c>
      <c r="D547">
        <v>2</v>
      </c>
      <c r="E547"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v>63.689263957451438</v>
      </c>
      <c r="P547">
        <v>1961.6465330109577</v>
      </c>
      <c r="Q547">
        <v>4714.3632131962449</v>
      </c>
      <c r="R547">
        <v>12493.062514970048</v>
      </c>
      <c r="S547">
        <v>158</v>
      </c>
      <c r="T547">
        <v>4.2999999999999997E-2</v>
      </c>
      <c r="U547">
        <v>0</v>
      </c>
    </row>
    <row r="548" spans="1:21" x14ac:dyDescent="0.25">
      <c r="A548" t="s">
        <v>108</v>
      </c>
      <c r="B548" t="s">
        <v>109</v>
      </c>
      <c r="C548">
        <v>7</v>
      </c>
      <c r="D548">
        <v>2</v>
      </c>
      <c r="E548"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v>71.461012665231053</v>
      </c>
      <c r="P548">
        <v>2732.9344287040649</v>
      </c>
      <c r="Q548">
        <v>6567.9750749917439</v>
      </c>
      <c r="R548">
        <v>17405.133948728122</v>
      </c>
      <c r="S548">
        <v>158</v>
      </c>
      <c r="T548">
        <v>4.2999999999999997E-2</v>
      </c>
      <c r="U548">
        <v>0</v>
      </c>
    </row>
    <row r="549" spans="1:21" x14ac:dyDescent="0.25">
      <c r="A549" t="s">
        <v>108</v>
      </c>
      <c r="B549" t="s">
        <v>109</v>
      </c>
      <c r="C549">
        <v>8</v>
      </c>
      <c r="D549">
        <v>2</v>
      </c>
      <c r="E549"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v>78.592324445982314</v>
      </c>
      <c r="P549">
        <v>3594.2211705995564</v>
      </c>
      <c r="Q549">
        <v>8637.8783239595214</v>
      </c>
      <c r="R549">
        <v>22890.377558492732</v>
      </c>
      <c r="S549">
        <v>158</v>
      </c>
      <c r="T549">
        <v>4.2999999999999997E-2</v>
      </c>
      <c r="U549">
        <v>0</v>
      </c>
    </row>
    <row r="550" spans="1:21" x14ac:dyDescent="0.25">
      <c r="A550" t="s">
        <v>108</v>
      </c>
      <c r="B550" t="s">
        <v>109</v>
      </c>
      <c r="C550">
        <v>9</v>
      </c>
      <c r="D550">
        <v>2</v>
      </c>
      <c r="E550"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v>85.135974997031965</v>
      </c>
      <c r="P550">
        <v>4525.1791917625033</v>
      </c>
      <c r="Q550">
        <v>10875.220359919498</v>
      </c>
      <c r="R550">
        <v>28819.33395378667</v>
      </c>
      <c r="S550">
        <v>158</v>
      </c>
      <c r="T550">
        <v>4.2999999999999997E-2</v>
      </c>
      <c r="U550">
        <v>0</v>
      </c>
    </row>
    <row r="551" spans="1:21" x14ac:dyDescent="0.25">
      <c r="A551" t="s">
        <v>108</v>
      </c>
      <c r="B551" t="s">
        <v>109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v>91.140390993795677</v>
      </c>
      <c r="P551">
        <v>5506.5218729766148</v>
      </c>
      <c r="Q551">
        <v>13233.650259496793</v>
      </c>
      <c r="R551">
        <v>35069.1731876665</v>
      </c>
      <c r="S551">
        <v>158</v>
      </c>
      <c r="T551">
        <v>4.2999999999999997E-2</v>
      </c>
      <c r="U551">
        <v>0</v>
      </c>
    </row>
    <row r="552" spans="1:21" x14ac:dyDescent="0.25">
      <c r="A552" t="s">
        <v>110</v>
      </c>
      <c r="B552" t="s">
        <v>111</v>
      </c>
      <c r="C552">
        <v>1</v>
      </c>
      <c r="D552">
        <v>2</v>
      </c>
      <c r="E552"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v>15.066373896171283</v>
      </c>
      <c r="P552">
        <v>36.505086715089078</v>
      </c>
      <c r="Q552">
        <v>87.731522987476765</v>
      </c>
      <c r="R552">
        <v>232.48853591681342</v>
      </c>
      <c r="S552">
        <v>45.7</v>
      </c>
      <c r="T552">
        <v>0.2</v>
      </c>
      <c r="U552">
        <v>0</v>
      </c>
    </row>
    <row r="553" spans="1:21" x14ac:dyDescent="0.25">
      <c r="A553" t="s">
        <v>110</v>
      </c>
      <c r="B553" t="s">
        <v>111</v>
      </c>
      <c r="C553">
        <v>2</v>
      </c>
      <c r="D553">
        <v>2</v>
      </c>
      <c r="E553"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v>25.165666339842975</v>
      </c>
      <c r="P553">
        <v>161.61158694284325</v>
      </c>
      <c r="Q553">
        <v>388.39602725989727</v>
      </c>
      <c r="R553">
        <v>1029.2494722387278</v>
      </c>
      <c r="S553">
        <v>45.7</v>
      </c>
      <c r="T553">
        <v>0.2</v>
      </c>
      <c r="U553">
        <v>0</v>
      </c>
    </row>
    <row r="554" spans="1:21" x14ac:dyDescent="0.25">
      <c r="A554" t="s">
        <v>110</v>
      </c>
      <c r="B554" t="s">
        <v>111</v>
      </c>
      <c r="C554">
        <v>3</v>
      </c>
      <c r="D554">
        <v>2</v>
      </c>
      <c r="E554"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v>31.935424515612372</v>
      </c>
      <c r="P554">
        <v>322.49192680133109</v>
      </c>
      <c r="Q554">
        <v>775.03467147640254</v>
      </c>
      <c r="R554">
        <v>2053.8418794124668</v>
      </c>
      <c r="S554">
        <v>45.7</v>
      </c>
      <c r="T554">
        <v>0.2</v>
      </c>
      <c r="U554">
        <v>0</v>
      </c>
    </row>
    <row r="555" spans="1:21" x14ac:dyDescent="0.25">
      <c r="A555" t="s">
        <v>110</v>
      </c>
      <c r="B555" t="s">
        <v>111</v>
      </c>
      <c r="C555">
        <v>4</v>
      </c>
      <c r="D555">
        <v>2</v>
      </c>
      <c r="E555"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v>36.473329127644256</v>
      </c>
      <c r="P555">
        <v>474.0855431269286</v>
      </c>
      <c r="Q555">
        <v>1139.3548260680811</v>
      </c>
      <c r="R555">
        <v>3019.2902890804148</v>
      </c>
      <c r="S555">
        <v>45.7</v>
      </c>
      <c r="T555">
        <v>0.2</v>
      </c>
      <c r="U555">
        <v>0</v>
      </c>
    </row>
    <row r="556" spans="1:21" x14ac:dyDescent="0.25">
      <c r="A556" t="s">
        <v>110</v>
      </c>
      <c r="B556" t="s">
        <v>111</v>
      </c>
      <c r="C556">
        <v>5</v>
      </c>
      <c r="D556">
        <v>2</v>
      </c>
      <c r="E556"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v>39.515177556086805</v>
      </c>
      <c r="P556">
        <v>598.05820783112767</v>
      </c>
      <c r="Q556">
        <v>1437.2944192048249</v>
      </c>
      <c r="R556">
        <v>3808.8302108927855</v>
      </c>
      <c r="S556">
        <v>45.7</v>
      </c>
      <c r="T556">
        <v>0.2</v>
      </c>
      <c r="U556">
        <v>0</v>
      </c>
    </row>
    <row r="557" spans="1:21" x14ac:dyDescent="0.25">
      <c r="A557" t="s">
        <v>110</v>
      </c>
      <c r="B557" t="s">
        <v>111</v>
      </c>
      <c r="C557">
        <v>6</v>
      </c>
      <c r="D557">
        <v>2</v>
      </c>
      <c r="E557"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v>41.554189534673853</v>
      </c>
      <c r="P557">
        <v>692.00782131257438</v>
      </c>
      <c r="Q557">
        <v>1663.0805607127479</v>
      </c>
      <c r="R557">
        <v>4407.1634858887819</v>
      </c>
      <c r="S557">
        <v>45.7</v>
      </c>
      <c r="T557">
        <v>0.2</v>
      </c>
      <c r="U557">
        <v>0</v>
      </c>
    </row>
    <row r="558" spans="1:21" x14ac:dyDescent="0.25">
      <c r="A558" t="s">
        <v>110</v>
      </c>
      <c r="B558" t="s">
        <v>111</v>
      </c>
      <c r="C558">
        <v>7</v>
      </c>
      <c r="D558">
        <v>2</v>
      </c>
      <c r="E558"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v>42.920980138027545</v>
      </c>
      <c r="P558">
        <v>760.09865717706373</v>
      </c>
      <c r="Q558">
        <v>1826.7211179453586</v>
      </c>
      <c r="R558">
        <v>4840.8109625552006</v>
      </c>
      <c r="S558">
        <v>45.7</v>
      </c>
      <c r="T558">
        <v>0.2</v>
      </c>
      <c r="U558">
        <v>0</v>
      </c>
    </row>
    <row r="559" spans="1:21" x14ac:dyDescent="0.25">
      <c r="A559" t="s">
        <v>110</v>
      </c>
      <c r="B559" t="s">
        <v>111</v>
      </c>
      <c r="C559">
        <v>8</v>
      </c>
      <c r="D559">
        <v>2</v>
      </c>
      <c r="E559"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v>43.837167278188666</v>
      </c>
      <c r="P559">
        <v>808.11140356816679</v>
      </c>
      <c r="Q559">
        <v>1942.1086363089805</v>
      </c>
      <c r="R559">
        <v>5146.5878862187983</v>
      </c>
      <c r="S559">
        <v>45.7</v>
      </c>
      <c r="T559">
        <v>0.2</v>
      </c>
      <c r="U559">
        <v>0</v>
      </c>
    </row>
    <row r="560" spans="1:21" x14ac:dyDescent="0.25">
      <c r="A560" t="s">
        <v>110</v>
      </c>
      <c r="B560" t="s">
        <v>111</v>
      </c>
      <c r="C560">
        <v>9</v>
      </c>
      <c r="D560">
        <v>2</v>
      </c>
      <c r="E560"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v>44.451305884158735</v>
      </c>
      <c r="P560">
        <v>841.38188165621079</v>
      </c>
      <c r="Q560">
        <v>2022.0665264508791</v>
      </c>
      <c r="R560">
        <v>5358.4762950948298</v>
      </c>
      <c r="S560">
        <v>45.7</v>
      </c>
      <c r="T560">
        <v>0.2</v>
      </c>
      <c r="U560">
        <v>0</v>
      </c>
    </row>
    <row r="561" spans="1:21" x14ac:dyDescent="0.25">
      <c r="A561" t="s">
        <v>110</v>
      </c>
      <c r="B561" t="s">
        <v>111</v>
      </c>
      <c r="C561">
        <v>10</v>
      </c>
      <c r="D561">
        <v>2</v>
      </c>
      <c r="E561"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v>44.862975302784847</v>
      </c>
      <c r="P561">
        <v>864.17847758364348</v>
      </c>
      <c r="Q561">
        <v>2076.8528660986385</v>
      </c>
      <c r="R561">
        <v>5503.6600951613918</v>
      </c>
      <c r="S561">
        <v>45.7</v>
      </c>
      <c r="T561">
        <v>0.2</v>
      </c>
      <c r="U561">
        <v>0</v>
      </c>
    </row>
    <row r="562" spans="1:21" x14ac:dyDescent="0.25">
      <c r="A562" t="s">
        <v>112</v>
      </c>
      <c r="B562" t="s">
        <v>113</v>
      </c>
      <c r="C562">
        <v>1</v>
      </c>
      <c r="D562">
        <v>3</v>
      </c>
      <c r="E562"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v>29.546722842284161</v>
      </c>
      <c r="P562">
        <v>459.60273867480845</v>
      </c>
      <c r="Q562">
        <v>1104.5487591319595</v>
      </c>
      <c r="R562">
        <v>2927.0542116996926</v>
      </c>
      <c r="S562">
        <v>114</v>
      </c>
      <c r="T562">
        <v>0.1</v>
      </c>
      <c r="U562">
        <v>0</v>
      </c>
    </row>
    <row r="563" spans="1:21" x14ac:dyDescent="0.25">
      <c r="A563" t="s">
        <v>112</v>
      </c>
      <c r="B563" t="s">
        <v>113</v>
      </c>
      <c r="C563">
        <v>2</v>
      </c>
      <c r="D563">
        <v>3</v>
      </c>
      <c r="E563"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v>51.435473485280994</v>
      </c>
      <c r="P563">
        <v>2562.820689226774</v>
      </c>
      <c r="Q563">
        <v>6159.1460928305069</v>
      </c>
      <c r="R563">
        <v>16321.737146000843</v>
      </c>
      <c r="S563">
        <v>114</v>
      </c>
      <c r="T563">
        <v>0.1</v>
      </c>
      <c r="U563">
        <v>0</v>
      </c>
    </row>
    <row r="564" spans="1:21" x14ac:dyDescent="0.25">
      <c r="A564" t="s">
        <v>112</v>
      </c>
      <c r="B564" t="s">
        <v>113</v>
      </c>
      <c r="C564">
        <v>3</v>
      </c>
      <c r="D564">
        <v>3</v>
      </c>
      <c r="E564"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v>67.651058789571707</v>
      </c>
      <c r="P564">
        <v>5993.1476155814644</v>
      </c>
      <c r="Q564">
        <v>14403.142551265233</v>
      </c>
      <c r="R564">
        <v>38168.327760852866</v>
      </c>
      <c r="S564">
        <v>114</v>
      </c>
      <c r="T564">
        <v>0.1</v>
      </c>
      <c r="U564">
        <v>0</v>
      </c>
    </row>
    <row r="565" spans="1:21" x14ac:dyDescent="0.25">
      <c r="A565" t="s">
        <v>112</v>
      </c>
      <c r="B565" t="s">
        <v>113</v>
      </c>
      <c r="C565">
        <v>4</v>
      </c>
      <c r="D565">
        <v>3</v>
      </c>
      <c r="E565"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v>79.663859842008975</v>
      </c>
      <c r="P565">
        <v>9947.4986753603225</v>
      </c>
      <c r="Q565">
        <v>23906.509674021447</v>
      </c>
      <c r="R565">
        <v>63352.25063615683</v>
      </c>
      <c r="S565">
        <v>114</v>
      </c>
      <c r="T565">
        <v>0.1</v>
      </c>
      <c r="U565">
        <v>0</v>
      </c>
    </row>
    <row r="566" spans="1:21" x14ac:dyDescent="0.25">
      <c r="A566" t="s">
        <v>112</v>
      </c>
      <c r="B566" t="s">
        <v>113</v>
      </c>
      <c r="C566">
        <v>5</v>
      </c>
      <c r="D566">
        <v>3</v>
      </c>
      <c r="E566"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v>88.563161743079007</v>
      </c>
      <c r="P566">
        <v>13813.011397614886</v>
      </c>
      <c r="Q566">
        <v>33196.374423491674</v>
      </c>
      <c r="R566">
        <v>87970.392222252936</v>
      </c>
      <c r="S566">
        <v>114</v>
      </c>
      <c r="T566">
        <v>0.1</v>
      </c>
      <c r="U566">
        <v>0</v>
      </c>
    </row>
    <row r="567" spans="1:21" x14ac:dyDescent="0.25">
      <c r="A567" t="s">
        <v>112</v>
      </c>
      <c r="B567" t="s">
        <v>113</v>
      </c>
      <c r="C567">
        <v>6</v>
      </c>
      <c r="D567">
        <v>3</v>
      </c>
      <c r="E567"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v>95.155926742739126</v>
      </c>
      <c r="P567">
        <v>17256.584213301328</v>
      </c>
      <c r="Q567">
        <v>41472.204309784494</v>
      </c>
      <c r="R567">
        <v>109901.3414209289</v>
      </c>
      <c r="S567">
        <v>114</v>
      </c>
      <c r="T567">
        <v>0.1</v>
      </c>
      <c r="U567">
        <v>0</v>
      </c>
    </row>
    <row r="568" spans="1:21" x14ac:dyDescent="0.25">
      <c r="A568" t="s">
        <v>112</v>
      </c>
      <c r="B568" t="s">
        <v>113</v>
      </c>
      <c r="C568">
        <v>7</v>
      </c>
      <c r="D568">
        <v>3</v>
      </c>
      <c r="E568"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v>100.03996717916007</v>
      </c>
      <c r="P568">
        <v>20153.092430026416</v>
      </c>
      <c r="Q568">
        <v>48433.291107970232</v>
      </c>
      <c r="R568">
        <v>128348.22143612111</v>
      </c>
      <c r="S568">
        <v>114</v>
      </c>
      <c r="T568">
        <v>0.1</v>
      </c>
      <c r="U568">
        <v>0</v>
      </c>
    </row>
    <row r="569" spans="1:21" x14ac:dyDescent="0.25">
      <c r="A569" t="s">
        <v>112</v>
      </c>
      <c r="B569" t="s">
        <v>113</v>
      </c>
      <c r="C569">
        <v>8</v>
      </c>
      <c r="D569">
        <v>3</v>
      </c>
      <c r="E569"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v>103.65815332500698</v>
      </c>
      <c r="P569">
        <v>22499.58307196404</v>
      </c>
      <c r="Q569">
        <v>54072.538024426911</v>
      </c>
      <c r="R569">
        <v>143292.22576473129</v>
      </c>
      <c r="S569">
        <v>114</v>
      </c>
      <c r="T569">
        <v>0.1</v>
      </c>
      <c r="U569">
        <v>0</v>
      </c>
    </row>
    <row r="570" spans="1:21" x14ac:dyDescent="0.25">
      <c r="A570" t="s">
        <v>112</v>
      </c>
      <c r="B570" t="s">
        <v>113</v>
      </c>
      <c r="C570">
        <v>9</v>
      </c>
      <c r="D570">
        <v>3</v>
      </c>
      <c r="E570"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v>106.33857154766854</v>
      </c>
      <c r="P570">
        <v>24352.596306280138</v>
      </c>
      <c r="Q570">
        <v>58525.826258784276</v>
      </c>
      <c r="R570">
        <v>155093.43958577834</v>
      </c>
      <c r="S570">
        <v>114</v>
      </c>
      <c r="T570">
        <v>0.1</v>
      </c>
      <c r="U570">
        <v>0</v>
      </c>
    </row>
    <row r="571" spans="1:21" x14ac:dyDescent="0.25">
      <c r="A571" t="s">
        <v>112</v>
      </c>
      <c r="B571" t="s">
        <v>113</v>
      </c>
      <c r="C571">
        <v>10</v>
      </c>
      <c r="D571">
        <v>3</v>
      </c>
      <c r="E571"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v>108.32427420606351</v>
      </c>
      <c r="P571">
        <v>25790.137840376858</v>
      </c>
      <c r="Q571">
        <v>61980.624466178459</v>
      </c>
      <c r="R571">
        <v>164248.6548353729</v>
      </c>
      <c r="S571">
        <v>114</v>
      </c>
      <c r="T571">
        <v>0.1</v>
      </c>
      <c r="U571">
        <v>0</v>
      </c>
    </row>
    <row r="572" spans="1:21" x14ac:dyDescent="0.25">
      <c r="A572" t="s">
        <v>114</v>
      </c>
      <c r="B572" t="s">
        <v>115</v>
      </c>
      <c r="C572">
        <v>1</v>
      </c>
      <c r="D572">
        <v>2</v>
      </c>
      <c r="E572"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v>10.867623885161221</v>
      </c>
      <c r="P572">
        <v>15.402281088118915</v>
      </c>
      <c r="Q572">
        <v>37.015816121410516</v>
      </c>
      <c r="R572">
        <v>98.09191272173787</v>
      </c>
      <c r="S572">
        <v>60.5</v>
      </c>
      <c r="T572">
        <v>9.9000000000000005E-2</v>
      </c>
      <c r="U572">
        <v>0</v>
      </c>
    </row>
    <row r="573" spans="1:21" x14ac:dyDescent="0.25">
      <c r="A573" t="s">
        <v>114</v>
      </c>
      <c r="B573" t="s">
        <v>115</v>
      </c>
      <c r="C573">
        <v>2</v>
      </c>
      <c r="D573">
        <v>2</v>
      </c>
      <c r="E573"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v>19.783094895788125</v>
      </c>
      <c r="P573">
        <v>92.910318473838259</v>
      </c>
      <c r="Q573">
        <v>223.28843661100279</v>
      </c>
      <c r="R573">
        <v>591.71435701915743</v>
      </c>
      <c r="S573">
        <v>60.5</v>
      </c>
      <c r="T573">
        <v>9.9000000000000005E-2</v>
      </c>
      <c r="U573">
        <v>0</v>
      </c>
    </row>
    <row r="574" spans="1:21" x14ac:dyDescent="0.25">
      <c r="A574" t="s">
        <v>114</v>
      </c>
      <c r="B574" t="s">
        <v>115</v>
      </c>
      <c r="C574">
        <v>3</v>
      </c>
      <c r="D574">
        <v>2</v>
      </c>
      <c r="E574"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v>27.097078539430697</v>
      </c>
      <c r="P574">
        <v>238.75290053153907</v>
      </c>
      <c r="Q574">
        <v>573.7873120200411</v>
      </c>
      <c r="R574">
        <v>1520.5363768531088</v>
      </c>
      <c r="S574">
        <v>60.5</v>
      </c>
      <c r="T574">
        <v>9.9000000000000005E-2</v>
      </c>
      <c r="U574">
        <v>0</v>
      </c>
    </row>
    <row r="575" spans="1:21" x14ac:dyDescent="0.25">
      <c r="A575" t="s">
        <v>114</v>
      </c>
      <c r="B575" t="s">
        <v>115</v>
      </c>
      <c r="C575">
        <v>4</v>
      </c>
      <c r="D575">
        <v>2</v>
      </c>
      <c r="E575"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v>33.097250227018264</v>
      </c>
      <c r="P575">
        <v>435.06784457378302</v>
      </c>
      <c r="Q575">
        <v>1045.5848223354553</v>
      </c>
      <c r="R575">
        <v>2770.7997791889566</v>
      </c>
      <c r="S575">
        <v>60.5</v>
      </c>
      <c r="T575">
        <v>9.9000000000000005E-2</v>
      </c>
      <c r="U575">
        <v>0</v>
      </c>
    </row>
    <row r="576" spans="1:21" x14ac:dyDescent="0.25">
      <c r="A576" t="s">
        <v>114</v>
      </c>
      <c r="B576" t="s">
        <v>115</v>
      </c>
      <c r="C576">
        <v>5</v>
      </c>
      <c r="D576">
        <v>2</v>
      </c>
      <c r="E576"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v>38.019610193166237</v>
      </c>
      <c r="P576">
        <v>659.48394244968597</v>
      </c>
      <c r="Q576">
        <v>1584.916948929791</v>
      </c>
      <c r="R576">
        <v>4200.0299146639463</v>
      </c>
      <c r="S576">
        <v>60.5</v>
      </c>
      <c r="T576">
        <v>9.9000000000000005E-2</v>
      </c>
      <c r="U576">
        <v>0</v>
      </c>
    </row>
    <row r="577" spans="1:21" x14ac:dyDescent="0.25">
      <c r="A577" t="s">
        <v>114</v>
      </c>
      <c r="B577" t="s">
        <v>115</v>
      </c>
      <c r="C577">
        <v>6</v>
      </c>
      <c r="D577">
        <v>2</v>
      </c>
      <c r="E577"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v>42.057765915686595</v>
      </c>
      <c r="P577">
        <v>892.72941441720616</v>
      </c>
      <c r="Q577">
        <v>2145.4684316683638</v>
      </c>
      <c r="R577">
        <v>5685.4913439211641</v>
      </c>
      <c r="S577">
        <v>60.5</v>
      </c>
      <c r="T577">
        <v>9.9000000000000005E-2</v>
      </c>
      <c r="U577">
        <v>0</v>
      </c>
    </row>
    <row r="578" spans="1:21" x14ac:dyDescent="0.25">
      <c r="A578" t="s">
        <v>114</v>
      </c>
      <c r="B578" t="s">
        <v>115</v>
      </c>
      <c r="C578">
        <v>7</v>
      </c>
      <c r="D578">
        <v>2</v>
      </c>
      <c r="E578"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v>45.370547132718308</v>
      </c>
      <c r="P578">
        <v>1120.7359308992993</v>
      </c>
      <c r="Q578">
        <v>2693.429298003603</v>
      </c>
      <c r="R578">
        <v>7137.5876397095481</v>
      </c>
      <c r="S578">
        <v>60.5</v>
      </c>
      <c r="T578">
        <v>9.9000000000000005E-2</v>
      </c>
      <c r="U578">
        <v>0</v>
      </c>
    </row>
    <row r="579" spans="1:21" x14ac:dyDescent="0.25">
      <c r="A579" t="s">
        <v>114</v>
      </c>
      <c r="B579" t="s">
        <v>115</v>
      </c>
      <c r="C579">
        <v>8</v>
      </c>
      <c r="D579">
        <v>2</v>
      </c>
      <c r="E579"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v>48.088252973212384</v>
      </c>
      <c r="P579">
        <v>1334.4375215373411</v>
      </c>
      <c r="Q579">
        <v>3207.0115874485491</v>
      </c>
      <c r="R579">
        <v>8498.580706738654</v>
      </c>
      <c r="S579">
        <v>60.5</v>
      </c>
      <c r="T579">
        <v>9.9000000000000005E-2</v>
      </c>
      <c r="U579">
        <v>0</v>
      </c>
    </row>
    <row r="580" spans="1:21" x14ac:dyDescent="0.25">
      <c r="A580" t="s">
        <v>114</v>
      </c>
      <c r="B580" t="s">
        <v>115</v>
      </c>
      <c r="C580">
        <v>9</v>
      </c>
      <c r="D580">
        <v>2</v>
      </c>
      <c r="E580"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v>50.317776914450334</v>
      </c>
      <c r="P580">
        <v>1528.7820752793925</v>
      </c>
      <c r="Q580">
        <v>3674.0737209310082</v>
      </c>
      <c r="R580">
        <v>9736.2953604671711</v>
      </c>
      <c r="S580">
        <v>60.5</v>
      </c>
      <c r="T580">
        <v>9.9000000000000005E-2</v>
      </c>
      <c r="U580">
        <v>0</v>
      </c>
    </row>
    <row r="581" spans="1:21" x14ac:dyDescent="0.25">
      <c r="A581" t="s">
        <v>114</v>
      </c>
      <c r="B581" t="s">
        <v>115</v>
      </c>
      <c r="C581">
        <v>10</v>
      </c>
      <c r="D581">
        <v>2</v>
      </c>
      <c r="E581"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v>52.146811142690986</v>
      </c>
      <c r="P581">
        <v>1701.6275700194089</v>
      </c>
      <c r="Q581">
        <v>4089.4678443148491</v>
      </c>
      <c r="R581">
        <v>10837.08978743435</v>
      </c>
      <c r="S581">
        <v>60.5</v>
      </c>
      <c r="T581">
        <v>9.9000000000000005E-2</v>
      </c>
      <c r="U581">
        <v>0</v>
      </c>
    </row>
    <row r="582" spans="1:21" x14ac:dyDescent="0.25">
      <c r="A582" t="s">
        <v>116</v>
      </c>
      <c r="B582" t="s">
        <v>117</v>
      </c>
      <c r="C582">
        <v>1</v>
      </c>
      <c r="D582">
        <v>1</v>
      </c>
      <c r="E582"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v>14.233095682372005</v>
      </c>
      <c r="P582">
        <v>22.34674294714781</v>
      </c>
      <c r="Q582">
        <v>53.705222175313168</v>
      </c>
      <c r="R582">
        <v>142.31883876457988</v>
      </c>
      <c r="S582">
        <v>50</v>
      </c>
      <c r="T582">
        <v>0.33500000000000002</v>
      </c>
      <c r="U582">
        <v>0</v>
      </c>
    </row>
    <row r="583" spans="1:21" x14ac:dyDescent="0.25">
      <c r="A583" t="s">
        <v>116</v>
      </c>
      <c r="B583" t="s">
        <v>117</v>
      </c>
      <c r="C583">
        <v>2</v>
      </c>
      <c r="D583">
        <v>1</v>
      </c>
      <c r="E583"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v>24.414571110672878</v>
      </c>
      <c r="P583">
        <v>102.34826230305337</v>
      </c>
      <c r="Q583">
        <v>245.97034920224314</v>
      </c>
      <c r="R583">
        <v>651.82142538594428</v>
      </c>
      <c r="S583">
        <v>50</v>
      </c>
      <c r="T583">
        <v>0.33500000000000002</v>
      </c>
      <c r="U583">
        <v>0</v>
      </c>
    </row>
    <row r="584" spans="1:21" x14ac:dyDescent="0.25">
      <c r="A584" t="s">
        <v>116</v>
      </c>
      <c r="B584" t="s">
        <v>117</v>
      </c>
      <c r="C584">
        <v>3</v>
      </c>
      <c r="D584">
        <v>1</v>
      </c>
      <c r="E584"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v>31.697768259799229</v>
      </c>
      <c r="P584">
        <v>213.70314200022767</v>
      </c>
      <c r="Q584">
        <v>513.58601778473371</v>
      </c>
      <c r="R584">
        <v>1361.0029471295443</v>
      </c>
      <c r="S584">
        <v>50</v>
      </c>
      <c r="T584">
        <v>0.33500000000000002</v>
      </c>
      <c r="U584">
        <v>0</v>
      </c>
    </row>
    <row r="585" spans="1:21" x14ac:dyDescent="0.25">
      <c r="A585" t="s">
        <v>116</v>
      </c>
      <c r="B585" t="s">
        <v>117</v>
      </c>
      <c r="C585">
        <v>4</v>
      </c>
      <c r="D585">
        <v>1</v>
      </c>
      <c r="E585"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v>36.907716570983702</v>
      </c>
      <c r="P585">
        <v>328.23164678402168</v>
      </c>
      <c r="Q585">
        <v>788.8287593944284</v>
      </c>
      <c r="R585">
        <v>2090.3962123952351</v>
      </c>
      <c r="S585">
        <v>50</v>
      </c>
      <c r="T585">
        <v>0.33500000000000002</v>
      </c>
      <c r="U585">
        <v>0</v>
      </c>
    </row>
    <row r="586" spans="1:21" x14ac:dyDescent="0.25">
      <c r="A586" t="s">
        <v>116</v>
      </c>
      <c r="B586" t="s">
        <v>117</v>
      </c>
      <c r="C586">
        <v>5</v>
      </c>
      <c r="D586">
        <v>1</v>
      </c>
      <c r="E586"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v>40.634591025902154</v>
      </c>
      <c r="P586">
        <v>430.52307294985815</v>
      </c>
      <c r="Q586">
        <v>1034.6625161015577</v>
      </c>
      <c r="R586">
        <v>2741.8556676691278</v>
      </c>
      <c r="S586">
        <v>50</v>
      </c>
      <c r="T586">
        <v>0.33500000000000002</v>
      </c>
      <c r="U586">
        <v>0</v>
      </c>
    </row>
    <row r="587" spans="1:21" x14ac:dyDescent="0.25">
      <c r="A587" t="s">
        <v>116</v>
      </c>
      <c r="B587" t="s">
        <v>117</v>
      </c>
      <c r="C587">
        <v>6</v>
      </c>
      <c r="D587">
        <v>1</v>
      </c>
      <c r="E587"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v>43.300566266559755</v>
      </c>
      <c r="P587">
        <v>515.01739410924904</v>
      </c>
      <c r="Q587">
        <v>1237.7250519328265</v>
      </c>
      <c r="R587">
        <v>3279.9713876219903</v>
      </c>
      <c r="S587">
        <v>50</v>
      </c>
      <c r="T587">
        <v>0.33500000000000002</v>
      </c>
      <c r="U587">
        <v>0</v>
      </c>
    </row>
    <row r="588" spans="1:21" x14ac:dyDescent="0.25">
      <c r="A588" t="s">
        <v>116</v>
      </c>
      <c r="B588" t="s">
        <v>117</v>
      </c>
      <c r="C588">
        <v>7</v>
      </c>
      <c r="D588">
        <v>1</v>
      </c>
      <c r="E588"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v>45.207639893475069</v>
      </c>
      <c r="P588">
        <v>581.57722029877402</v>
      </c>
      <c r="Q588">
        <v>1397.686181924475</v>
      </c>
      <c r="R588">
        <v>3703.8683820998585</v>
      </c>
      <c r="S588">
        <v>50</v>
      </c>
      <c r="T588">
        <v>0.33500000000000002</v>
      </c>
      <c r="U588">
        <v>0</v>
      </c>
    </row>
    <row r="589" spans="1:21" x14ac:dyDescent="0.25">
      <c r="A589" t="s">
        <v>116</v>
      </c>
      <c r="B589" t="s">
        <v>117</v>
      </c>
      <c r="C589">
        <v>8</v>
      </c>
      <c r="D589">
        <v>1</v>
      </c>
      <c r="E589"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v>46.571842292286107</v>
      </c>
      <c r="P589">
        <v>632.43813909693336</v>
      </c>
      <c r="Q589">
        <v>1519.9186231601377</v>
      </c>
      <c r="R589">
        <v>4027.7843513743646</v>
      </c>
      <c r="S589">
        <v>50</v>
      </c>
      <c r="T589">
        <v>0.33500000000000002</v>
      </c>
      <c r="U589">
        <v>0</v>
      </c>
    </row>
    <row r="590" spans="1:21" x14ac:dyDescent="0.25">
      <c r="A590" t="s">
        <v>116</v>
      </c>
      <c r="B590" t="s">
        <v>117</v>
      </c>
      <c r="C590">
        <v>9</v>
      </c>
      <c r="D590">
        <v>1</v>
      </c>
      <c r="E590"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v>47.547708225649167</v>
      </c>
      <c r="P590">
        <v>670.5257398689505</v>
      </c>
      <c r="Q590">
        <v>1611.4533522445338</v>
      </c>
      <c r="R590">
        <v>4270.3513834480145</v>
      </c>
      <c r="S590">
        <v>50</v>
      </c>
      <c r="T590">
        <v>0.33500000000000002</v>
      </c>
      <c r="U590">
        <v>0</v>
      </c>
    </row>
    <row r="591" spans="1:21" x14ac:dyDescent="0.25">
      <c r="A591" t="s">
        <v>116</v>
      </c>
      <c r="B591" t="s">
        <v>117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48.245782294957749</v>
      </c>
      <c r="P591">
        <v>698.65920903228539</v>
      </c>
      <c r="Q591">
        <v>1679.0656309355575</v>
      </c>
      <c r="R591">
        <v>4449.5239219792275</v>
      </c>
      <c r="S591">
        <v>50</v>
      </c>
      <c r="T591">
        <v>0.33500000000000002</v>
      </c>
      <c r="U59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591"/>
  <sheetViews>
    <sheetView topLeftCell="F1" workbookViewId="0">
      <pane ySplit="1" topLeftCell="A131" activePane="bottomLeft" state="frozen"/>
      <selection pane="bottomLeft" activeCell="R133" sqref="R133"/>
    </sheetView>
  </sheetViews>
  <sheetFormatPr defaultRowHeight="15" x14ac:dyDescent="0.25"/>
  <cols>
    <col min="2" max="2" width="19.140625" customWidth="1"/>
    <col min="3" max="3" width="7" bestFit="1" customWidth="1"/>
    <col min="4" max="4" width="7.5703125" bestFit="1" customWidth="1"/>
    <col min="5" max="5" width="4.140625" bestFit="1" customWidth="1"/>
    <col min="9" max="9" width="13" customWidth="1"/>
    <col min="17" max="17" width="12" bestFit="1" customWidth="1"/>
    <col min="23" max="23" width="21.5703125" customWidth="1"/>
    <col min="24" max="24" width="20" customWidth="1"/>
    <col min="25" max="25" width="22.5703125" bestFit="1" customWidth="1"/>
    <col min="26" max="26" width="15.7109375" bestFit="1" customWidth="1"/>
    <col min="27" max="27" width="22.85546875" bestFit="1" customWidth="1"/>
    <col min="28" max="28" width="15.85546875" bestFit="1" customWidth="1"/>
    <col min="29" max="29" width="15.5703125" bestFit="1" customWidth="1"/>
    <col min="30" max="30" width="12.140625" bestFit="1" customWidth="1"/>
    <col min="31" max="31" width="12.7109375" bestFit="1" customWidth="1"/>
  </cols>
  <sheetData>
    <row r="1" spans="1:24" s="1" customFormat="1" x14ac:dyDescent="0.25">
      <c r="A1" s="1" t="s">
        <v>0</v>
      </c>
      <c r="B1" s="1" t="s">
        <v>1</v>
      </c>
      <c r="C1" s="1" t="s">
        <v>2</v>
      </c>
      <c r="D1" s="1" t="s">
        <v>123</v>
      </c>
      <c r="E1" s="1" t="s">
        <v>122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P1" s="1" t="s">
        <v>119</v>
      </c>
      <c r="Q1" s="1" t="s">
        <v>118</v>
      </c>
      <c r="R1" s="1" t="s">
        <v>120</v>
      </c>
      <c r="S1" s="1" t="s">
        <v>121</v>
      </c>
      <c r="T1" s="1" t="s">
        <v>243</v>
      </c>
      <c r="U1" s="1" t="s">
        <v>244</v>
      </c>
      <c r="V1" s="1" t="s">
        <v>245</v>
      </c>
    </row>
    <row r="2" spans="1:24" x14ac:dyDescent="0.25">
      <c r="A2" t="s">
        <v>12</v>
      </c>
      <c r="B2" t="s">
        <v>13</v>
      </c>
      <c r="C2">
        <v>1</v>
      </c>
      <c r="D2">
        <v>1</v>
      </c>
      <c r="E2">
        <f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P2">
        <f>13.8*(1-EXP(-0.21*(E2+1.34)))</f>
        <v>5.3575834208964013</v>
      </c>
      <c r="Q2">
        <f>L2*(P2^M2)</f>
        <v>2.4605194854032746</v>
      </c>
      <c r="R2">
        <f>Q2/20/5.7/3.65*1000</f>
        <v>5.913288837787249</v>
      </c>
      <c r="S2">
        <f>R2*2.65</f>
        <v>15.670215420136209</v>
      </c>
      <c r="T2">
        <v>13.8</v>
      </c>
      <c r="U2">
        <v>0.21</v>
      </c>
      <c r="V2">
        <v>-1.34</v>
      </c>
      <c r="X2" t="s">
        <v>224</v>
      </c>
    </row>
    <row r="3" spans="1:24" x14ac:dyDescent="0.25">
      <c r="A3" t="s">
        <v>12</v>
      </c>
      <c r="B3" t="s">
        <v>13</v>
      </c>
      <c r="C3">
        <v>2</v>
      </c>
      <c r="D3">
        <v>1</v>
      </c>
      <c r="E3">
        <f t="shared" ref="E3:E66" si="0">C3*D3</f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P3">
        <f t="shared" ref="P3:P11" si="1">13.8*(1-EXP(-0.21*(E3+1.34)))</f>
        <v>6.9567101230611028</v>
      </c>
      <c r="Q3">
        <f t="shared" ref="Q3:Q12" si="2">L3*(P3^M3)</f>
        <v>5.3868105799443802</v>
      </c>
      <c r="R3">
        <f t="shared" ref="R3:R76" si="3">Q3/20/5.7/3.65*1000</f>
        <v>12.945951886432059</v>
      </c>
      <c r="S3">
        <f t="shared" ref="S3:S76" si="4">R3*2.65</f>
        <v>34.306772499044953</v>
      </c>
      <c r="T3">
        <v>13.8</v>
      </c>
      <c r="U3">
        <v>0.21</v>
      </c>
      <c r="V3">
        <v>-1.34</v>
      </c>
    </row>
    <row r="4" spans="1:24" x14ac:dyDescent="0.25">
      <c r="A4" t="s">
        <v>12</v>
      </c>
      <c r="B4" t="s">
        <v>13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P4">
        <f t="shared" si="1"/>
        <v>8.2529370351460702</v>
      </c>
      <c r="Q4">
        <f t="shared" si="2"/>
        <v>8.9938487101930562</v>
      </c>
      <c r="R4">
        <f t="shared" si="3"/>
        <v>21.614632805078241</v>
      </c>
      <c r="S4">
        <f t="shared" si="4"/>
        <v>57.278776933457337</v>
      </c>
      <c r="T4">
        <v>13.8</v>
      </c>
      <c r="U4">
        <v>0.21</v>
      </c>
      <c r="V4">
        <v>-1.34</v>
      </c>
    </row>
    <row r="5" spans="1:24" x14ac:dyDescent="0.25">
      <c r="A5" t="s">
        <v>12</v>
      </c>
      <c r="B5" t="s">
        <v>13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P5">
        <f t="shared" si="1"/>
        <v>9.3036381492847262</v>
      </c>
      <c r="Q5">
        <f t="shared" si="2"/>
        <v>12.884821758897537</v>
      </c>
      <c r="R5">
        <f t="shared" si="3"/>
        <v>30.965685553707132</v>
      </c>
      <c r="S5">
        <f t="shared" si="4"/>
        <v>82.059066717323901</v>
      </c>
      <c r="T5">
        <v>13.8</v>
      </c>
      <c r="U5">
        <v>0.21</v>
      </c>
      <c r="V5">
        <v>-1.34</v>
      </c>
    </row>
    <row r="6" spans="1:24" x14ac:dyDescent="0.25">
      <c r="A6" t="s">
        <v>12</v>
      </c>
      <c r="B6" t="s">
        <v>13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P6">
        <f t="shared" si="1"/>
        <v>10.155319919628846</v>
      </c>
      <c r="Q6">
        <f t="shared" si="2"/>
        <v>16.757175219079862</v>
      </c>
      <c r="R6">
        <f t="shared" si="3"/>
        <v>40.271990432780257</v>
      </c>
      <c r="S6">
        <f t="shared" si="4"/>
        <v>106.72077464686768</v>
      </c>
      <c r="T6">
        <v>13.8</v>
      </c>
      <c r="U6">
        <v>0.21</v>
      </c>
      <c r="V6">
        <v>-1.34</v>
      </c>
    </row>
    <row r="7" spans="1:24" x14ac:dyDescent="0.25">
      <c r="A7" t="s">
        <v>12</v>
      </c>
      <c r="B7" t="s">
        <v>13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P7">
        <f t="shared" si="1"/>
        <v>10.845679745249786</v>
      </c>
      <c r="Q7">
        <f t="shared" si="2"/>
        <v>20.412223342122143</v>
      </c>
      <c r="R7">
        <f t="shared" si="3"/>
        <v>49.056052252156078</v>
      </c>
      <c r="S7">
        <f t="shared" si="4"/>
        <v>129.99853846821361</v>
      </c>
      <c r="T7">
        <v>13.8</v>
      </c>
      <c r="U7">
        <v>0.21</v>
      </c>
      <c r="V7">
        <v>-1.34</v>
      </c>
    </row>
    <row r="8" spans="1:24" x14ac:dyDescent="0.25">
      <c r="A8" t="s">
        <v>12</v>
      </c>
      <c r="B8" t="s">
        <v>13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P8">
        <f t="shared" si="1"/>
        <v>11.405274543948847</v>
      </c>
      <c r="Q8">
        <f t="shared" si="2"/>
        <v>23.737622253013647</v>
      </c>
      <c r="R8">
        <f t="shared" si="3"/>
        <v>57.047878522022707</v>
      </c>
      <c r="S8">
        <f t="shared" si="4"/>
        <v>151.17687808336018</v>
      </c>
      <c r="T8">
        <v>13.8</v>
      </c>
      <c r="U8">
        <v>0.21</v>
      </c>
      <c r="V8">
        <v>-1.34</v>
      </c>
    </row>
    <row r="9" spans="1:24" x14ac:dyDescent="0.25">
      <c r="A9" t="s">
        <v>12</v>
      </c>
      <c r="B9" t="s">
        <v>13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P9">
        <f t="shared" si="1"/>
        <v>11.858873271901164</v>
      </c>
      <c r="Q9">
        <f t="shared" si="2"/>
        <v>26.683959132750129</v>
      </c>
      <c r="R9">
        <f t="shared" si="3"/>
        <v>64.128716973684519</v>
      </c>
      <c r="S9">
        <f t="shared" si="4"/>
        <v>169.94109998026397</v>
      </c>
      <c r="T9">
        <v>13.8</v>
      </c>
      <c r="U9">
        <v>0.21</v>
      </c>
      <c r="V9">
        <v>-1.34</v>
      </c>
    </row>
    <row r="10" spans="1:24" x14ac:dyDescent="0.25">
      <c r="A10" t="s">
        <v>12</v>
      </c>
      <c r="B10" t="s">
        <v>13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P10">
        <f t="shared" si="1"/>
        <v>12.22655325477143</v>
      </c>
      <c r="Q10">
        <f t="shared" si="2"/>
        <v>29.243686140799834</v>
      </c>
      <c r="R10">
        <f t="shared" si="3"/>
        <v>70.280428120163023</v>
      </c>
      <c r="S10">
        <f t="shared" si="4"/>
        <v>186.24313451843202</v>
      </c>
      <c r="T10">
        <v>13.8</v>
      </c>
      <c r="U10">
        <v>0.21</v>
      </c>
      <c r="V10">
        <v>-1.34</v>
      </c>
    </row>
    <row r="11" spans="1:24" x14ac:dyDescent="0.25">
      <c r="A11" t="s">
        <v>12</v>
      </c>
      <c r="B11" t="s">
        <v>13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P11">
        <f t="shared" si="1"/>
        <v>12.524588856444653</v>
      </c>
      <c r="Q11">
        <f t="shared" si="2"/>
        <v>31.434779428319086</v>
      </c>
      <c r="R11">
        <f t="shared" si="3"/>
        <v>75.546213478296281</v>
      </c>
      <c r="S11">
        <f t="shared" si="4"/>
        <v>200.19746571748513</v>
      </c>
      <c r="T11">
        <v>13.8</v>
      </c>
      <c r="U11">
        <v>0.21</v>
      </c>
      <c r="V11">
        <v>-1.34</v>
      </c>
    </row>
    <row r="12" spans="1:24" x14ac:dyDescent="0.25">
      <c r="A12" t="s">
        <v>14</v>
      </c>
      <c r="B12" t="s">
        <v>15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2.5999999999999999E-2</v>
      </c>
      <c r="M12">
        <v>2.79</v>
      </c>
      <c r="N12">
        <v>30.046246140000001</v>
      </c>
      <c r="P12">
        <f>314.9*(1-EXP(-0.089*(E12-1.13)))</f>
        <v>48.279812187087352</v>
      </c>
      <c r="Q12">
        <f t="shared" si="2"/>
        <v>1296.2217182591039</v>
      </c>
      <c r="R12">
        <f t="shared" si="3"/>
        <v>3115.168753326373</v>
      </c>
      <c r="S12">
        <f t="shared" si="4"/>
        <v>8255.1971963148881</v>
      </c>
      <c r="T12">
        <v>314.89999999999998</v>
      </c>
      <c r="U12">
        <v>8.8999999999999996E-2</v>
      </c>
      <c r="V12">
        <v>1.1299999999999999</v>
      </c>
      <c r="X12" t="s">
        <v>224</v>
      </c>
    </row>
    <row r="13" spans="1:24" x14ac:dyDescent="0.25">
      <c r="A13" t="s">
        <v>14</v>
      </c>
      <c r="B13" t="s">
        <v>15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2.79</v>
      </c>
      <c r="N13">
        <v>145.55493849999999</v>
      </c>
      <c r="P13">
        <f t="shared" ref="P13:P21" si="5">314.9*(1-EXP(-0.089*(E13-1.13)))</f>
        <v>110.7561018826123</v>
      </c>
      <c r="Q13">
        <f t="shared" ref="Q13:Q22" si="6">L13*(P13^M13)</f>
        <v>13144.955654073328</v>
      </c>
      <c r="R13">
        <f t="shared" si="3"/>
        <v>31590.857135480237</v>
      </c>
      <c r="S13">
        <f t="shared" si="4"/>
        <v>83715.771409022622</v>
      </c>
      <c r="T13">
        <v>314.89999999999998</v>
      </c>
      <c r="U13">
        <v>8.8999999999999996E-2</v>
      </c>
      <c r="V13">
        <v>1.1299999999999999</v>
      </c>
    </row>
    <row r="14" spans="1:24" x14ac:dyDescent="0.25">
      <c r="A14" t="s">
        <v>14</v>
      </c>
      <c r="B14" t="s">
        <v>15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2.79</v>
      </c>
      <c r="N14">
        <v>181.035417</v>
      </c>
      <c r="P14">
        <f t="shared" si="5"/>
        <v>158.59251450754539</v>
      </c>
      <c r="Q14">
        <f t="shared" si="6"/>
        <v>35790.028072359688</v>
      </c>
      <c r="R14">
        <f t="shared" si="3"/>
        <v>86013.045115019675</v>
      </c>
      <c r="S14">
        <f t="shared" si="4"/>
        <v>227934.56955480212</v>
      </c>
      <c r="T14">
        <v>314.89999999999998</v>
      </c>
      <c r="U14">
        <v>8.8999999999999996E-2</v>
      </c>
      <c r="V14">
        <v>1.1299999999999999</v>
      </c>
    </row>
    <row r="15" spans="1:24" x14ac:dyDescent="0.25">
      <c r="A15" t="s">
        <v>14</v>
      </c>
      <c r="B15" t="s">
        <v>15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2.79</v>
      </c>
      <c r="N15">
        <v>197.1142183</v>
      </c>
      <c r="P15">
        <f t="shared" si="5"/>
        <v>195.21956748996291</v>
      </c>
      <c r="Q15">
        <f t="shared" si="6"/>
        <v>63904.800593289401</v>
      </c>
      <c r="R15">
        <f t="shared" si="3"/>
        <v>153580.3907553218</v>
      </c>
      <c r="S15">
        <f t="shared" si="4"/>
        <v>406988.03550160275</v>
      </c>
      <c r="T15">
        <v>314.89999999999998</v>
      </c>
      <c r="U15">
        <v>8.8999999999999996E-2</v>
      </c>
      <c r="V15">
        <v>1.1299999999999999</v>
      </c>
    </row>
    <row r="16" spans="1:24" x14ac:dyDescent="0.25">
      <c r="A16" t="s">
        <v>14</v>
      </c>
      <c r="B16" t="s">
        <v>15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2.79</v>
      </c>
      <c r="N16">
        <v>204.3636362</v>
      </c>
      <c r="P16">
        <f t="shared" si="5"/>
        <v>223.26391564573552</v>
      </c>
      <c r="Q16">
        <f t="shared" si="6"/>
        <v>92934.52141499547</v>
      </c>
      <c r="R16">
        <f t="shared" si="3"/>
        <v>223346.60277576419</v>
      </c>
      <c r="S16">
        <f t="shared" si="4"/>
        <v>591868.49735577509</v>
      </c>
      <c r="T16">
        <v>314.89999999999998</v>
      </c>
      <c r="U16">
        <v>8.8999999999999996E-2</v>
      </c>
      <c r="V16">
        <v>1.1299999999999999</v>
      </c>
    </row>
    <row r="17" spans="1:24" x14ac:dyDescent="0.25">
      <c r="A17" t="s">
        <v>14</v>
      </c>
      <c r="B17" t="s">
        <v>15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2.79</v>
      </c>
      <c r="N17">
        <v>207.62604619999999</v>
      </c>
      <c r="P17">
        <f t="shared" si="5"/>
        <v>244.73671783541019</v>
      </c>
      <c r="Q17">
        <f t="shared" si="6"/>
        <v>120072.60272624133</v>
      </c>
      <c r="R17">
        <f t="shared" si="3"/>
        <v>288566.6972512409</v>
      </c>
      <c r="S17">
        <f t="shared" si="4"/>
        <v>764701.74771578831</v>
      </c>
      <c r="T17">
        <v>314.89999999999998</v>
      </c>
      <c r="U17">
        <v>8.8999999999999996E-2</v>
      </c>
      <c r="V17">
        <v>1.1299999999999999</v>
      </c>
    </row>
    <row r="18" spans="1:24" x14ac:dyDescent="0.25">
      <c r="A18" t="s">
        <v>14</v>
      </c>
      <c r="B18" t="s">
        <v>15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2.79</v>
      </c>
      <c r="N18">
        <v>209.0929592</v>
      </c>
      <c r="P18">
        <f t="shared" si="5"/>
        <v>261.1778642409468</v>
      </c>
      <c r="Q18">
        <f t="shared" si="6"/>
        <v>143954.68698504375</v>
      </c>
      <c r="R18">
        <f t="shared" si="3"/>
        <v>345961.75675328949</v>
      </c>
      <c r="S18">
        <f t="shared" si="4"/>
        <v>916798.65539621713</v>
      </c>
      <c r="T18">
        <v>314.89999999999998</v>
      </c>
      <c r="U18">
        <v>8.8999999999999996E-2</v>
      </c>
      <c r="V18">
        <v>1.1299999999999999</v>
      </c>
    </row>
    <row r="19" spans="1:24" x14ac:dyDescent="0.25">
      <c r="A19" t="s">
        <v>14</v>
      </c>
      <c r="B19" t="s">
        <v>15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2.79</v>
      </c>
      <c r="N19">
        <v>209.75221239999999</v>
      </c>
      <c r="P19">
        <f t="shared" si="5"/>
        <v>273.76640730768594</v>
      </c>
      <c r="Q19">
        <f t="shared" si="6"/>
        <v>164158.73057242404</v>
      </c>
      <c r="R19">
        <f t="shared" si="3"/>
        <v>394517.49716996879</v>
      </c>
      <c r="S19">
        <f t="shared" si="4"/>
        <v>1045471.3675004173</v>
      </c>
      <c r="T19">
        <v>314.89999999999998</v>
      </c>
      <c r="U19">
        <v>8.8999999999999996E-2</v>
      </c>
      <c r="V19">
        <v>1.1299999999999999</v>
      </c>
    </row>
    <row r="20" spans="1:24" x14ac:dyDescent="0.25">
      <c r="A20" t="s">
        <v>14</v>
      </c>
      <c r="B20" t="s">
        <v>15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2.79</v>
      </c>
      <c r="N20">
        <v>210.0486598</v>
      </c>
      <c r="P20">
        <f t="shared" si="5"/>
        <v>283.40511574287024</v>
      </c>
      <c r="Q20">
        <f t="shared" si="6"/>
        <v>180796.82117725868</v>
      </c>
      <c r="R20">
        <f t="shared" si="3"/>
        <v>434503.29530703841</v>
      </c>
      <c r="S20">
        <f t="shared" si="4"/>
        <v>1151433.7325636516</v>
      </c>
      <c r="T20">
        <v>314.89999999999998</v>
      </c>
      <c r="U20">
        <v>8.8999999999999996E-2</v>
      </c>
      <c r="V20">
        <v>1.1299999999999999</v>
      </c>
    </row>
    <row r="21" spans="1:24" x14ac:dyDescent="0.25">
      <c r="A21" t="s">
        <v>14</v>
      </c>
      <c r="B21" t="s">
        <v>15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2.79</v>
      </c>
      <c r="N21">
        <v>210.18147250000001</v>
      </c>
      <c r="P21">
        <f t="shared" si="5"/>
        <v>290.785215235397</v>
      </c>
      <c r="Q21">
        <f t="shared" si="6"/>
        <v>194240.65083009008</v>
      </c>
      <c r="R21">
        <f t="shared" si="3"/>
        <v>466812.42689279042</v>
      </c>
      <c r="S21">
        <f t="shared" si="4"/>
        <v>1237052.9312658946</v>
      </c>
      <c r="T21">
        <v>314.89999999999998</v>
      </c>
      <c r="U21">
        <v>8.8999999999999996E-2</v>
      </c>
      <c r="V21">
        <v>1.1299999999999999</v>
      </c>
    </row>
    <row r="22" spans="1:24" x14ac:dyDescent="0.25">
      <c r="A22" t="s">
        <v>16</v>
      </c>
      <c r="B22" t="s">
        <v>17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P22">
        <f>358.7*(1-EXP(-0.092*(E22-1.929)))</f>
        <v>33.658006569474125</v>
      </c>
      <c r="Q22">
        <f t="shared" si="6"/>
        <v>708.91703154675884</v>
      </c>
      <c r="R22">
        <f t="shared" si="3"/>
        <v>1703.7179320998771</v>
      </c>
      <c r="S22">
        <f t="shared" si="4"/>
        <v>4514.8525200646745</v>
      </c>
      <c r="T22">
        <v>358.7</v>
      </c>
      <c r="U22">
        <v>9.1999999999999998E-2</v>
      </c>
      <c r="V22">
        <v>1.929</v>
      </c>
    </row>
    <row r="23" spans="1:24" x14ac:dyDescent="0.25">
      <c r="A23" t="s">
        <v>16</v>
      </c>
      <c r="B23" t="s">
        <v>17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P23">
        <f t="shared" ref="P23:P31" si="7">358.7*(1-EXP(-0.092*(E23-1.929)))</f>
        <v>112.05393234450648</v>
      </c>
      <c r="Q23">
        <f t="shared" ref="Q23:Q32" si="8">L23*(P23^M23)</f>
        <v>24929.754124324838</v>
      </c>
      <c r="R23">
        <f t="shared" si="3"/>
        <v>59912.891430725394</v>
      </c>
      <c r="S23">
        <f t="shared" si="4"/>
        <v>158769.16229142228</v>
      </c>
      <c r="T23">
        <v>358.7</v>
      </c>
      <c r="U23">
        <v>9.1999999999999998E-2</v>
      </c>
      <c r="V23">
        <v>1.929</v>
      </c>
    </row>
    <row r="24" spans="1:24" x14ac:dyDescent="0.25">
      <c r="A24" t="s">
        <v>16</v>
      </c>
      <c r="B24" t="s">
        <v>17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P24">
        <f t="shared" si="7"/>
        <v>171.54177454159952</v>
      </c>
      <c r="Q24">
        <f t="shared" si="8"/>
        <v>87932.348526784786</v>
      </c>
      <c r="R24">
        <f t="shared" si="3"/>
        <v>211325.03851666619</v>
      </c>
      <c r="S24">
        <f t="shared" si="4"/>
        <v>560011.35206916532</v>
      </c>
      <c r="T24">
        <v>358.7</v>
      </c>
      <c r="U24">
        <v>9.1999999999999998E-2</v>
      </c>
      <c r="V24">
        <v>1.929</v>
      </c>
    </row>
    <row r="25" spans="1:24" x14ac:dyDescent="0.25">
      <c r="A25" t="s">
        <v>16</v>
      </c>
      <c r="B25" t="s">
        <v>17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P25">
        <f t="shared" si="7"/>
        <v>216.68191842383794</v>
      </c>
      <c r="Q25">
        <f t="shared" si="8"/>
        <v>175569.42327319883</v>
      </c>
      <c r="R25">
        <f t="shared" si="3"/>
        <v>421940.45487430628</v>
      </c>
      <c r="S25">
        <f t="shared" si="4"/>
        <v>1118142.2054169115</v>
      </c>
      <c r="T25">
        <v>358.7</v>
      </c>
      <c r="U25">
        <v>9.1999999999999998E-2</v>
      </c>
      <c r="V25">
        <v>1.929</v>
      </c>
    </row>
    <row r="26" spans="1:24" x14ac:dyDescent="0.25">
      <c r="A26" t="s">
        <v>16</v>
      </c>
      <c r="B26" t="s">
        <v>17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P26">
        <f t="shared" si="7"/>
        <v>250.9348432981034</v>
      </c>
      <c r="Q26">
        <f t="shared" si="8"/>
        <v>271090.46444670385</v>
      </c>
      <c r="R26">
        <f t="shared" si="3"/>
        <v>651503.15896828612</v>
      </c>
      <c r="S26">
        <f t="shared" si="4"/>
        <v>1726483.3712659581</v>
      </c>
      <c r="T26">
        <v>358.7</v>
      </c>
      <c r="U26">
        <v>9.1999999999999998E-2</v>
      </c>
      <c r="V26">
        <v>1.929</v>
      </c>
    </row>
    <row r="27" spans="1:24" x14ac:dyDescent="0.25">
      <c r="A27" t="s">
        <v>16</v>
      </c>
      <c r="B27" t="s">
        <v>17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P27">
        <f t="shared" si="7"/>
        <v>276.92640560908939</v>
      </c>
      <c r="Q27">
        <f t="shared" si="8"/>
        <v>362921.17215070536</v>
      </c>
      <c r="R27">
        <f t="shared" si="3"/>
        <v>872197.00108316599</v>
      </c>
      <c r="S27">
        <f t="shared" si="4"/>
        <v>2311322.05287039</v>
      </c>
      <c r="T27">
        <v>358.7</v>
      </c>
      <c r="U27">
        <v>9.1999999999999998E-2</v>
      </c>
      <c r="V27">
        <v>1.929</v>
      </c>
    </row>
    <row r="28" spans="1:24" x14ac:dyDescent="0.25">
      <c r="A28" t="s">
        <v>16</v>
      </c>
      <c r="B28" t="s">
        <v>17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P28">
        <f t="shared" si="7"/>
        <v>296.64913918135215</v>
      </c>
      <c r="Q28">
        <f t="shared" si="8"/>
        <v>444890.69960510544</v>
      </c>
      <c r="R28">
        <f t="shared" si="3"/>
        <v>1069191.7798728803</v>
      </c>
      <c r="S28">
        <f t="shared" si="4"/>
        <v>2833358.2166631329</v>
      </c>
      <c r="T28">
        <v>358.7</v>
      </c>
      <c r="U28">
        <v>9.1999999999999998E-2</v>
      </c>
      <c r="V28">
        <v>1.929</v>
      </c>
    </row>
    <row r="29" spans="1:24" x14ac:dyDescent="0.25">
      <c r="A29" t="s">
        <v>16</v>
      </c>
      <c r="B29" t="s">
        <v>17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P29">
        <f t="shared" si="7"/>
        <v>311.61500444594395</v>
      </c>
      <c r="Q29">
        <f t="shared" si="8"/>
        <v>514664.39223162003</v>
      </c>
      <c r="R29">
        <f t="shared" si="3"/>
        <v>1236876.6936592644</v>
      </c>
      <c r="S29">
        <f t="shared" si="4"/>
        <v>3277723.2381970505</v>
      </c>
      <c r="T29">
        <v>358.7</v>
      </c>
      <c r="U29">
        <v>9.1999999999999998E-2</v>
      </c>
      <c r="V29">
        <v>1.929</v>
      </c>
    </row>
    <row r="30" spans="1:24" x14ac:dyDescent="0.25">
      <c r="A30" t="s">
        <v>16</v>
      </c>
      <c r="B30" t="s">
        <v>17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P30">
        <f t="shared" si="7"/>
        <v>322.97129652874668</v>
      </c>
      <c r="Q30">
        <f t="shared" si="8"/>
        <v>572188.33147296752</v>
      </c>
      <c r="R30">
        <f t="shared" si="3"/>
        <v>1375122.1616750001</v>
      </c>
      <c r="S30">
        <f t="shared" si="4"/>
        <v>3644073.7284387499</v>
      </c>
      <c r="T30">
        <v>358.7</v>
      </c>
      <c r="U30">
        <v>9.1999999999999998E-2</v>
      </c>
      <c r="V30">
        <v>1.929</v>
      </c>
    </row>
    <row r="31" spans="1:24" x14ac:dyDescent="0.25">
      <c r="A31" t="s">
        <v>16</v>
      </c>
      <c r="B31" t="s">
        <v>17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P31">
        <f t="shared" si="7"/>
        <v>331.58859780667893</v>
      </c>
      <c r="Q31">
        <f t="shared" si="8"/>
        <v>618569.57439944637</v>
      </c>
      <c r="R31">
        <f t="shared" si="3"/>
        <v>1486588.7392440429</v>
      </c>
      <c r="S31">
        <f t="shared" si="4"/>
        <v>3939460.1589967133</v>
      </c>
      <c r="T31">
        <v>358.7</v>
      </c>
      <c r="U31">
        <v>9.1999999999999998E-2</v>
      </c>
      <c r="V31">
        <v>1.929</v>
      </c>
    </row>
    <row r="32" spans="1:24" x14ac:dyDescent="0.25">
      <c r="A32" t="s">
        <v>18</v>
      </c>
      <c r="B32" t="s">
        <v>19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P32">
        <f>81.53*(1-EXP(-0.31*(E32+0.3)))</f>
        <v>27.04251454215013</v>
      </c>
      <c r="Q32">
        <f t="shared" si="8"/>
        <v>156.43329523840328</v>
      </c>
      <c r="R32">
        <f t="shared" si="3"/>
        <v>375.95120220716962</v>
      </c>
      <c r="S32">
        <f t="shared" si="4"/>
        <v>996.27068584899939</v>
      </c>
      <c r="T32">
        <v>81.53</v>
      </c>
      <c r="U32">
        <v>0.31</v>
      </c>
      <c r="V32">
        <v>-0.3</v>
      </c>
      <c r="X32" t="s">
        <v>224</v>
      </c>
    </row>
    <row r="33" spans="1:24" x14ac:dyDescent="0.25">
      <c r="A33" t="s">
        <v>18</v>
      </c>
      <c r="B33" t="s">
        <v>19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P33">
        <f t="shared" ref="P33:P41" si="9">81.53*(1-EXP(-0.31*(E33+0.3)))</f>
        <v>41.56631963862479</v>
      </c>
      <c r="Q33">
        <f t="shared" ref="Q33:Q42" si="10">L33*(P33^M33)</f>
        <v>544.18084001262002</v>
      </c>
      <c r="R33">
        <f t="shared" si="3"/>
        <v>1307.8126412223505</v>
      </c>
      <c r="S33">
        <f t="shared" si="4"/>
        <v>3465.7034992392287</v>
      </c>
      <c r="T33">
        <v>81.53</v>
      </c>
      <c r="U33">
        <v>0.31</v>
      </c>
      <c r="V33">
        <v>-0.3</v>
      </c>
    </row>
    <row r="34" spans="1:24" x14ac:dyDescent="0.25">
      <c r="A34" t="s">
        <v>18</v>
      </c>
      <c r="B34" t="s">
        <v>19</v>
      </c>
      <c r="C34">
        <v>3</v>
      </c>
      <c r="D34">
        <v>1</v>
      </c>
      <c r="E34">
        <f t="shared" si="0"/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P34">
        <f t="shared" si="9"/>
        <v>52.218760279428949</v>
      </c>
      <c r="Q34">
        <f t="shared" si="10"/>
        <v>1054.604695513153</v>
      </c>
      <c r="R34">
        <f t="shared" si="3"/>
        <v>2534.4981867655683</v>
      </c>
      <c r="S34">
        <f t="shared" si="4"/>
        <v>6716.4201949287562</v>
      </c>
      <c r="T34">
        <v>81.53</v>
      </c>
      <c r="U34">
        <v>0.31</v>
      </c>
      <c r="V34">
        <v>-0.3</v>
      </c>
    </row>
    <row r="35" spans="1:24" x14ac:dyDescent="0.25">
      <c r="A35" t="s">
        <v>18</v>
      </c>
      <c r="B35" t="s">
        <v>19</v>
      </c>
      <c r="C35">
        <v>4</v>
      </c>
      <c r="D35">
        <v>1</v>
      </c>
      <c r="E35">
        <f t="shared" si="0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P35">
        <f t="shared" si="9"/>
        <v>60.031760443786673</v>
      </c>
      <c r="Q35">
        <f t="shared" si="10"/>
        <v>1580.1481796745711</v>
      </c>
      <c r="R35">
        <f t="shared" si="3"/>
        <v>3797.5202587708991</v>
      </c>
      <c r="S35">
        <f t="shared" si="4"/>
        <v>10063.428685742881</v>
      </c>
      <c r="T35">
        <v>81.53</v>
      </c>
      <c r="U35">
        <v>0.31</v>
      </c>
      <c r="V35">
        <v>-0.3</v>
      </c>
    </row>
    <row r="36" spans="1:24" x14ac:dyDescent="0.25">
      <c r="A36" t="s">
        <v>18</v>
      </c>
      <c r="B36" t="s">
        <v>19</v>
      </c>
      <c r="C36">
        <v>5</v>
      </c>
      <c r="D36">
        <v>1</v>
      </c>
      <c r="E36">
        <f t="shared" si="0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P36">
        <f t="shared" si="9"/>
        <v>65.762181633314725</v>
      </c>
      <c r="Q36">
        <f t="shared" si="10"/>
        <v>2058.3712194880914</v>
      </c>
      <c r="R36">
        <f t="shared" si="3"/>
        <v>4946.8186000675105</v>
      </c>
      <c r="S36">
        <f t="shared" si="4"/>
        <v>13109.069290178903</v>
      </c>
      <c r="T36">
        <v>81.53</v>
      </c>
      <c r="U36">
        <v>0.31</v>
      </c>
      <c r="V36">
        <v>-0.3</v>
      </c>
    </row>
    <row r="37" spans="1:24" x14ac:dyDescent="0.25">
      <c r="A37" t="s">
        <v>18</v>
      </c>
      <c r="B37" t="s">
        <v>19</v>
      </c>
      <c r="C37">
        <v>6</v>
      </c>
      <c r="D37">
        <v>1</v>
      </c>
      <c r="E37">
        <f t="shared" si="0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P37">
        <f t="shared" si="9"/>
        <v>69.965141612657234</v>
      </c>
      <c r="Q37">
        <f t="shared" si="10"/>
        <v>2463.4835460760773</v>
      </c>
      <c r="R37">
        <f t="shared" si="3"/>
        <v>5920.4122712715152</v>
      </c>
      <c r="S37">
        <f t="shared" si="4"/>
        <v>15689.092518869515</v>
      </c>
      <c r="T37">
        <v>81.53</v>
      </c>
      <c r="U37">
        <v>0.31</v>
      </c>
      <c r="V37">
        <v>-0.3</v>
      </c>
    </row>
    <row r="38" spans="1:24" x14ac:dyDescent="0.25">
      <c r="A38" t="s">
        <v>18</v>
      </c>
      <c r="B38" t="s">
        <v>19</v>
      </c>
      <c r="C38">
        <v>7</v>
      </c>
      <c r="D38">
        <v>1</v>
      </c>
      <c r="E38">
        <f t="shared" si="0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P38">
        <f t="shared" si="9"/>
        <v>73.047789816638513</v>
      </c>
      <c r="Q38">
        <f t="shared" si="10"/>
        <v>2791.6001798030729</v>
      </c>
      <c r="R38">
        <f t="shared" si="3"/>
        <v>6708.9646234152196</v>
      </c>
      <c r="S38">
        <f t="shared" si="4"/>
        <v>17778.756252050331</v>
      </c>
      <c r="T38">
        <v>81.53</v>
      </c>
      <c r="U38">
        <v>0.31</v>
      </c>
      <c r="V38">
        <v>-0.3</v>
      </c>
    </row>
    <row r="39" spans="1:24" x14ac:dyDescent="0.25">
      <c r="A39" t="s">
        <v>18</v>
      </c>
      <c r="B39" t="s">
        <v>19</v>
      </c>
      <c r="C39">
        <v>8</v>
      </c>
      <c r="D39">
        <v>1</v>
      </c>
      <c r="E39">
        <f t="shared" si="0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P39">
        <f t="shared" si="9"/>
        <v>75.308748758958842</v>
      </c>
      <c r="Q39">
        <f t="shared" si="10"/>
        <v>3049.6109460014923</v>
      </c>
      <c r="R39">
        <f t="shared" si="3"/>
        <v>7329.0337563121666</v>
      </c>
      <c r="S39">
        <f t="shared" si="4"/>
        <v>19421.939454227242</v>
      </c>
      <c r="T39">
        <v>81.53</v>
      </c>
      <c r="U39">
        <v>0.31</v>
      </c>
      <c r="V39">
        <v>-0.3</v>
      </c>
    </row>
    <row r="40" spans="1:24" x14ac:dyDescent="0.25">
      <c r="A40" t="s">
        <v>18</v>
      </c>
      <c r="B40" t="s">
        <v>19</v>
      </c>
      <c r="C40">
        <v>9</v>
      </c>
      <c r="D40">
        <v>1</v>
      </c>
      <c r="E40">
        <f t="shared" si="0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P40">
        <f t="shared" si="9"/>
        <v>76.967042213351789</v>
      </c>
      <c r="Q40">
        <f t="shared" si="10"/>
        <v>3248.4530720549787</v>
      </c>
      <c r="R40">
        <f t="shared" si="3"/>
        <v>7806.9047634101871</v>
      </c>
      <c r="S40">
        <f t="shared" si="4"/>
        <v>20688.297623036997</v>
      </c>
      <c r="T40">
        <v>81.53</v>
      </c>
      <c r="U40">
        <v>0.31</v>
      </c>
      <c r="V40">
        <v>-0.3</v>
      </c>
    </row>
    <row r="41" spans="1:24" x14ac:dyDescent="0.25">
      <c r="A41" t="s">
        <v>18</v>
      </c>
      <c r="B41" t="s">
        <v>19</v>
      </c>
      <c r="C41">
        <v>10</v>
      </c>
      <c r="D41">
        <v>1</v>
      </c>
      <c r="E41">
        <f t="shared" si="0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P41">
        <f t="shared" si="9"/>
        <v>78.183312500002941</v>
      </c>
      <c r="Q41">
        <f t="shared" si="10"/>
        <v>3399.5660148577499</v>
      </c>
      <c r="R41">
        <f t="shared" si="3"/>
        <v>8170.0697304920686</v>
      </c>
      <c r="S41">
        <f t="shared" si="4"/>
        <v>21650.68478580398</v>
      </c>
      <c r="T41">
        <v>81.53</v>
      </c>
      <c r="U41">
        <v>0.31</v>
      </c>
      <c r="V41">
        <v>-0.3</v>
      </c>
    </row>
    <row r="42" spans="1:24" x14ac:dyDescent="0.25">
      <c r="A42" t="s">
        <v>20</v>
      </c>
      <c r="B42" t="s">
        <v>21</v>
      </c>
      <c r="C42">
        <v>1</v>
      </c>
      <c r="D42">
        <v>7</v>
      </c>
      <c r="E42" s="3">
        <f t="shared" si="0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P42">
        <f>282*(1-EXP(-0.18*(E42+1.35)))</f>
        <v>219.26578008439506</v>
      </c>
      <c r="Q42">
        <f t="shared" si="10"/>
        <v>34260.67665967525</v>
      </c>
      <c r="R42">
        <f t="shared" si="3"/>
        <v>82337.603123468507</v>
      </c>
      <c r="S42">
        <f t="shared" si="4"/>
        <v>218194.64827719153</v>
      </c>
      <c r="T42">
        <v>282</v>
      </c>
      <c r="U42">
        <v>0.18</v>
      </c>
      <c r="V42">
        <v>-1.35</v>
      </c>
      <c r="X42" t="s">
        <v>224</v>
      </c>
    </row>
    <row r="43" spans="1:24" x14ac:dyDescent="0.25">
      <c r="A43" t="s">
        <v>20</v>
      </c>
      <c r="B43" t="s">
        <v>21</v>
      </c>
      <c r="C43">
        <v>2</v>
      </c>
      <c r="D43">
        <v>7</v>
      </c>
      <c r="E43" s="3">
        <f t="shared" si="0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P43">
        <f t="shared" ref="P43:P51" si="11">282*(1-EXP(-0.18*(E43+1.35)))</f>
        <v>264.20518592161659</v>
      </c>
      <c r="Q43">
        <f t="shared" ref="Q43:Q62" si="12">L43*(P43^M43)</f>
        <v>59938.707617156542</v>
      </c>
      <c r="R43">
        <f t="shared" si="3"/>
        <v>144048.80465550721</v>
      </c>
      <c r="S43">
        <f t="shared" si="4"/>
        <v>381729.33233709406</v>
      </c>
      <c r="T43">
        <v>282</v>
      </c>
      <c r="U43">
        <v>0.18</v>
      </c>
      <c r="V43">
        <v>-1.35</v>
      </c>
    </row>
    <row r="44" spans="1:24" x14ac:dyDescent="0.25">
      <c r="A44" t="s">
        <v>20</v>
      </c>
      <c r="B44" t="s">
        <v>21</v>
      </c>
      <c r="C44">
        <v>3</v>
      </c>
      <c r="D44">
        <v>7</v>
      </c>
      <c r="E44" s="3">
        <f t="shared" si="0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P44">
        <f t="shared" si="11"/>
        <v>276.95242933585172</v>
      </c>
      <c r="Q44">
        <f t="shared" si="12"/>
        <v>69039.700378839218</v>
      </c>
      <c r="R44">
        <f t="shared" si="3"/>
        <v>165920.93337860904</v>
      </c>
      <c r="S44">
        <f t="shared" si="4"/>
        <v>439690.47345331393</v>
      </c>
      <c r="T44">
        <v>282</v>
      </c>
      <c r="U44">
        <v>0.18</v>
      </c>
      <c r="V44">
        <v>-1.35</v>
      </c>
    </row>
    <row r="45" spans="1:24" x14ac:dyDescent="0.25">
      <c r="A45" t="s">
        <v>20</v>
      </c>
      <c r="B45" t="s">
        <v>21</v>
      </c>
      <c r="C45">
        <v>4</v>
      </c>
      <c r="D45">
        <v>7</v>
      </c>
      <c r="E45" s="3">
        <f t="shared" si="0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P45">
        <f t="shared" si="11"/>
        <v>280.56823625707221</v>
      </c>
      <c r="Q45">
        <f t="shared" si="12"/>
        <v>71779.2418875851</v>
      </c>
      <c r="R45">
        <f t="shared" si="3"/>
        <v>172504.78704057942</v>
      </c>
      <c r="S45">
        <f t="shared" si="4"/>
        <v>457137.68565753545</v>
      </c>
      <c r="T45">
        <v>282</v>
      </c>
      <c r="U45">
        <v>0.18</v>
      </c>
      <c r="V45">
        <v>-1.35</v>
      </c>
    </row>
    <row r="46" spans="1:24" x14ac:dyDescent="0.25">
      <c r="A46" t="s">
        <v>20</v>
      </c>
      <c r="B46" t="s">
        <v>21</v>
      </c>
      <c r="C46">
        <v>5</v>
      </c>
      <c r="D46">
        <v>7</v>
      </c>
      <c r="E46" s="3">
        <f t="shared" si="0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P46">
        <f t="shared" si="11"/>
        <v>281.59387444932219</v>
      </c>
      <c r="Q46">
        <f t="shared" si="12"/>
        <v>72569.306178378087</v>
      </c>
      <c r="R46">
        <f t="shared" si="3"/>
        <v>174403.5236202309</v>
      </c>
      <c r="S46">
        <f t="shared" si="4"/>
        <v>462169.33759361185</v>
      </c>
      <c r="T46">
        <v>282</v>
      </c>
      <c r="U46">
        <v>0.18</v>
      </c>
      <c r="V46">
        <v>-1.35</v>
      </c>
    </row>
    <row r="47" spans="1:24" x14ac:dyDescent="0.25">
      <c r="A47" t="s">
        <v>20</v>
      </c>
      <c r="B47" t="s">
        <v>21</v>
      </c>
      <c r="C47">
        <v>6</v>
      </c>
      <c r="D47">
        <v>7</v>
      </c>
      <c r="E47" s="3">
        <f t="shared" si="0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P47">
        <f t="shared" si="11"/>
        <v>281.88480085228576</v>
      </c>
      <c r="Q47">
        <f t="shared" si="12"/>
        <v>72794.461787243446</v>
      </c>
      <c r="R47">
        <f t="shared" si="3"/>
        <v>174944.632990251</v>
      </c>
      <c r="S47">
        <f t="shared" si="4"/>
        <v>463603.27742416516</v>
      </c>
      <c r="T47">
        <v>282</v>
      </c>
      <c r="U47">
        <v>0.18</v>
      </c>
      <c r="V47">
        <v>-1.35</v>
      </c>
    </row>
    <row r="48" spans="1:24" x14ac:dyDescent="0.25">
      <c r="A48" t="s">
        <v>20</v>
      </c>
      <c r="B48" t="s">
        <v>21</v>
      </c>
      <c r="C48">
        <v>7</v>
      </c>
      <c r="D48">
        <v>7</v>
      </c>
      <c r="E48" s="3">
        <f t="shared" si="0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P48">
        <f t="shared" si="11"/>
        <v>281.96732329790154</v>
      </c>
      <c r="Q48">
        <f t="shared" si="12"/>
        <v>72858.412760649226</v>
      </c>
      <c r="R48">
        <f t="shared" si="3"/>
        <v>175098.3243466696</v>
      </c>
      <c r="S48">
        <f t="shared" si="4"/>
        <v>464010.55951867445</v>
      </c>
      <c r="T48">
        <v>282</v>
      </c>
      <c r="U48">
        <v>0.18</v>
      </c>
      <c r="V48">
        <v>-1.35</v>
      </c>
    </row>
    <row r="49" spans="1:43" x14ac:dyDescent="0.25">
      <c r="A49" t="s">
        <v>20</v>
      </c>
      <c r="B49" t="s">
        <v>21</v>
      </c>
      <c r="C49">
        <v>8</v>
      </c>
      <c r="D49">
        <v>7</v>
      </c>
      <c r="E49" s="3">
        <f t="shared" si="0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P49">
        <f t="shared" si="11"/>
        <v>281.99073112187705</v>
      </c>
      <c r="Q49">
        <f t="shared" si="12"/>
        <v>72876.559528140191</v>
      </c>
      <c r="R49">
        <f t="shared" si="3"/>
        <v>175141.93590036096</v>
      </c>
      <c r="S49">
        <f t="shared" si="4"/>
        <v>464126.13013595651</v>
      </c>
      <c r="T49">
        <v>282</v>
      </c>
      <c r="U49">
        <v>0.18</v>
      </c>
      <c r="V49">
        <v>-1.35</v>
      </c>
    </row>
    <row r="50" spans="1:43" x14ac:dyDescent="0.25">
      <c r="A50" t="s">
        <v>20</v>
      </c>
      <c r="B50" t="s">
        <v>21</v>
      </c>
      <c r="C50">
        <v>9</v>
      </c>
      <c r="D50">
        <v>7</v>
      </c>
      <c r="E50" s="3">
        <f t="shared" si="0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P50">
        <f t="shared" si="11"/>
        <v>281.9973708453993</v>
      </c>
      <c r="Q50">
        <f t="shared" si="12"/>
        <v>72881.70748032369</v>
      </c>
      <c r="R50">
        <f t="shared" si="3"/>
        <v>175154.30781140036</v>
      </c>
      <c r="S50">
        <f t="shared" si="4"/>
        <v>464158.91570021096</v>
      </c>
      <c r="T50">
        <v>282</v>
      </c>
      <c r="U50">
        <v>0.18</v>
      </c>
      <c r="V50">
        <v>-1.35</v>
      </c>
    </row>
    <row r="51" spans="1:43" x14ac:dyDescent="0.25">
      <c r="A51" t="s">
        <v>20</v>
      </c>
      <c r="B51" t="s">
        <v>21</v>
      </c>
      <c r="C51">
        <v>10</v>
      </c>
      <c r="D51">
        <v>7</v>
      </c>
      <c r="E51" s="3">
        <f t="shared" si="0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P51">
        <f t="shared" si="11"/>
        <v>281.9992542297112</v>
      </c>
      <c r="Q51">
        <f t="shared" si="12"/>
        <v>72883.167761823832</v>
      </c>
      <c r="R51">
        <f t="shared" si="3"/>
        <v>175157.81725985062</v>
      </c>
      <c r="S51">
        <f t="shared" si="4"/>
        <v>464168.21573860414</v>
      </c>
      <c r="T51">
        <v>282</v>
      </c>
      <c r="U51">
        <v>0.18</v>
      </c>
      <c r="V51">
        <v>-1.35</v>
      </c>
    </row>
    <row r="52" spans="1:43" x14ac:dyDescent="0.25">
      <c r="A52" s="3" t="s">
        <v>185</v>
      </c>
      <c r="B52" t="s">
        <v>194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13">F52*3.65*5.7*20/1000</f>
        <v>20.469999999626999</v>
      </c>
      <c r="I52">
        <f t="shared" ref="I52:J61" si="14">H52/1000</f>
        <v>2.0469999999626998E-2</v>
      </c>
      <c r="J52">
        <f t="shared" si="14"/>
        <v>2.0469999999626999E-5</v>
      </c>
      <c r="K52">
        <f t="shared" ref="K52:K61" si="15">I52*2.20462</f>
        <v>4.5128571399177669E-2</v>
      </c>
      <c r="L52" s="4">
        <v>1.1599999999999999E-2</v>
      </c>
      <c r="M52" s="4">
        <v>3</v>
      </c>
      <c r="N52">
        <f>(H52/L52)^(1/M52)</f>
        <v>12.084256948656494</v>
      </c>
      <c r="P52" s="3">
        <f>$AQ$54*(1-EXP(-$AQ$55*(E52)))</f>
        <v>17.621741541719221</v>
      </c>
      <c r="Q52" s="3">
        <f t="shared" si="12"/>
        <v>63.475257401935856</v>
      </c>
      <c r="R52" s="3">
        <f t="shared" si="3"/>
        <v>152.54808315774056</v>
      </c>
      <c r="S52" s="3">
        <f t="shared" si="4"/>
        <v>404.25242036801251</v>
      </c>
      <c r="T52" s="3">
        <f>$AQ$54</f>
        <v>29.172666666666665</v>
      </c>
      <c r="U52" s="3">
        <f>$AQ$55</f>
        <v>0.92646666666666677</v>
      </c>
      <c r="V52" s="3">
        <v>0</v>
      </c>
      <c r="X52" t="s">
        <v>225</v>
      </c>
      <c r="Y52" t="s">
        <v>226</v>
      </c>
      <c r="Z52" t="s">
        <v>227</v>
      </c>
      <c r="AA52" t="s">
        <v>228</v>
      </c>
      <c r="AB52" t="s">
        <v>229</v>
      </c>
      <c r="AC52" t="s">
        <v>230</v>
      </c>
      <c r="AD52" t="s">
        <v>231</v>
      </c>
      <c r="AE52" t="s">
        <v>232</v>
      </c>
      <c r="AF52" t="s">
        <v>233</v>
      </c>
      <c r="AG52" t="s">
        <v>234</v>
      </c>
      <c r="AH52" t="s">
        <v>235</v>
      </c>
      <c r="AI52" t="s">
        <v>236</v>
      </c>
      <c r="AJ52" t="s">
        <v>237</v>
      </c>
      <c r="AK52" t="s">
        <v>238</v>
      </c>
      <c r="AL52" t="s">
        <v>239</v>
      </c>
      <c r="AM52" s="3" t="s">
        <v>240</v>
      </c>
      <c r="AN52" t="s">
        <v>241</v>
      </c>
      <c r="AO52" t="s">
        <v>242</v>
      </c>
      <c r="AQ52" t="s">
        <v>456</v>
      </c>
    </row>
    <row r="53" spans="1:43" x14ac:dyDescent="0.25">
      <c r="A53" s="3" t="s">
        <v>185</v>
      </c>
      <c r="B53" t="s">
        <v>194</v>
      </c>
      <c r="C53">
        <v>2</v>
      </c>
      <c r="D53">
        <v>1</v>
      </c>
      <c r="E53">
        <f t="shared" si="0"/>
        <v>2</v>
      </c>
      <c r="F53">
        <v>86.10910835</v>
      </c>
      <c r="G53">
        <v>228.18913710000001</v>
      </c>
      <c r="H53">
        <f t="shared" si="13"/>
        <v>35.829999984435005</v>
      </c>
      <c r="I53">
        <f t="shared" si="14"/>
        <v>3.5829999984435007E-2</v>
      </c>
      <c r="J53">
        <f t="shared" si="14"/>
        <v>3.5829999984435005E-5</v>
      </c>
      <c r="K53">
        <f t="shared" si="15"/>
        <v>7.8991534565685098E-2</v>
      </c>
      <c r="L53" s="4">
        <v>1.1599999999999999E-2</v>
      </c>
      <c r="M53" s="4">
        <v>3</v>
      </c>
      <c r="N53">
        <f t="shared" ref="N53:N61" si="16">(H53/L53)^(1/M53)</f>
        <v>14.563405416509527</v>
      </c>
      <c r="P53" s="3">
        <f t="shared" ref="P53:P61" si="17">$AQ$54*(1-EXP(-$AQ$55*(E53)))</f>
        <v>24.599074791550386</v>
      </c>
      <c r="Q53" s="3">
        <f t="shared" ref="Q53:Q61" si="18">L53*(P53^M53)</f>
        <v>172.6689738425456</v>
      </c>
      <c r="R53" s="3">
        <f t="shared" ref="R53:R61" si="19">Q53/20/5.7/3.65*1000</f>
        <v>414.9698962810516</v>
      </c>
      <c r="S53" s="3">
        <f t="shared" ref="S53:S61" si="20">R53*2.65</f>
        <v>1099.6702251447866</v>
      </c>
      <c r="T53" s="3">
        <f t="shared" ref="T53:T61" si="21">$AQ$54</f>
        <v>29.172666666666665</v>
      </c>
      <c r="U53" s="3">
        <f t="shared" ref="U53:U61" si="22">$AQ$55</f>
        <v>0.92646666666666677</v>
      </c>
      <c r="V53" s="3">
        <v>0</v>
      </c>
      <c r="W53" t="s">
        <v>257</v>
      </c>
      <c r="X53">
        <v>20</v>
      </c>
      <c r="Y53">
        <v>30</v>
      </c>
      <c r="AA53">
        <v>25</v>
      </c>
      <c r="AB53">
        <v>50</v>
      </c>
      <c r="AC53">
        <v>46</v>
      </c>
      <c r="AD53">
        <v>70</v>
      </c>
      <c r="AE53">
        <v>30</v>
      </c>
      <c r="AF53">
        <v>40</v>
      </c>
      <c r="AG53">
        <v>30</v>
      </c>
      <c r="AH53">
        <v>38</v>
      </c>
      <c r="AI53">
        <v>30</v>
      </c>
      <c r="AJ53">
        <v>61</v>
      </c>
      <c r="AK53">
        <v>75</v>
      </c>
      <c r="AL53">
        <v>75</v>
      </c>
      <c r="AM53">
        <v>15</v>
      </c>
      <c r="AN53">
        <v>70</v>
      </c>
      <c r="AO53">
        <v>30</v>
      </c>
      <c r="AQ53">
        <f>AVERAGE(X53:AO53)</f>
        <v>43.235294117647058</v>
      </c>
    </row>
    <row r="54" spans="1:43" x14ac:dyDescent="0.25">
      <c r="A54" s="3" t="s">
        <v>185</v>
      </c>
      <c r="B54" t="s">
        <v>194</v>
      </c>
      <c r="C54">
        <v>3</v>
      </c>
      <c r="D54">
        <v>1</v>
      </c>
      <c r="E54">
        <f t="shared" si="0"/>
        <v>3</v>
      </c>
      <c r="F54">
        <v>123.02331169999999</v>
      </c>
      <c r="G54">
        <v>326.011776</v>
      </c>
      <c r="H54">
        <f t="shared" si="13"/>
        <v>51.189999998369998</v>
      </c>
      <c r="I54">
        <f t="shared" si="14"/>
        <v>5.1189999998369998E-2</v>
      </c>
      <c r="J54">
        <f t="shared" si="14"/>
        <v>5.118999999837E-5</v>
      </c>
      <c r="K54">
        <f t="shared" si="15"/>
        <v>0.11285449779640645</v>
      </c>
      <c r="L54" s="4">
        <v>1.1599999999999999E-2</v>
      </c>
      <c r="M54" s="4">
        <v>3</v>
      </c>
      <c r="N54">
        <f t="shared" si="16"/>
        <v>16.402462244751348</v>
      </c>
      <c r="P54" s="3">
        <f t="shared" si="17"/>
        <v>27.361751747397392</v>
      </c>
      <c r="Q54" s="3">
        <f t="shared" si="18"/>
        <v>237.62366170011049</v>
      </c>
      <c r="R54" s="3">
        <f t="shared" si="19"/>
        <v>571.0734479695036</v>
      </c>
      <c r="S54" s="3">
        <f t="shared" si="20"/>
        <v>1513.3446371191844</v>
      </c>
      <c r="T54" s="3">
        <f t="shared" si="21"/>
        <v>29.172666666666665</v>
      </c>
      <c r="U54" s="3">
        <f t="shared" si="22"/>
        <v>0.92646666666666677</v>
      </c>
      <c r="V54" s="3">
        <v>0</v>
      </c>
      <c r="W54" t="s">
        <v>243</v>
      </c>
      <c r="X54">
        <v>20</v>
      </c>
      <c r="Y54">
        <v>30.4</v>
      </c>
      <c r="Z54">
        <v>49.7</v>
      </c>
      <c r="AA54">
        <v>26.2</v>
      </c>
      <c r="AB54">
        <v>34.5</v>
      </c>
      <c r="AC54">
        <v>31.4</v>
      </c>
      <c r="AD54">
        <v>3.19</v>
      </c>
      <c r="AE54">
        <v>32.299999999999997</v>
      </c>
      <c r="AF54">
        <v>27</v>
      </c>
      <c r="AH54">
        <v>21.6</v>
      </c>
      <c r="AI54">
        <v>27.7</v>
      </c>
      <c r="AK54">
        <v>37.4</v>
      </c>
      <c r="AL54">
        <v>41.2</v>
      </c>
      <c r="AM54">
        <v>13</v>
      </c>
      <c r="AN54">
        <v>42</v>
      </c>
      <c r="AQ54">
        <f t="shared" ref="AQ54:AQ55" si="23">AVERAGE(X54:AO54)</f>
        <v>29.172666666666665</v>
      </c>
    </row>
    <row r="55" spans="1:43" x14ac:dyDescent="0.25">
      <c r="A55" s="3" t="s">
        <v>185</v>
      </c>
      <c r="B55" t="s">
        <v>194</v>
      </c>
      <c r="C55">
        <v>4</v>
      </c>
      <c r="D55">
        <v>1</v>
      </c>
      <c r="E55">
        <f t="shared" si="0"/>
        <v>4</v>
      </c>
      <c r="F55">
        <v>164.56380680000001</v>
      </c>
      <c r="G55">
        <v>436.094088</v>
      </c>
      <c r="H55">
        <f t="shared" si="13"/>
        <v>68.475000009479999</v>
      </c>
      <c r="I55">
        <f t="shared" si="14"/>
        <v>6.8475000009479994E-2</v>
      </c>
      <c r="J55">
        <f t="shared" si="14"/>
        <v>6.847500000947999E-5</v>
      </c>
      <c r="K55">
        <f t="shared" si="15"/>
        <v>0.15096135452089976</v>
      </c>
      <c r="L55" s="4">
        <v>1.1599999999999999E-2</v>
      </c>
      <c r="M55" s="4">
        <v>3</v>
      </c>
      <c r="N55">
        <f t="shared" si="16"/>
        <v>18.072768429706162</v>
      </c>
      <c r="P55" s="3">
        <f t="shared" si="17"/>
        <v>28.455634422780964</v>
      </c>
      <c r="Q55" s="3">
        <f t="shared" si="18"/>
        <v>267.27775043602952</v>
      </c>
      <c r="R55" s="3">
        <f t="shared" si="19"/>
        <v>642.34018369629791</v>
      </c>
      <c r="S55" s="3">
        <f t="shared" si="20"/>
        <v>1702.2014867951893</v>
      </c>
      <c r="T55" s="3">
        <f t="shared" si="21"/>
        <v>29.172666666666665</v>
      </c>
      <c r="U55" s="3">
        <f t="shared" si="22"/>
        <v>0.92646666666666677</v>
      </c>
      <c r="V55" s="3">
        <v>0</v>
      </c>
      <c r="W55" t="s">
        <v>244</v>
      </c>
      <c r="X55">
        <v>4.8</v>
      </c>
      <c r="Y55">
        <v>1.5</v>
      </c>
      <c r="Z55">
        <v>0.3</v>
      </c>
      <c r="AA55">
        <v>0.3</v>
      </c>
      <c r="AB55">
        <v>0.71</v>
      </c>
      <c r="AC55">
        <v>0.3</v>
      </c>
      <c r="AD55">
        <v>1.9</v>
      </c>
      <c r="AE55">
        <v>0.3</v>
      </c>
      <c r="AF55">
        <v>0.3</v>
      </c>
      <c r="AH55">
        <v>0.38</v>
      </c>
      <c r="AI55">
        <v>0.4</v>
      </c>
      <c r="AK55">
        <v>0.82</v>
      </c>
      <c r="AL55">
        <v>0.187</v>
      </c>
      <c r="AM55">
        <v>1.4</v>
      </c>
      <c r="AN55">
        <v>0.3</v>
      </c>
      <c r="AQ55">
        <f t="shared" si="23"/>
        <v>0.92646666666666677</v>
      </c>
    </row>
    <row r="56" spans="1:43" x14ac:dyDescent="0.25">
      <c r="A56" s="3" t="s">
        <v>185</v>
      </c>
      <c r="B56" t="s">
        <v>194</v>
      </c>
      <c r="C56">
        <v>5</v>
      </c>
      <c r="D56">
        <v>1</v>
      </c>
      <c r="E56">
        <f t="shared" si="0"/>
        <v>5</v>
      </c>
      <c r="F56">
        <v>206.1043018</v>
      </c>
      <c r="G56">
        <v>546.17639980000001</v>
      </c>
      <c r="H56">
        <f t="shared" si="13"/>
        <v>85.759999978980019</v>
      </c>
      <c r="I56">
        <f t="shared" si="14"/>
        <v>8.5759999978980025E-2</v>
      </c>
      <c r="J56">
        <f t="shared" si="14"/>
        <v>8.5759999978980022E-5</v>
      </c>
      <c r="K56">
        <f t="shared" si="15"/>
        <v>0.18906821115365893</v>
      </c>
      <c r="L56" s="4">
        <v>1.1599999999999999E-2</v>
      </c>
      <c r="M56" s="4">
        <v>3</v>
      </c>
      <c r="N56">
        <f t="shared" si="16"/>
        <v>19.480895992192735</v>
      </c>
      <c r="P56" s="3">
        <f t="shared" si="17"/>
        <v>28.888757559010063</v>
      </c>
      <c r="Q56" s="3">
        <f t="shared" si="18"/>
        <v>279.66916248891692</v>
      </c>
      <c r="R56" s="3">
        <f t="shared" si="19"/>
        <v>672.12007327305196</v>
      </c>
      <c r="S56" s="3">
        <f t="shared" si="20"/>
        <v>1781.1181941735877</v>
      </c>
      <c r="T56" s="3">
        <f t="shared" si="21"/>
        <v>29.172666666666665</v>
      </c>
      <c r="U56" s="3">
        <f t="shared" si="22"/>
        <v>0.92646666666666677</v>
      </c>
      <c r="V56" s="3">
        <v>0</v>
      </c>
      <c r="W56" t="s">
        <v>245</v>
      </c>
      <c r="Y56">
        <v>-0.05</v>
      </c>
      <c r="AB56">
        <v>-0.19</v>
      </c>
      <c r="AH56">
        <v>-0.98</v>
      </c>
      <c r="AK56">
        <v>-1.6</v>
      </c>
      <c r="AL56">
        <v>-3.03</v>
      </c>
      <c r="AQ56">
        <f>AVERAGE(X56:AO56)</f>
        <v>-1.17</v>
      </c>
    </row>
    <row r="57" spans="1:43" x14ac:dyDescent="0.25">
      <c r="A57" s="3" t="s">
        <v>185</v>
      </c>
      <c r="B57" t="s">
        <v>194</v>
      </c>
      <c r="C57">
        <v>6</v>
      </c>
      <c r="D57">
        <v>1</v>
      </c>
      <c r="E57">
        <f t="shared" si="0"/>
        <v>6</v>
      </c>
      <c r="F57">
        <v>244.71280949999999</v>
      </c>
      <c r="G57">
        <v>648.48894510000002</v>
      </c>
      <c r="H57">
        <f t="shared" si="13"/>
        <v>101.82500003294999</v>
      </c>
      <c r="I57">
        <f t="shared" si="14"/>
        <v>0.10182500003294999</v>
      </c>
      <c r="J57">
        <f t="shared" si="14"/>
        <v>1.0182500003294998E-4</v>
      </c>
      <c r="K57">
        <f t="shared" si="15"/>
        <v>0.2244854315726422</v>
      </c>
      <c r="L57" s="4">
        <v>1.1599999999999999E-2</v>
      </c>
      <c r="M57" s="4">
        <v>3</v>
      </c>
      <c r="N57">
        <f t="shared" si="16"/>
        <v>20.628396791384404</v>
      </c>
      <c r="P57" s="3">
        <f t="shared" si="17"/>
        <v>29.060252779986254</v>
      </c>
      <c r="Q57" s="3">
        <f t="shared" si="18"/>
        <v>284.67947239585664</v>
      </c>
      <c r="R57" s="3">
        <f t="shared" si="19"/>
        <v>684.1611929724985</v>
      </c>
      <c r="S57" s="3">
        <f t="shared" si="20"/>
        <v>1813.027161377121</v>
      </c>
      <c r="T57" s="3">
        <f t="shared" si="21"/>
        <v>29.172666666666665</v>
      </c>
      <c r="U57" s="3">
        <f t="shared" si="22"/>
        <v>0.92646666666666677</v>
      </c>
      <c r="V57" s="3">
        <v>0</v>
      </c>
      <c r="W57" t="s">
        <v>246</v>
      </c>
      <c r="X57" t="s">
        <v>247</v>
      </c>
      <c r="Y57" t="s">
        <v>249</v>
      </c>
      <c r="Z57" t="s">
        <v>252</v>
      </c>
      <c r="AA57" t="s">
        <v>252</v>
      </c>
      <c r="AB57" t="s">
        <v>255</v>
      </c>
      <c r="AC57" t="s">
        <v>252</v>
      </c>
      <c r="AD57" t="s">
        <v>258</v>
      </c>
      <c r="AE57" t="s">
        <v>258</v>
      </c>
      <c r="AF57" t="s">
        <v>258</v>
      </c>
      <c r="AG57" t="s">
        <v>263</v>
      </c>
      <c r="AH57" t="s">
        <v>265</v>
      </c>
      <c r="AI57" t="s">
        <v>258</v>
      </c>
      <c r="AJ57" t="s">
        <v>263</v>
      </c>
      <c r="AK57" t="s">
        <v>269</v>
      </c>
      <c r="AL57" t="s">
        <v>271</v>
      </c>
      <c r="AM57" t="s">
        <v>258</v>
      </c>
      <c r="AN57" t="s">
        <v>274</v>
      </c>
      <c r="AO57" t="s">
        <v>263</v>
      </c>
    </row>
    <row r="58" spans="1:43" x14ac:dyDescent="0.25">
      <c r="A58" s="3" t="s">
        <v>185</v>
      </c>
      <c r="B58" t="s">
        <v>194</v>
      </c>
      <c r="C58">
        <v>7</v>
      </c>
      <c r="D58">
        <v>1</v>
      </c>
      <c r="E58">
        <f t="shared" si="0"/>
        <v>7</v>
      </c>
      <c r="F58">
        <v>283.32131700000002</v>
      </c>
      <c r="G58">
        <v>750.80149010000002</v>
      </c>
      <c r="H58">
        <f t="shared" si="13"/>
        <v>117.89000000370002</v>
      </c>
      <c r="I58">
        <f t="shared" si="14"/>
        <v>0.11789000000370002</v>
      </c>
      <c r="J58">
        <f t="shared" si="14"/>
        <v>1.1789000000370003E-4</v>
      </c>
      <c r="K58">
        <f t="shared" si="15"/>
        <v>0.25990265180815714</v>
      </c>
      <c r="L58" s="4">
        <v>1.1599999999999999E-2</v>
      </c>
      <c r="M58" s="4">
        <v>3</v>
      </c>
      <c r="N58">
        <f t="shared" si="16"/>
        <v>21.66072520689421</v>
      </c>
      <c r="P58" s="3">
        <f t="shared" si="17"/>
        <v>29.128156358339815</v>
      </c>
      <c r="Q58" s="3">
        <f t="shared" si="18"/>
        <v>286.67972607794462</v>
      </c>
      <c r="R58" s="3">
        <f t="shared" si="19"/>
        <v>688.96833952882616</v>
      </c>
      <c r="S58" s="3">
        <f t="shared" si="20"/>
        <v>1825.7660997513892</v>
      </c>
      <c r="T58" s="3">
        <f t="shared" si="21"/>
        <v>29.172666666666665</v>
      </c>
      <c r="U58" s="3">
        <f t="shared" si="22"/>
        <v>0.92646666666666677</v>
      </c>
      <c r="V58" s="3">
        <v>0</v>
      </c>
      <c r="W58" t="s">
        <v>279</v>
      </c>
      <c r="X58" s="5" t="s">
        <v>248</v>
      </c>
      <c r="Y58" s="5" t="s">
        <v>250</v>
      </c>
      <c r="Z58" s="5" t="s">
        <v>251</v>
      </c>
      <c r="AA58" s="5" t="s">
        <v>253</v>
      </c>
      <c r="AB58" s="5" t="s">
        <v>254</v>
      </c>
      <c r="AC58" s="5" t="s">
        <v>256</v>
      </c>
      <c r="AD58" s="5" t="s">
        <v>260</v>
      </c>
      <c r="AE58" s="5" t="s">
        <v>259</v>
      </c>
      <c r="AF58" s="5" t="s">
        <v>261</v>
      </c>
      <c r="AG58" s="5" t="s">
        <v>262</v>
      </c>
      <c r="AH58" s="5" t="s">
        <v>264</v>
      </c>
      <c r="AI58" s="5" t="s">
        <v>266</v>
      </c>
      <c r="AJ58" s="5" t="s">
        <v>267</v>
      </c>
      <c r="AK58" s="5" t="s">
        <v>268</v>
      </c>
      <c r="AL58" s="5" t="s">
        <v>270</v>
      </c>
      <c r="AM58" s="5" t="s">
        <v>272</v>
      </c>
      <c r="AN58" s="5" t="s">
        <v>273</v>
      </c>
      <c r="AO58" s="5" t="s">
        <v>275</v>
      </c>
    </row>
    <row r="59" spans="1:43" x14ac:dyDescent="0.25">
      <c r="A59" s="3" t="s">
        <v>185</v>
      </c>
      <c r="B59" t="s">
        <v>194</v>
      </c>
      <c r="C59">
        <v>8</v>
      </c>
      <c r="D59">
        <v>1</v>
      </c>
      <c r="E59">
        <f t="shared" si="0"/>
        <v>8</v>
      </c>
      <c r="F59">
        <v>314.44364339999998</v>
      </c>
      <c r="G59">
        <v>833.27565500000003</v>
      </c>
      <c r="H59">
        <f t="shared" si="13"/>
        <v>130.84000001874</v>
      </c>
      <c r="I59">
        <f t="shared" si="14"/>
        <v>0.13084000001873999</v>
      </c>
      <c r="J59">
        <f t="shared" si="14"/>
        <v>1.3084000001873999E-4</v>
      </c>
      <c r="K59">
        <f t="shared" si="15"/>
        <v>0.28845248084131453</v>
      </c>
      <c r="L59" s="4">
        <v>1.1599999999999999E-2</v>
      </c>
      <c r="M59" s="4">
        <v>3</v>
      </c>
      <c r="N59">
        <f t="shared" si="16"/>
        <v>22.426466342807739</v>
      </c>
      <c r="P59" s="3">
        <f t="shared" si="17"/>
        <v>29.155042798247422</v>
      </c>
      <c r="Q59" s="3">
        <f t="shared" si="18"/>
        <v>287.47430922185566</v>
      </c>
      <c r="R59" s="3">
        <f t="shared" si="19"/>
        <v>690.87793612558437</v>
      </c>
      <c r="S59" s="3">
        <f t="shared" si="20"/>
        <v>1830.8265307327986</v>
      </c>
      <c r="T59" s="3">
        <f t="shared" si="21"/>
        <v>29.172666666666665</v>
      </c>
      <c r="U59" s="3">
        <f t="shared" si="22"/>
        <v>0.92646666666666677</v>
      </c>
      <c r="V59" s="3">
        <v>0</v>
      </c>
    </row>
    <row r="60" spans="1:43" x14ac:dyDescent="0.25">
      <c r="A60" s="3" t="s">
        <v>185</v>
      </c>
      <c r="B60" t="s">
        <v>194</v>
      </c>
      <c r="C60">
        <v>9</v>
      </c>
      <c r="D60">
        <v>1</v>
      </c>
      <c r="E60">
        <f t="shared" si="0"/>
        <v>9</v>
      </c>
      <c r="F60">
        <v>345.5659698</v>
      </c>
      <c r="G60">
        <v>915.74981979999995</v>
      </c>
      <c r="H60">
        <f t="shared" si="13"/>
        <v>143.79000003377999</v>
      </c>
      <c r="I60">
        <f t="shared" si="14"/>
        <v>0.14379000003377998</v>
      </c>
      <c r="J60">
        <f t="shared" si="14"/>
        <v>1.4379000003377998E-4</v>
      </c>
      <c r="K60">
        <f t="shared" si="15"/>
        <v>0.31700230987447198</v>
      </c>
      <c r="L60" s="4">
        <v>1.1599999999999999E-2</v>
      </c>
      <c r="M60" s="4">
        <v>3</v>
      </c>
      <c r="N60">
        <f t="shared" si="16"/>
        <v>23.143208333852019</v>
      </c>
      <c r="P60" s="3">
        <f t="shared" si="17"/>
        <v>29.165688491279113</v>
      </c>
      <c r="Q60" s="3">
        <f t="shared" si="18"/>
        <v>287.78932994100325</v>
      </c>
      <c r="R60" s="3">
        <f t="shared" si="19"/>
        <v>691.63501547945987</v>
      </c>
      <c r="S60" s="3">
        <f t="shared" si="20"/>
        <v>1832.8327910205685</v>
      </c>
      <c r="T60" s="3">
        <f t="shared" si="21"/>
        <v>29.172666666666665</v>
      </c>
      <c r="U60" s="3">
        <f t="shared" si="22"/>
        <v>0.92646666666666677</v>
      </c>
      <c r="V60" s="3">
        <v>0</v>
      </c>
    </row>
    <row r="61" spans="1:43" x14ac:dyDescent="0.25">
      <c r="A61" s="3" t="s">
        <v>185</v>
      </c>
      <c r="B61" t="s">
        <v>194</v>
      </c>
      <c r="C61">
        <v>10</v>
      </c>
      <c r="D61">
        <v>1</v>
      </c>
      <c r="E61">
        <f t="shared" si="0"/>
        <v>10</v>
      </c>
      <c r="F61">
        <v>372.74693589999998</v>
      </c>
      <c r="G61">
        <v>987.77937999999995</v>
      </c>
      <c r="H61">
        <f t="shared" si="13"/>
        <v>155.10000002799001</v>
      </c>
      <c r="I61">
        <f t="shared" si="14"/>
        <v>0.15510000002799001</v>
      </c>
      <c r="J61">
        <f t="shared" si="14"/>
        <v>1.5510000002799001E-4</v>
      </c>
      <c r="K61">
        <f t="shared" si="15"/>
        <v>0.34193656206170731</v>
      </c>
      <c r="L61" s="4">
        <v>1.1599999999999999E-2</v>
      </c>
      <c r="M61" s="4">
        <v>3</v>
      </c>
      <c r="N61">
        <f t="shared" si="16"/>
        <v>23.734746790222747</v>
      </c>
      <c r="P61" s="3">
        <f t="shared" si="17"/>
        <v>29.169903656266161</v>
      </c>
      <c r="Q61" s="3">
        <f t="shared" si="18"/>
        <v>287.91412605230533</v>
      </c>
      <c r="R61" s="3">
        <f t="shared" si="19"/>
        <v>691.93493403582147</v>
      </c>
      <c r="S61" s="3">
        <f t="shared" si="20"/>
        <v>1833.6275751949267</v>
      </c>
      <c r="T61" s="3">
        <f t="shared" si="21"/>
        <v>29.172666666666665</v>
      </c>
      <c r="U61" s="3">
        <f t="shared" si="22"/>
        <v>0.92646666666666677</v>
      </c>
      <c r="V61" s="3">
        <v>0</v>
      </c>
    </row>
    <row r="62" spans="1:43" x14ac:dyDescent="0.25">
      <c r="A62" t="s">
        <v>22</v>
      </c>
      <c r="B62" t="s">
        <v>23</v>
      </c>
      <c r="C62">
        <v>1</v>
      </c>
      <c r="D62">
        <v>2</v>
      </c>
      <c r="E62">
        <f t="shared" si="0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P62">
        <f>58.9*(1-EXP(-0.22*(E62-0.207)))</f>
        <v>19.198812834563672</v>
      </c>
      <c r="Q62">
        <f t="shared" si="12"/>
        <v>106.1486275676733</v>
      </c>
      <c r="R62">
        <f t="shared" si="3"/>
        <v>255.10364712250257</v>
      </c>
      <c r="S62">
        <f t="shared" si="4"/>
        <v>676.02466487463175</v>
      </c>
      <c r="T62" s="6">
        <v>58.9</v>
      </c>
      <c r="U62" s="6">
        <v>0.22</v>
      </c>
      <c r="V62" s="6">
        <v>0.20699999999999999</v>
      </c>
      <c r="X62" t="s">
        <v>224</v>
      </c>
    </row>
    <row r="63" spans="1:43" x14ac:dyDescent="0.25">
      <c r="A63" t="s">
        <v>22</v>
      </c>
      <c r="B63" t="s">
        <v>23</v>
      </c>
      <c r="C63">
        <v>2</v>
      </c>
      <c r="D63">
        <v>2</v>
      </c>
      <c r="E63">
        <f t="shared" si="0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P63">
        <f t="shared" ref="P63:P71" si="24">58.9*(1-EXP(-0.22*(E63-0.207)))</f>
        <v>33.330989505220444</v>
      </c>
      <c r="Q63">
        <f t="shared" ref="Q63:Q72" si="25">L63*(P63^M63)</f>
        <v>555.43837239001323</v>
      </c>
      <c r="R63">
        <f t="shared" si="3"/>
        <v>1334.8675135544656</v>
      </c>
      <c r="S63">
        <f t="shared" si="4"/>
        <v>3537.398910919334</v>
      </c>
      <c r="T63" s="6">
        <v>58.9</v>
      </c>
      <c r="U63" s="6">
        <v>0.22</v>
      </c>
      <c r="V63" s="6">
        <v>0.20699999999999999</v>
      </c>
    </row>
    <row r="64" spans="1:43" x14ac:dyDescent="0.25">
      <c r="A64" t="s">
        <v>22</v>
      </c>
      <c r="B64" t="s">
        <v>23</v>
      </c>
      <c r="C64">
        <v>3</v>
      </c>
      <c r="D64">
        <v>2</v>
      </c>
      <c r="E64">
        <f t="shared" si="0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P64">
        <f t="shared" si="24"/>
        <v>42.432625990304892</v>
      </c>
      <c r="Q64">
        <f t="shared" si="25"/>
        <v>1146.0168080164115</v>
      </c>
      <c r="R64">
        <f t="shared" si="3"/>
        <v>2754.1860322432385</v>
      </c>
      <c r="S64">
        <f t="shared" si="4"/>
        <v>7298.5929854445822</v>
      </c>
      <c r="T64" s="6">
        <v>58.9</v>
      </c>
      <c r="U64" s="6">
        <v>0.22</v>
      </c>
      <c r="V64" s="6">
        <v>0.20699999999999999</v>
      </c>
    </row>
    <row r="65" spans="1:29" x14ac:dyDescent="0.25">
      <c r="A65" t="s">
        <v>22</v>
      </c>
      <c r="B65" t="s">
        <v>23</v>
      </c>
      <c r="C65">
        <v>4</v>
      </c>
      <c r="D65">
        <v>2</v>
      </c>
      <c r="E65">
        <f t="shared" si="0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P65">
        <f t="shared" si="24"/>
        <v>48.294411378158422</v>
      </c>
      <c r="Q65">
        <f t="shared" si="25"/>
        <v>1689.5921790812824</v>
      </c>
      <c r="R65">
        <f t="shared" si="3"/>
        <v>4060.5435690489849</v>
      </c>
      <c r="S65">
        <f t="shared" si="4"/>
        <v>10760.44045797981</v>
      </c>
      <c r="T65" s="6">
        <v>58.9</v>
      </c>
      <c r="U65" s="6">
        <v>0.22</v>
      </c>
      <c r="V65" s="6">
        <v>0.20699999999999999</v>
      </c>
    </row>
    <row r="66" spans="1:29" x14ac:dyDescent="0.25">
      <c r="A66" t="s">
        <v>22</v>
      </c>
      <c r="B66" t="s">
        <v>23</v>
      </c>
      <c r="C66">
        <v>5</v>
      </c>
      <c r="D66">
        <v>2</v>
      </c>
      <c r="E66">
        <f t="shared" si="0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P66">
        <f t="shared" si="24"/>
        <v>52.06961466050906</v>
      </c>
      <c r="Q66">
        <f t="shared" si="25"/>
        <v>2117.6020570614833</v>
      </c>
      <c r="R66">
        <f t="shared" si="3"/>
        <v>5089.166202983617</v>
      </c>
      <c r="S66">
        <f t="shared" si="4"/>
        <v>13486.290437906584</v>
      </c>
      <c r="T66" s="6">
        <v>58.9</v>
      </c>
      <c r="U66" s="6">
        <v>0.22</v>
      </c>
      <c r="V66" s="6">
        <v>0.20699999999999999</v>
      </c>
    </row>
    <row r="67" spans="1:29" x14ac:dyDescent="0.25">
      <c r="A67" t="s">
        <v>22</v>
      </c>
      <c r="B67" t="s">
        <v>23</v>
      </c>
      <c r="C67">
        <v>6</v>
      </c>
      <c r="D67">
        <v>2</v>
      </c>
      <c r="E67">
        <f t="shared" ref="E67:E130" si="26">C67*D67</f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P67">
        <f t="shared" si="24"/>
        <v>54.500983071335504</v>
      </c>
      <c r="Q67">
        <f t="shared" si="25"/>
        <v>2428.3107759137242</v>
      </c>
      <c r="R67">
        <f t="shared" si="3"/>
        <v>5835.8826626140935</v>
      </c>
      <c r="S67">
        <f t="shared" si="4"/>
        <v>15465.089055927347</v>
      </c>
      <c r="T67" s="6">
        <v>58.9</v>
      </c>
      <c r="U67" s="6">
        <v>0.22</v>
      </c>
      <c r="V67" s="6">
        <v>0.20699999999999999</v>
      </c>
    </row>
    <row r="68" spans="1:29" x14ac:dyDescent="0.25">
      <c r="A68" t="s">
        <v>22</v>
      </c>
      <c r="B68" t="s">
        <v>23</v>
      </c>
      <c r="C68">
        <v>7</v>
      </c>
      <c r="D68">
        <v>2</v>
      </c>
      <c r="E68">
        <f t="shared" si="26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P68">
        <f t="shared" si="24"/>
        <v>56.066872880978764</v>
      </c>
      <c r="Q68">
        <f t="shared" si="25"/>
        <v>2643.6883748447081</v>
      </c>
      <c r="R68">
        <f t="shared" si="3"/>
        <v>6353.4928499031676</v>
      </c>
      <c r="S68">
        <f t="shared" si="4"/>
        <v>16836.756052243392</v>
      </c>
      <c r="T68" s="6">
        <v>58.9</v>
      </c>
      <c r="U68" s="6">
        <v>0.22</v>
      </c>
      <c r="V68" s="6">
        <v>0.20699999999999999</v>
      </c>
    </row>
    <row r="69" spans="1:29" x14ac:dyDescent="0.25">
      <c r="A69" t="s">
        <v>22</v>
      </c>
      <c r="B69" t="s">
        <v>23</v>
      </c>
      <c r="C69">
        <v>8</v>
      </c>
      <c r="D69">
        <v>2</v>
      </c>
      <c r="E69">
        <f t="shared" si="26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P69">
        <f t="shared" si="24"/>
        <v>57.075362949791973</v>
      </c>
      <c r="Q69">
        <f t="shared" si="25"/>
        <v>2788.928014602604</v>
      </c>
      <c r="R69">
        <f t="shared" si="3"/>
        <v>6702.5426931088768</v>
      </c>
      <c r="S69">
        <f t="shared" si="4"/>
        <v>17761.738136738524</v>
      </c>
      <c r="T69" s="6">
        <v>58.9</v>
      </c>
      <c r="U69" s="6">
        <v>0.22</v>
      </c>
      <c r="V69" s="6">
        <v>0.20699999999999999</v>
      </c>
    </row>
    <row r="70" spans="1:29" x14ac:dyDescent="0.25">
      <c r="A70" t="s">
        <v>22</v>
      </c>
      <c r="B70" t="s">
        <v>23</v>
      </c>
      <c r="C70">
        <v>9</v>
      </c>
      <c r="D70">
        <v>2</v>
      </c>
      <c r="E70">
        <f t="shared" si="26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P70">
        <f t="shared" si="24"/>
        <v>57.724867284408319</v>
      </c>
      <c r="Q70">
        <f t="shared" si="25"/>
        <v>2885.2276689179434</v>
      </c>
      <c r="R70">
        <f t="shared" si="3"/>
        <v>6933.976613597556</v>
      </c>
      <c r="S70">
        <f t="shared" si="4"/>
        <v>18375.038026033522</v>
      </c>
      <c r="T70" s="6">
        <v>58.9</v>
      </c>
      <c r="U70" s="6">
        <v>0.22</v>
      </c>
      <c r="V70" s="6">
        <v>0.20699999999999999</v>
      </c>
    </row>
    <row r="71" spans="1:29" x14ac:dyDescent="0.25">
      <c r="A71" t="s">
        <v>22</v>
      </c>
      <c r="B71" t="s">
        <v>23</v>
      </c>
      <c r="C71">
        <v>10</v>
      </c>
      <c r="D71">
        <v>2</v>
      </c>
      <c r="E71">
        <f t="shared" si="26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P71">
        <f t="shared" si="24"/>
        <v>58.14317173155262</v>
      </c>
      <c r="Q71">
        <f t="shared" si="25"/>
        <v>2948.4068809014666</v>
      </c>
      <c r="R71">
        <f t="shared" si="3"/>
        <v>7085.8132201429144</v>
      </c>
      <c r="S71">
        <f t="shared" si="4"/>
        <v>18777.405033378724</v>
      </c>
      <c r="T71" s="6">
        <v>58.9</v>
      </c>
      <c r="U71" s="6">
        <v>0.22</v>
      </c>
      <c r="V71" s="6">
        <v>0.20699999999999999</v>
      </c>
    </row>
    <row r="72" spans="1:29" x14ac:dyDescent="0.25">
      <c r="A72" t="s">
        <v>24</v>
      </c>
      <c r="B72" t="s">
        <v>25</v>
      </c>
      <c r="C72">
        <v>1</v>
      </c>
      <c r="D72">
        <v>1</v>
      </c>
      <c r="E72">
        <f t="shared" si="26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P72">
        <f>21.02*(1-EXP(-0.86*(E72+0.0699)))</f>
        <v>12.644084665180449</v>
      </c>
      <c r="Q72">
        <f t="shared" si="25"/>
        <v>42.450370046910848</v>
      </c>
      <c r="R72">
        <f t="shared" si="3"/>
        <v>102.0196348159357</v>
      </c>
      <c r="S72">
        <f t="shared" si="4"/>
        <v>270.35203226222961</v>
      </c>
      <c r="T72" s="6">
        <v>21.02</v>
      </c>
      <c r="U72" s="6">
        <v>0.86</v>
      </c>
      <c r="V72" s="6">
        <v>-6.9989999999999997E-2</v>
      </c>
      <c r="X72" t="s">
        <v>224</v>
      </c>
    </row>
    <row r="73" spans="1:29" x14ac:dyDescent="0.25">
      <c r="A73" t="s">
        <v>24</v>
      </c>
      <c r="B73" t="s">
        <v>25</v>
      </c>
      <c r="C73">
        <v>2</v>
      </c>
      <c r="D73">
        <v>1</v>
      </c>
      <c r="E73">
        <f t="shared" si="26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P73">
        <f>21.02*(1-EXP(-0.86*(E73+0.0699)))</f>
        <v>17.475630225600593</v>
      </c>
      <c r="Q73">
        <f t="shared" ref="Q73:Q81" si="27">L73*(P73^M73)</f>
        <v>112.07734512046073</v>
      </c>
      <c r="R73">
        <f t="shared" si="3"/>
        <v>269.35194693693995</v>
      </c>
      <c r="S73">
        <f t="shared" si="4"/>
        <v>713.78265938289087</v>
      </c>
      <c r="T73" s="6">
        <v>21.02</v>
      </c>
      <c r="U73" s="6">
        <v>0.86</v>
      </c>
      <c r="V73" s="6">
        <v>-6.9989999999999997E-2</v>
      </c>
    </row>
    <row r="74" spans="1:29" x14ac:dyDescent="0.25">
      <c r="A74" t="s">
        <v>24</v>
      </c>
      <c r="B74" t="s">
        <v>25</v>
      </c>
      <c r="C74">
        <v>3</v>
      </c>
      <c r="D74">
        <v>1</v>
      </c>
      <c r="E74">
        <f t="shared" si="26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P74">
        <f t="shared" ref="P74:P81" si="28">21.02*(1-EXP(-0.86*(E74+0.0699)))</f>
        <v>19.520157105761058</v>
      </c>
      <c r="Q74">
        <f t="shared" si="27"/>
        <v>156.19575290882494</v>
      </c>
      <c r="R74">
        <f t="shared" si="3"/>
        <v>375.380324222122</v>
      </c>
      <c r="S74">
        <f t="shared" si="4"/>
        <v>994.75785918862323</v>
      </c>
      <c r="T74" s="6">
        <v>21.02</v>
      </c>
      <c r="U74" s="6">
        <v>0.86</v>
      </c>
      <c r="V74" s="6">
        <v>-6.9989999999999997E-2</v>
      </c>
    </row>
    <row r="75" spans="1:29" x14ac:dyDescent="0.25">
      <c r="A75" t="s">
        <v>24</v>
      </c>
      <c r="B75" t="s">
        <v>25</v>
      </c>
      <c r="C75">
        <v>4</v>
      </c>
      <c r="D75">
        <v>1</v>
      </c>
      <c r="E75">
        <f t="shared" si="26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P75">
        <f t="shared" si="28"/>
        <v>20.385323357724371</v>
      </c>
      <c r="Q75">
        <f t="shared" si="27"/>
        <v>177.89842738929704</v>
      </c>
      <c r="R75">
        <f t="shared" si="3"/>
        <v>427.53767697499887</v>
      </c>
      <c r="S75">
        <f t="shared" si="4"/>
        <v>1132.974843983747</v>
      </c>
      <c r="T75" s="6">
        <v>21.02</v>
      </c>
      <c r="U75" s="6">
        <v>0.86</v>
      </c>
      <c r="V75" s="6">
        <v>-6.9989999999999997E-2</v>
      </c>
    </row>
    <row r="76" spans="1:29" x14ac:dyDescent="0.25">
      <c r="A76" t="s">
        <v>24</v>
      </c>
      <c r="B76" t="s">
        <v>25</v>
      </c>
      <c r="C76">
        <v>5</v>
      </c>
      <c r="D76">
        <v>1</v>
      </c>
      <c r="E76">
        <f t="shared" si="26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P76">
        <f t="shared" si="28"/>
        <v>20.751428910456205</v>
      </c>
      <c r="Q76">
        <f t="shared" si="27"/>
        <v>187.65637186545774</v>
      </c>
      <c r="R76">
        <f t="shared" si="3"/>
        <v>450.98863702345051</v>
      </c>
      <c r="S76">
        <f t="shared" si="4"/>
        <v>1195.1198881121438</v>
      </c>
      <c r="T76" s="6">
        <v>21.02</v>
      </c>
      <c r="U76" s="6">
        <v>0.86</v>
      </c>
      <c r="V76" s="6">
        <v>-6.9989999999999997E-2</v>
      </c>
    </row>
    <row r="77" spans="1:29" x14ac:dyDescent="0.25">
      <c r="A77" t="s">
        <v>24</v>
      </c>
      <c r="B77" t="s">
        <v>25</v>
      </c>
      <c r="C77">
        <v>6</v>
      </c>
      <c r="D77">
        <v>1</v>
      </c>
      <c r="E77">
        <f t="shared" si="26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P77">
        <f t="shared" si="28"/>
        <v>20.9063508984983</v>
      </c>
      <c r="Q77">
        <f t="shared" si="27"/>
        <v>191.89073267934253</v>
      </c>
      <c r="R77">
        <f t="shared" ref="R77:R81" si="29">Q77/20/5.7/3.65*1000</f>
        <v>461.16494275256559</v>
      </c>
      <c r="S77">
        <f t="shared" ref="S77:S81" si="30">R77*2.65</f>
        <v>1222.0870982942988</v>
      </c>
      <c r="T77" s="6">
        <v>21.02</v>
      </c>
      <c r="U77" s="6">
        <v>0.86</v>
      </c>
      <c r="V77" s="6">
        <v>-6.9989999999999997E-2</v>
      </c>
    </row>
    <row r="78" spans="1:29" x14ac:dyDescent="0.25">
      <c r="A78" t="s">
        <v>24</v>
      </c>
      <c r="B78" t="s">
        <v>25</v>
      </c>
      <c r="C78">
        <v>7</v>
      </c>
      <c r="D78">
        <v>1</v>
      </c>
      <c r="E78">
        <f t="shared" si="26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P78">
        <f t="shared" si="28"/>
        <v>20.971908009554998</v>
      </c>
      <c r="Q78">
        <f t="shared" si="27"/>
        <v>193.70156382249962</v>
      </c>
      <c r="R78">
        <f t="shared" si="29"/>
        <v>465.51685609829281</v>
      </c>
      <c r="S78">
        <f t="shared" si="30"/>
        <v>1233.6196686604758</v>
      </c>
      <c r="T78" s="6">
        <v>21.02</v>
      </c>
      <c r="U78" s="6">
        <v>0.86</v>
      </c>
      <c r="V78" s="6">
        <v>-6.9989999999999997E-2</v>
      </c>
    </row>
    <row r="79" spans="1:29" x14ac:dyDescent="0.25">
      <c r="A79" t="s">
        <v>24</v>
      </c>
      <c r="B79" t="s">
        <v>25</v>
      </c>
      <c r="C79">
        <v>8</v>
      </c>
      <c r="D79">
        <v>1</v>
      </c>
      <c r="E79">
        <f t="shared" si="26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P79">
        <f t="shared" si="28"/>
        <v>20.999649293180489</v>
      </c>
      <c r="Q79">
        <f t="shared" si="27"/>
        <v>194.4712564751554</v>
      </c>
      <c r="R79">
        <f t="shared" si="29"/>
        <v>467.36663416283449</v>
      </c>
      <c r="S79">
        <f t="shared" si="30"/>
        <v>1238.5215805315113</v>
      </c>
      <c r="T79" s="6">
        <v>21.02</v>
      </c>
      <c r="U79" s="6">
        <v>0.86</v>
      </c>
      <c r="V79" s="6">
        <v>-6.9989999999999997E-2</v>
      </c>
    </row>
    <row r="80" spans="1:29" x14ac:dyDescent="0.25">
      <c r="A80" t="s">
        <v>24</v>
      </c>
      <c r="B80" t="s">
        <v>25</v>
      </c>
      <c r="C80">
        <v>9</v>
      </c>
      <c r="D80">
        <v>1</v>
      </c>
      <c r="E80">
        <f t="shared" si="26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P80">
        <f t="shared" si="28"/>
        <v>21.011388352525618</v>
      </c>
      <c r="Q80">
        <f t="shared" si="27"/>
        <v>194.79757421515683</v>
      </c>
      <c r="R80">
        <f t="shared" si="29"/>
        <v>468.15086329045141</v>
      </c>
      <c r="S80">
        <f t="shared" si="30"/>
        <v>1240.5997877196962</v>
      </c>
      <c r="T80" s="6">
        <v>21.02</v>
      </c>
      <c r="U80" s="6">
        <v>0.86</v>
      </c>
      <c r="V80" s="6">
        <v>-6.9989999999999997E-2</v>
      </c>
      <c r="AC80" t="s">
        <v>457</v>
      </c>
    </row>
    <row r="81" spans="1:32" x14ac:dyDescent="0.25">
      <c r="A81" t="s">
        <v>24</v>
      </c>
      <c r="B81" t="s">
        <v>25</v>
      </c>
      <c r="C81">
        <v>10</v>
      </c>
      <c r="D81">
        <v>1</v>
      </c>
      <c r="E81">
        <f t="shared" si="26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P81">
        <f t="shared" si="28"/>
        <v>21.016355877322553</v>
      </c>
      <c r="Q81">
        <f t="shared" si="27"/>
        <v>194.93576935351521</v>
      </c>
      <c r="R81">
        <f t="shared" si="29"/>
        <v>468.48298330573226</v>
      </c>
      <c r="S81">
        <f t="shared" si="30"/>
        <v>1241.4799057601904</v>
      </c>
      <c r="T81" s="6">
        <v>21.02</v>
      </c>
      <c r="U81" s="6">
        <v>0.86</v>
      </c>
      <c r="V81" s="6">
        <v>-6.9989999999999997E-2</v>
      </c>
      <c r="X81" t="s">
        <v>437</v>
      </c>
      <c r="Y81" t="s">
        <v>438</v>
      </c>
      <c r="Z81" t="s">
        <v>439</v>
      </c>
      <c r="AA81" t="s">
        <v>440</v>
      </c>
      <c r="AB81" t="s">
        <v>530</v>
      </c>
    </row>
    <row r="82" spans="1:32" x14ac:dyDescent="0.25">
      <c r="A82" t="s">
        <v>26</v>
      </c>
      <c r="B82" t="s">
        <v>27</v>
      </c>
      <c r="C82">
        <v>1</v>
      </c>
      <c r="D82">
        <v>9</v>
      </c>
      <c r="E82">
        <f t="shared" si="26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3">
        <v>6.0000000000000001E-3</v>
      </c>
      <c r="M82">
        <v>3</v>
      </c>
      <c r="N82">
        <v>1465.5893920000001</v>
      </c>
      <c r="P82" s="3">
        <f>T82*(1-EXP(-U82*(E82+0.0699)))</f>
        <v>2074.8606889219695</v>
      </c>
      <c r="Q82" s="3">
        <f t="shared" ref="Q82" si="31">L82*(P82^M82)</f>
        <v>53594235.192170553</v>
      </c>
      <c r="R82" s="3">
        <f t="shared" ref="R82" si="32">Q82/20/5.7/3.65*1000</f>
        <v>128801334.27582446</v>
      </c>
      <c r="S82" s="3">
        <f t="shared" ref="S82" si="33">R82*2.65</f>
        <v>341323535.83093482</v>
      </c>
      <c r="T82" s="3">
        <f>$AC$83*100</f>
        <v>2097.3599999999997</v>
      </c>
      <c r="U82" s="3">
        <v>0.5</v>
      </c>
      <c r="V82" s="3">
        <v>0</v>
      </c>
      <c r="W82" t="s">
        <v>442</v>
      </c>
      <c r="X82">
        <f>(AVERAGE(40,80))*907.185</f>
        <v>54431.1</v>
      </c>
      <c r="Y82">
        <f>AVERAGE(22000, 36000)</f>
        <v>29000</v>
      </c>
      <c r="Z82">
        <f>20000*0.45392</f>
        <v>9078.4</v>
      </c>
      <c r="AA82">
        <f>100000*0.453592</f>
        <v>45359.199999999997</v>
      </c>
      <c r="AB82">
        <f>330000*0.453592</f>
        <v>149685.35999999999</v>
      </c>
      <c r="AC82">
        <f>AVERAGE(X82:AB82)</f>
        <v>57510.811999999998</v>
      </c>
      <c r="AE82">
        <f>AC82*0.001</f>
        <v>57.510812000000001</v>
      </c>
      <c r="AF82">
        <f>Q82*0.000001</f>
        <v>53.594235192170551</v>
      </c>
    </row>
    <row r="83" spans="1:32" x14ac:dyDescent="0.25">
      <c r="A83" t="s">
        <v>26</v>
      </c>
      <c r="B83" t="s">
        <v>27</v>
      </c>
      <c r="C83">
        <v>2</v>
      </c>
      <c r="D83">
        <v>9</v>
      </c>
      <c r="E83">
        <f t="shared" si="26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3">
        <v>6.0000000000000001E-3</v>
      </c>
      <c r="M83">
        <v>3</v>
      </c>
      <c r="N83">
        <v>1542.0432000000001</v>
      </c>
      <c r="P83" s="3">
        <f t="shared" ref="P83:P91" si="34">T83*(1-EXP(-U83*(E83+0.0699)))</f>
        <v>2097.1100552311209</v>
      </c>
      <c r="Q83" s="3">
        <f t="shared" ref="Q83:Q91" si="35">L83*(P83^M83)</f>
        <v>55336911.736742258</v>
      </c>
      <c r="R83" s="3">
        <f t="shared" ref="R83:R91" si="36">Q83/20/5.7/3.65*1000</f>
        <v>132989453.82538395</v>
      </c>
      <c r="S83" s="3">
        <f t="shared" ref="S83:S91" si="37">R83*2.65</f>
        <v>352422052.63726747</v>
      </c>
      <c r="T83" s="3">
        <f t="shared" ref="T83:T91" si="38">$AC$83*100</f>
        <v>2097.3599999999997</v>
      </c>
      <c r="U83" s="3">
        <v>0.5</v>
      </c>
      <c r="V83" s="3">
        <v>0</v>
      </c>
      <c r="W83" t="s">
        <v>443</v>
      </c>
      <c r="X83">
        <f>(AVERAGE(75, 85))*0.3048</f>
        <v>24.384</v>
      </c>
      <c r="Y83">
        <v>18</v>
      </c>
      <c r="Z83">
        <f>35*0.3048</f>
        <v>10.668000000000001</v>
      </c>
      <c r="AA83">
        <f>60*0.3048</f>
        <v>18.288</v>
      </c>
      <c r="AB83">
        <f>110*0.3048</f>
        <v>33.527999999999999</v>
      </c>
      <c r="AC83">
        <f t="shared" ref="AC83:AC91" si="39">AVERAGE(X83:AB83)</f>
        <v>20.973599999999998</v>
      </c>
      <c r="AF83">
        <f t="shared" ref="AF83:AF90" si="40">Q83*0.000001</f>
        <v>55.336911736742259</v>
      </c>
    </row>
    <row r="84" spans="1:32" x14ac:dyDescent="0.25">
      <c r="A84" t="s">
        <v>26</v>
      </c>
      <c r="B84" t="s">
        <v>27</v>
      </c>
      <c r="C84">
        <v>3</v>
      </c>
      <c r="D84">
        <v>9</v>
      </c>
      <c r="E84">
        <f t="shared" si="26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3">
        <v>6.0000000000000001E-3</v>
      </c>
      <c r="M84">
        <v>3</v>
      </c>
      <c r="N84">
        <v>1544.863059</v>
      </c>
      <c r="P84" s="3">
        <f t="shared" si="34"/>
        <v>2097.3572233644272</v>
      </c>
      <c r="Q84" s="3">
        <f t="shared" si="35"/>
        <v>55356480.285264529</v>
      </c>
      <c r="R84" s="3">
        <f t="shared" si="36"/>
        <v>133036482.30056366</v>
      </c>
      <c r="S84" s="3">
        <f t="shared" si="37"/>
        <v>352546678.09649372</v>
      </c>
      <c r="T84" s="3">
        <f t="shared" si="38"/>
        <v>2097.3599999999997</v>
      </c>
      <c r="U84" s="3">
        <v>0.5</v>
      </c>
      <c r="V84" s="3">
        <v>0</v>
      </c>
      <c r="W84" t="s">
        <v>447</v>
      </c>
      <c r="X84">
        <v>90</v>
      </c>
      <c r="Y84">
        <v>50</v>
      </c>
      <c r="Z84">
        <v>50</v>
      </c>
      <c r="AA84">
        <v>70</v>
      </c>
      <c r="AC84">
        <f t="shared" si="39"/>
        <v>65</v>
      </c>
      <c r="AF84">
        <f t="shared" si="40"/>
        <v>55.356480285264524</v>
      </c>
    </row>
    <row r="85" spans="1:32" x14ac:dyDescent="0.25">
      <c r="A85" t="s">
        <v>26</v>
      </c>
      <c r="B85" t="s">
        <v>27</v>
      </c>
      <c r="C85">
        <v>4</v>
      </c>
      <c r="D85">
        <v>9</v>
      </c>
      <c r="E85">
        <f t="shared" si="26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3">
        <v>6.0000000000000001E-3</v>
      </c>
      <c r="M85">
        <v>3</v>
      </c>
      <c r="N85">
        <v>1544.9670639999999</v>
      </c>
      <c r="P85" s="3">
        <f t="shared" si="34"/>
        <v>2097.3599691543645</v>
      </c>
      <c r="Q85" s="3">
        <f t="shared" si="35"/>
        <v>55356697.698107451</v>
      </c>
      <c r="R85" s="3">
        <f t="shared" si="36"/>
        <v>133037004.8019886</v>
      </c>
      <c r="S85" s="3">
        <f t="shared" si="37"/>
        <v>352548062.72526979</v>
      </c>
      <c r="T85" s="3">
        <f t="shared" si="38"/>
        <v>2097.3599999999997</v>
      </c>
      <c r="U85" s="3">
        <v>0.5</v>
      </c>
      <c r="V85" s="3">
        <v>0</v>
      </c>
      <c r="W85" t="s">
        <v>444</v>
      </c>
      <c r="X85">
        <f>(AVERAGE(4000,6000))*0.453592</f>
        <v>2267.96</v>
      </c>
      <c r="Y85">
        <v>900</v>
      </c>
      <c r="Z85">
        <f>(AVERAGE(700, 1000))*0.453592</f>
        <v>385.5532</v>
      </c>
      <c r="AA85">
        <f>1500*0.453592</f>
        <v>680.38800000000003</v>
      </c>
      <c r="AC85">
        <f t="shared" si="39"/>
        <v>1058.4753000000001</v>
      </c>
      <c r="AF85">
        <f t="shared" si="40"/>
        <v>55.356697698107446</v>
      </c>
    </row>
    <row r="86" spans="1:32" x14ac:dyDescent="0.25">
      <c r="A86" t="s">
        <v>26</v>
      </c>
      <c r="B86" t="s">
        <v>27</v>
      </c>
      <c r="C86">
        <v>5</v>
      </c>
      <c r="D86">
        <v>9</v>
      </c>
      <c r="E86">
        <f t="shared" si="26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3">
        <v>6.0000000000000001E-3</v>
      </c>
      <c r="M86">
        <v>3</v>
      </c>
      <c r="N86">
        <v>1544.9709</v>
      </c>
      <c r="P86" s="3">
        <f t="shared" si="34"/>
        <v>2097.3599996573357</v>
      </c>
      <c r="Q86" s="3">
        <f t="shared" si="35"/>
        <v>55356700.113349192</v>
      </c>
      <c r="R86" s="3">
        <f t="shared" si="36"/>
        <v>133037010.60646287</v>
      </c>
      <c r="S86" s="3">
        <f t="shared" si="37"/>
        <v>352548078.10712659</v>
      </c>
      <c r="T86" s="3">
        <f t="shared" si="38"/>
        <v>2097.3599999999997</v>
      </c>
      <c r="U86" s="3">
        <v>0.5</v>
      </c>
      <c r="V86" s="3">
        <v>0</v>
      </c>
      <c r="W86" t="s">
        <v>445</v>
      </c>
      <c r="X86">
        <f>18*0.3048</f>
        <v>5.4864000000000006</v>
      </c>
      <c r="Y86">
        <v>4.5</v>
      </c>
      <c r="Z86">
        <f>(AVERAGE(8, 11.5))*0.3048</f>
        <v>2.9718</v>
      </c>
      <c r="AA86">
        <f>15*0.3048</f>
        <v>4.5720000000000001</v>
      </c>
      <c r="AC86">
        <f t="shared" si="39"/>
        <v>4.3825500000000002</v>
      </c>
      <c r="AF86">
        <f t="shared" si="40"/>
        <v>55.356700113349191</v>
      </c>
    </row>
    <row r="87" spans="1:32" x14ac:dyDescent="0.25">
      <c r="A87" t="s">
        <v>26</v>
      </c>
      <c r="B87" t="s">
        <v>27</v>
      </c>
      <c r="C87">
        <v>6</v>
      </c>
      <c r="D87">
        <v>9</v>
      </c>
      <c r="E87">
        <f t="shared" si="26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3">
        <v>6.0000000000000001E-3</v>
      </c>
      <c r="M87">
        <v>3</v>
      </c>
      <c r="N87">
        <v>1544.971041</v>
      </c>
      <c r="P87" s="3">
        <f t="shared" si="34"/>
        <v>2097.359999996193</v>
      </c>
      <c r="Q87" s="3">
        <f t="shared" si="35"/>
        <v>55356700.140180096</v>
      </c>
      <c r="R87" s="3">
        <f t="shared" si="36"/>
        <v>133037010.67094471</v>
      </c>
      <c r="S87" s="3">
        <f t="shared" si="37"/>
        <v>352548078.27800345</v>
      </c>
      <c r="T87" s="3">
        <f t="shared" si="38"/>
        <v>2097.3599999999997</v>
      </c>
      <c r="U87" s="3">
        <v>0.5</v>
      </c>
      <c r="V87" s="3">
        <v>0</v>
      </c>
      <c r="W87" t="s">
        <v>441</v>
      </c>
      <c r="X87">
        <f>4000*0.453592</f>
        <v>1814.3679999999999</v>
      </c>
      <c r="Y87">
        <v>1360</v>
      </c>
      <c r="AA87">
        <f>2000*0.453592</f>
        <v>907.18399999999997</v>
      </c>
      <c r="AC87">
        <f t="shared" si="39"/>
        <v>1360.5173333333332</v>
      </c>
      <c r="AF87">
        <f t="shared" si="40"/>
        <v>55.356700140180095</v>
      </c>
    </row>
    <row r="88" spans="1:32" x14ac:dyDescent="0.25">
      <c r="A88" t="s">
        <v>26</v>
      </c>
      <c r="B88" t="s">
        <v>27</v>
      </c>
      <c r="C88">
        <v>7</v>
      </c>
      <c r="D88">
        <v>9</v>
      </c>
      <c r="E88">
        <f t="shared" si="26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3">
        <v>6.0000000000000001E-3</v>
      </c>
      <c r="M88">
        <v>3</v>
      </c>
      <c r="N88">
        <v>1544.971047</v>
      </c>
      <c r="P88" s="3">
        <f t="shared" si="34"/>
        <v>2097.3599999999574</v>
      </c>
      <c r="Q88" s="3">
        <f t="shared" si="35"/>
        <v>55356700.140478171</v>
      </c>
      <c r="R88" s="3">
        <f t="shared" si="36"/>
        <v>133037010.67166106</v>
      </c>
      <c r="S88" s="3">
        <f t="shared" si="37"/>
        <v>352548078.2799018</v>
      </c>
      <c r="T88" s="3">
        <f t="shared" si="38"/>
        <v>2097.3599999999997</v>
      </c>
      <c r="U88" s="3">
        <v>0.5</v>
      </c>
      <c r="V88" s="3">
        <v>0</v>
      </c>
      <c r="W88" t="s">
        <v>279</v>
      </c>
      <c r="X88" s="5" t="s">
        <v>446</v>
      </c>
      <c r="Y88" s="5" t="s">
        <v>451</v>
      </c>
      <c r="Z88" s="5" t="s">
        <v>453</v>
      </c>
      <c r="AA88" s="5" t="s">
        <v>452</v>
      </c>
      <c r="AC88" t="e">
        <f t="shared" si="39"/>
        <v>#DIV/0!</v>
      </c>
      <c r="AF88">
        <f t="shared" si="40"/>
        <v>55.356700140478168</v>
      </c>
    </row>
    <row r="89" spans="1:32" x14ac:dyDescent="0.25">
      <c r="A89" t="s">
        <v>26</v>
      </c>
      <c r="B89" t="s">
        <v>27</v>
      </c>
      <c r="C89">
        <v>8</v>
      </c>
      <c r="D89">
        <v>9</v>
      </c>
      <c r="E89">
        <f t="shared" si="26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3">
        <v>6.0000000000000001E-3</v>
      </c>
      <c r="M89">
        <v>3</v>
      </c>
      <c r="N89">
        <v>1544.971047</v>
      </c>
      <c r="P89" s="3">
        <f t="shared" si="34"/>
        <v>2097.3599999999992</v>
      </c>
      <c r="Q89" s="3">
        <f t="shared" si="35"/>
        <v>55356700.140481479</v>
      </c>
      <c r="R89" s="3">
        <f t="shared" si="36"/>
        <v>133037010.67166904</v>
      </c>
      <c r="S89" s="3">
        <f t="shared" si="37"/>
        <v>352548078.27992296</v>
      </c>
      <c r="T89" s="3">
        <f t="shared" si="38"/>
        <v>2097.3599999999997</v>
      </c>
      <c r="U89" s="3">
        <v>0.5</v>
      </c>
      <c r="V89" s="3">
        <v>0</v>
      </c>
      <c r="W89" t="s">
        <v>448</v>
      </c>
      <c r="X89">
        <v>12</v>
      </c>
      <c r="Y89">
        <v>11</v>
      </c>
      <c r="Z89">
        <v>10</v>
      </c>
      <c r="AA89">
        <v>12</v>
      </c>
      <c r="AC89">
        <f t="shared" si="39"/>
        <v>11.25</v>
      </c>
      <c r="AF89">
        <f t="shared" si="40"/>
        <v>55.356700140481479</v>
      </c>
    </row>
    <row r="90" spans="1:32" x14ac:dyDescent="0.25">
      <c r="A90" t="s">
        <v>26</v>
      </c>
      <c r="B90" t="s">
        <v>27</v>
      </c>
      <c r="C90">
        <v>9</v>
      </c>
      <c r="D90">
        <v>9</v>
      </c>
      <c r="E90">
        <f t="shared" si="26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3">
        <v>6.0000000000000001E-3</v>
      </c>
      <c r="M90">
        <v>3</v>
      </c>
      <c r="N90">
        <v>1544.971047</v>
      </c>
      <c r="P90" s="3">
        <f t="shared" si="34"/>
        <v>2097.3599999999997</v>
      </c>
      <c r="Q90" s="3">
        <f t="shared" si="35"/>
        <v>55356700.140481509</v>
      </c>
      <c r="R90" s="3">
        <f t="shared" si="36"/>
        <v>133037010.6716691</v>
      </c>
      <c r="S90" s="3">
        <f t="shared" si="37"/>
        <v>352548078.27992308</v>
      </c>
      <c r="T90" s="3">
        <f t="shared" si="38"/>
        <v>2097.3599999999997</v>
      </c>
      <c r="U90" s="3">
        <v>0.5</v>
      </c>
      <c r="V90" s="3">
        <v>0</v>
      </c>
      <c r="W90" t="s">
        <v>449</v>
      </c>
      <c r="X90">
        <v>10</v>
      </c>
      <c r="Y90">
        <v>8</v>
      </c>
      <c r="Z90">
        <v>6</v>
      </c>
      <c r="AA90">
        <v>8</v>
      </c>
      <c r="AC90">
        <f t="shared" si="39"/>
        <v>8</v>
      </c>
      <c r="AF90">
        <f t="shared" si="40"/>
        <v>55.356700140481507</v>
      </c>
    </row>
    <row r="91" spans="1:32" x14ac:dyDescent="0.25">
      <c r="A91" t="s">
        <v>26</v>
      </c>
      <c r="B91" t="s">
        <v>27</v>
      </c>
      <c r="C91">
        <v>10</v>
      </c>
      <c r="D91">
        <v>9</v>
      </c>
      <c r="E91">
        <f t="shared" si="26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3">
        <v>6.0000000000000001E-3</v>
      </c>
      <c r="M91">
        <v>3</v>
      </c>
      <c r="N91">
        <v>1544.971047</v>
      </c>
      <c r="P91" s="3">
        <f t="shared" si="34"/>
        <v>2097.3599999999997</v>
      </c>
      <c r="Q91" s="3">
        <f t="shared" si="35"/>
        <v>55356700.140481509</v>
      </c>
      <c r="R91" s="3">
        <f t="shared" si="36"/>
        <v>133037010.6716691</v>
      </c>
      <c r="S91" s="3">
        <f t="shared" si="37"/>
        <v>352548078.27992308</v>
      </c>
      <c r="T91" s="3">
        <f t="shared" si="38"/>
        <v>2097.3599999999997</v>
      </c>
      <c r="U91" s="3">
        <v>0.5</v>
      </c>
      <c r="V91" s="3">
        <v>0</v>
      </c>
      <c r="W91" t="s">
        <v>450</v>
      </c>
      <c r="Y91">
        <v>1</v>
      </c>
      <c r="Z91">
        <v>0.5</v>
      </c>
      <c r="AA91">
        <v>0.5</v>
      </c>
      <c r="AC91">
        <f t="shared" si="39"/>
        <v>0.66666666666666663</v>
      </c>
    </row>
    <row r="92" spans="1:32" x14ac:dyDescent="0.25">
      <c r="A92" t="s">
        <v>28</v>
      </c>
      <c r="B92" t="s">
        <v>29</v>
      </c>
      <c r="C92">
        <v>1</v>
      </c>
      <c r="D92">
        <v>2</v>
      </c>
      <c r="E92">
        <f t="shared" si="26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P92">
        <f>150.93*(1-EXP(-0.11*(E92-0.13)))</f>
        <v>28.061318720772793</v>
      </c>
      <c r="Q92">
        <f t="shared" ref="Q92" si="41">L92*(P92^M92)</f>
        <v>265.15845240718266</v>
      </c>
      <c r="R92">
        <f t="shared" ref="R92" si="42">Q92/20/5.7/3.65*1000</f>
        <v>637.24694161783873</v>
      </c>
      <c r="S92">
        <f t="shared" ref="S92" si="43">R92*2.65</f>
        <v>1688.7043952872725</v>
      </c>
      <c r="T92">
        <v>150.93</v>
      </c>
      <c r="U92">
        <v>0.11</v>
      </c>
      <c r="V92">
        <v>0.13</v>
      </c>
      <c r="X92" t="s">
        <v>200</v>
      </c>
    </row>
    <row r="93" spans="1:32" x14ac:dyDescent="0.25">
      <c r="A93" t="s">
        <v>28</v>
      </c>
      <c r="B93" t="s">
        <v>29</v>
      </c>
      <c r="C93">
        <v>2</v>
      </c>
      <c r="D93">
        <v>2</v>
      </c>
      <c r="E93">
        <f t="shared" si="26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P93">
        <f t="shared" ref="P93:P101" si="44">150.93*(1-EXP(-0.11*(E93-0.13)))</f>
        <v>52.325573592559707</v>
      </c>
      <c r="Q93">
        <f t="shared" ref="Q93:Q101" si="45">L93*(P93^M93)</f>
        <v>1719.1874784798999</v>
      </c>
      <c r="R93">
        <f t="shared" ref="R93:R101" si="46">Q93/20/5.7/3.65*1000</f>
        <v>4131.6690182165348</v>
      </c>
      <c r="S93">
        <f t="shared" ref="S93:S101" si="47">R93*2.65</f>
        <v>10948.922898273817</v>
      </c>
      <c r="T93">
        <v>150.93</v>
      </c>
      <c r="U93">
        <v>0.11</v>
      </c>
      <c r="V93">
        <v>0.13</v>
      </c>
    </row>
    <row r="94" spans="1:32" x14ac:dyDescent="0.25">
      <c r="A94" t="s">
        <v>28</v>
      </c>
      <c r="B94" t="s">
        <v>29</v>
      </c>
      <c r="C94">
        <v>3</v>
      </c>
      <c r="D94">
        <v>2</v>
      </c>
      <c r="E94">
        <f t="shared" si="26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P94">
        <f t="shared" si="44"/>
        <v>71.798094245721344</v>
      </c>
      <c r="Q94">
        <f t="shared" si="45"/>
        <v>4441.4011070429005</v>
      </c>
      <c r="R94">
        <f t="shared" si="46"/>
        <v>10673.879132523194</v>
      </c>
      <c r="S94">
        <f t="shared" si="47"/>
        <v>28285.779701186464</v>
      </c>
      <c r="T94">
        <v>150.93</v>
      </c>
      <c r="U94">
        <v>0.11</v>
      </c>
      <c r="V94">
        <v>0.13</v>
      </c>
    </row>
    <row r="95" spans="1:32" x14ac:dyDescent="0.25">
      <c r="A95" t="s">
        <v>28</v>
      </c>
      <c r="B95" t="s">
        <v>29</v>
      </c>
      <c r="C95">
        <v>4</v>
      </c>
      <c r="D95">
        <v>2</v>
      </c>
      <c r="E95">
        <f t="shared" si="26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P95">
        <f t="shared" si="44"/>
        <v>87.425158113596154</v>
      </c>
      <c r="Q95">
        <f t="shared" si="45"/>
        <v>8018.4518441494665</v>
      </c>
      <c r="R95">
        <f t="shared" si="46"/>
        <v>19270.492295480573</v>
      </c>
      <c r="S95">
        <f t="shared" si="47"/>
        <v>51066.804583023521</v>
      </c>
      <c r="T95">
        <v>150.93</v>
      </c>
      <c r="U95">
        <v>0.11</v>
      </c>
      <c r="V95">
        <v>0.13</v>
      </c>
    </row>
    <row r="96" spans="1:32" x14ac:dyDescent="0.25">
      <c r="A96" t="s">
        <v>28</v>
      </c>
      <c r="B96" t="s">
        <v>29</v>
      </c>
      <c r="C96">
        <v>5</v>
      </c>
      <c r="D96">
        <v>2</v>
      </c>
      <c r="E96">
        <f t="shared" si="26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P96">
        <f t="shared" si="44"/>
        <v>99.96617062452593</v>
      </c>
      <c r="Q96">
        <f t="shared" si="45"/>
        <v>11987.825544300675</v>
      </c>
      <c r="R96">
        <f t="shared" si="46"/>
        <v>28809.962855805512</v>
      </c>
      <c r="S96">
        <f t="shared" si="47"/>
        <v>76346.401567884604</v>
      </c>
      <c r="T96">
        <v>150.93</v>
      </c>
      <c r="U96">
        <v>0.11</v>
      </c>
      <c r="V96">
        <v>0.13</v>
      </c>
    </row>
    <row r="97" spans="1:28" x14ac:dyDescent="0.25">
      <c r="A97" t="s">
        <v>28</v>
      </c>
      <c r="B97" t="s">
        <v>29</v>
      </c>
      <c r="C97">
        <v>6</v>
      </c>
      <c r="D97">
        <v>2</v>
      </c>
      <c r="E97">
        <f t="shared" si="26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P97">
        <f t="shared" si="44"/>
        <v>110.0305689100297</v>
      </c>
      <c r="Q97">
        <f t="shared" si="45"/>
        <v>15985.319518006434</v>
      </c>
      <c r="R97">
        <f t="shared" si="46"/>
        <v>38417.013982231285</v>
      </c>
      <c r="S97">
        <f t="shared" si="47"/>
        <v>101805.0870529129</v>
      </c>
      <c r="T97">
        <v>150.93</v>
      </c>
      <c r="U97">
        <v>0.11</v>
      </c>
      <c r="V97">
        <v>0.13</v>
      </c>
    </row>
    <row r="98" spans="1:28" x14ac:dyDescent="0.25">
      <c r="A98" t="s">
        <v>28</v>
      </c>
      <c r="B98" t="s">
        <v>29</v>
      </c>
      <c r="C98">
        <v>7</v>
      </c>
      <c r="D98">
        <v>2</v>
      </c>
      <c r="E98">
        <f t="shared" si="26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P98">
        <f t="shared" si="44"/>
        <v>118.10743772432782</v>
      </c>
      <c r="Q98">
        <f t="shared" si="45"/>
        <v>19770.28771241799</v>
      </c>
      <c r="R98">
        <f t="shared" si="46"/>
        <v>47513.308609512111</v>
      </c>
      <c r="S98">
        <f t="shared" si="47"/>
        <v>125910.26781520709</v>
      </c>
      <c r="T98">
        <v>150.93</v>
      </c>
      <c r="U98">
        <v>0.11</v>
      </c>
      <c r="V98">
        <v>0.13</v>
      </c>
    </row>
    <row r="99" spans="1:28" x14ac:dyDescent="0.25">
      <c r="A99" t="s">
        <v>28</v>
      </c>
      <c r="B99" t="s">
        <v>29</v>
      </c>
      <c r="C99">
        <v>8</v>
      </c>
      <c r="D99">
        <v>2</v>
      </c>
      <c r="E99">
        <f t="shared" si="26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P99">
        <f t="shared" si="44"/>
        <v>124.58927677647897</v>
      </c>
      <c r="Q99">
        <f t="shared" si="45"/>
        <v>23207.226476381566</v>
      </c>
      <c r="R99">
        <f t="shared" si="46"/>
        <v>55773.195088636297</v>
      </c>
      <c r="S99">
        <f t="shared" si="47"/>
        <v>147798.96698488618</v>
      </c>
      <c r="T99">
        <v>150.93</v>
      </c>
      <c r="U99">
        <v>0.11</v>
      </c>
      <c r="V99">
        <v>0.13</v>
      </c>
    </row>
    <row r="100" spans="1:28" x14ac:dyDescent="0.25">
      <c r="A100" t="s">
        <v>28</v>
      </c>
      <c r="B100" t="s">
        <v>29</v>
      </c>
      <c r="C100">
        <v>9</v>
      </c>
      <c r="D100">
        <v>2</v>
      </c>
      <c r="E100">
        <f t="shared" si="26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P100">
        <f t="shared" si="44"/>
        <v>129.79107446119755</v>
      </c>
      <c r="Q100">
        <f t="shared" si="45"/>
        <v>26237.093874199669</v>
      </c>
      <c r="R100">
        <f t="shared" si="46"/>
        <v>63054.779798605312</v>
      </c>
      <c r="S100">
        <f t="shared" si="47"/>
        <v>167095.16646630407</v>
      </c>
      <c r="T100">
        <v>150.93</v>
      </c>
      <c r="U100">
        <v>0.11</v>
      </c>
      <c r="V100">
        <v>0.13</v>
      </c>
    </row>
    <row r="101" spans="1:28" x14ac:dyDescent="0.25">
      <c r="A101" t="s">
        <v>28</v>
      </c>
      <c r="B101" t="s">
        <v>29</v>
      </c>
      <c r="C101">
        <v>10</v>
      </c>
      <c r="D101">
        <v>2</v>
      </c>
      <c r="E101">
        <f t="shared" si="26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P101">
        <f t="shared" si="44"/>
        <v>133.96561488638193</v>
      </c>
      <c r="Q101">
        <f t="shared" si="45"/>
        <v>28851.026615496656</v>
      </c>
      <c r="R101">
        <f t="shared" si="46"/>
        <v>69336.76187333971</v>
      </c>
      <c r="S101">
        <f t="shared" si="47"/>
        <v>183742.41896435022</v>
      </c>
      <c r="T101">
        <v>150.93</v>
      </c>
      <c r="U101">
        <v>0.11</v>
      </c>
      <c r="V101">
        <v>0.13</v>
      </c>
    </row>
    <row r="102" spans="1:28" x14ac:dyDescent="0.25">
      <c r="A102" t="s">
        <v>30</v>
      </c>
      <c r="B102" t="s">
        <v>31</v>
      </c>
      <c r="C102">
        <v>1</v>
      </c>
      <c r="D102">
        <v>4</v>
      </c>
      <c r="E102">
        <f t="shared" si="26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P102">
        <f>91.5*(1-EXP(-0.1269*(E102-0)))</f>
        <v>36.422627340305503</v>
      </c>
      <c r="Q102">
        <f t="shared" ref="Q102" si="48">L102*(P102^M102)</f>
        <v>927.58931316686903</v>
      </c>
      <c r="R102">
        <f t="shared" ref="R102" si="49">Q102/20/5.7/3.65*1000</f>
        <v>2229.246126332298</v>
      </c>
      <c r="S102">
        <f t="shared" ref="S102" si="50">R102*2.65</f>
        <v>5907.5022347805898</v>
      </c>
      <c r="T102">
        <v>91.5</v>
      </c>
      <c r="U102">
        <v>0.12690000000000001</v>
      </c>
      <c r="V102">
        <v>0</v>
      </c>
      <c r="X102" t="s">
        <v>199</v>
      </c>
    </row>
    <row r="103" spans="1:28" x14ac:dyDescent="0.25">
      <c r="A103" t="s">
        <v>30</v>
      </c>
      <c r="B103" t="s">
        <v>31</v>
      </c>
      <c r="C103">
        <v>2</v>
      </c>
      <c r="D103">
        <v>4</v>
      </c>
      <c r="E103">
        <f t="shared" si="26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P103">
        <f t="shared" ref="P103:P111" si="51">91.5*(1-EXP(-0.1269*(E103-0)))</f>
        <v>58.34680897164084</v>
      </c>
      <c r="Q103">
        <f t="shared" ref="Q103:Q111" si="52">L103*(P103^M103)</f>
        <v>3997.2180213995657</v>
      </c>
      <c r="R103">
        <f t="shared" ref="R103:R111" si="53">Q103/20/5.7/3.65*1000</f>
        <v>9606.3879389559388</v>
      </c>
      <c r="S103">
        <f t="shared" ref="S103:S111" si="54">R103*2.65</f>
        <v>25456.928038233236</v>
      </c>
      <c r="T103">
        <v>91.5</v>
      </c>
      <c r="U103">
        <v>0.12690000000000001</v>
      </c>
      <c r="V103">
        <v>0</v>
      </c>
    </row>
    <row r="104" spans="1:28" x14ac:dyDescent="0.25">
      <c r="A104" t="s">
        <v>30</v>
      </c>
      <c r="B104" t="s">
        <v>31</v>
      </c>
      <c r="C104">
        <v>3</v>
      </c>
      <c r="D104">
        <v>4</v>
      </c>
      <c r="E104">
        <f t="shared" si="26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P104">
        <f t="shared" si="51"/>
        <v>71.543817954896411</v>
      </c>
      <c r="Q104">
        <f t="shared" si="52"/>
        <v>7521.0477792886577</v>
      </c>
      <c r="R104">
        <f t="shared" si="53"/>
        <v>18075.096801943422</v>
      </c>
      <c r="S104">
        <f t="shared" si="54"/>
        <v>47899.006525150064</v>
      </c>
      <c r="T104">
        <v>91.5</v>
      </c>
      <c r="U104">
        <v>0.12690000000000001</v>
      </c>
      <c r="V104">
        <v>0</v>
      </c>
    </row>
    <row r="105" spans="1:28" x14ac:dyDescent="0.25">
      <c r="A105" t="s">
        <v>30</v>
      </c>
      <c r="B105" t="s">
        <v>31</v>
      </c>
      <c r="C105">
        <v>4</v>
      </c>
      <c r="D105">
        <v>4</v>
      </c>
      <c r="E105">
        <f t="shared" si="26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P105">
        <f t="shared" si="51"/>
        <v>79.487605733739073</v>
      </c>
      <c r="Q105">
        <f t="shared" si="52"/>
        <v>10423.966019967243</v>
      </c>
      <c r="R105">
        <f t="shared" si="53"/>
        <v>25051.588608428843</v>
      </c>
      <c r="S105">
        <f t="shared" si="54"/>
        <v>66386.709812336427</v>
      </c>
      <c r="T105">
        <v>91.5</v>
      </c>
      <c r="U105">
        <v>0.12690000000000001</v>
      </c>
      <c r="V105">
        <v>0</v>
      </c>
    </row>
    <row r="106" spans="1:28" x14ac:dyDescent="0.25">
      <c r="A106" t="s">
        <v>30</v>
      </c>
      <c r="B106" t="s">
        <v>31</v>
      </c>
      <c r="C106">
        <v>5</v>
      </c>
      <c r="D106">
        <v>4</v>
      </c>
      <c r="E106">
        <f t="shared" si="26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P106">
        <f t="shared" si="51"/>
        <v>84.269277425813883</v>
      </c>
      <c r="Q106">
        <f t="shared" si="52"/>
        <v>12493.368083817328</v>
      </c>
      <c r="R106">
        <f t="shared" si="53"/>
        <v>30024.917288674184</v>
      </c>
      <c r="S106">
        <f t="shared" si="54"/>
        <v>79566.030814986589</v>
      </c>
      <c r="T106">
        <v>91.5</v>
      </c>
      <c r="U106">
        <v>0.12690000000000001</v>
      </c>
      <c r="V106">
        <v>0</v>
      </c>
    </row>
    <row r="107" spans="1:28" x14ac:dyDescent="0.25">
      <c r="A107" t="s">
        <v>30</v>
      </c>
      <c r="B107" t="s">
        <v>31</v>
      </c>
      <c r="C107">
        <v>6</v>
      </c>
      <c r="D107">
        <v>4</v>
      </c>
      <c r="E107">
        <f t="shared" si="26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P107">
        <f t="shared" si="51"/>
        <v>87.147549706914589</v>
      </c>
      <c r="Q107">
        <f t="shared" si="52"/>
        <v>13864.233325167126</v>
      </c>
      <c r="R107">
        <f t="shared" si="53"/>
        <v>33319.474465674422</v>
      </c>
      <c r="S107">
        <f t="shared" si="54"/>
        <v>88296.60733403721</v>
      </c>
      <c r="T107">
        <v>91.5</v>
      </c>
      <c r="U107">
        <v>0.12690000000000001</v>
      </c>
      <c r="V107">
        <v>0</v>
      </c>
    </row>
    <row r="108" spans="1:28" x14ac:dyDescent="0.25">
      <c r="A108" t="s">
        <v>30</v>
      </c>
      <c r="B108" t="s">
        <v>31</v>
      </c>
      <c r="C108">
        <v>7</v>
      </c>
      <c r="D108">
        <v>4</v>
      </c>
      <c r="E108">
        <f t="shared" si="26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P108">
        <f t="shared" si="51"/>
        <v>88.880092603551248</v>
      </c>
      <c r="Q108">
        <f t="shared" si="52"/>
        <v>14736.649133285309</v>
      </c>
      <c r="R108">
        <f t="shared" si="53"/>
        <v>35416.123848318457</v>
      </c>
      <c r="S108">
        <f t="shared" si="54"/>
        <v>93852.728198043915</v>
      </c>
      <c r="T108">
        <v>91.5</v>
      </c>
      <c r="U108">
        <v>0.12690000000000001</v>
      </c>
      <c r="V108">
        <v>0</v>
      </c>
    </row>
    <row r="109" spans="1:28" x14ac:dyDescent="0.25">
      <c r="A109" t="s">
        <v>30</v>
      </c>
      <c r="B109" t="s">
        <v>31</v>
      </c>
      <c r="C109">
        <v>8</v>
      </c>
      <c r="D109">
        <v>4</v>
      </c>
      <c r="E109">
        <f t="shared" si="26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P109">
        <f t="shared" si="51"/>
        <v>89.922976874228439</v>
      </c>
      <c r="Q109">
        <f t="shared" si="52"/>
        <v>15279.315297302403</v>
      </c>
      <c r="R109">
        <f t="shared" si="53"/>
        <v>36720.296316516229</v>
      </c>
      <c r="S109">
        <f t="shared" si="54"/>
        <v>97308.785238768003</v>
      </c>
      <c r="T109">
        <v>91.5</v>
      </c>
      <c r="U109">
        <v>0.12690000000000001</v>
      </c>
      <c r="V109">
        <v>0</v>
      </c>
    </row>
    <row r="110" spans="1:28" x14ac:dyDescent="0.25">
      <c r="A110" t="s">
        <v>30</v>
      </c>
      <c r="B110" t="s">
        <v>31</v>
      </c>
      <c r="C110">
        <v>9</v>
      </c>
      <c r="D110">
        <v>4</v>
      </c>
      <c r="E110">
        <f t="shared" si="26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P110">
        <f t="shared" si="51"/>
        <v>90.550729066764177</v>
      </c>
      <c r="Q110">
        <f t="shared" si="52"/>
        <v>15612.40639755655</v>
      </c>
      <c r="R110">
        <f t="shared" si="53"/>
        <v>37520.803647095767</v>
      </c>
      <c r="S110">
        <f t="shared" si="54"/>
        <v>99430.129664803782</v>
      </c>
      <c r="T110">
        <v>91.5</v>
      </c>
      <c r="U110">
        <v>0.12690000000000001</v>
      </c>
      <c r="V110">
        <v>0</v>
      </c>
    </row>
    <row r="111" spans="1:28" x14ac:dyDescent="0.25">
      <c r="A111" t="s">
        <v>30</v>
      </c>
      <c r="B111" t="s">
        <v>31</v>
      </c>
      <c r="C111">
        <v>10</v>
      </c>
      <c r="D111">
        <v>4</v>
      </c>
      <c r="E111">
        <f t="shared" si="26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P111">
        <f t="shared" si="51"/>
        <v>90.92859727929131</v>
      </c>
      <c r="Q111">
        <f t="shared" si="52"/>
        <v>15815.259483201911</v>
      </c>
      <c r="R111">
        <f t="shared" si="53"/>
        <v>38008.314066815459</v>
      </c>
      <c r="S111">
        <f t="shared" si="54"/>
        <v>100722.03227706096</v>
      </c>
      <c r="T111">
        <v>91.5</v>
      </c>
      <c r="U111">
        <v>0.12690000000000001</v>
      </c>
      <c r="V111">
        <v>0</v>
      </c>
    </row>
    <row r="112" spans="1:28" x14ac:dyDescent="0.25">
      <c r="A112" t="s">
        <v>32</v>
      </c>
      <c r="B112" t="s">
        <v>33</v>
      </c>
      <c r="C112">
        <v>1</v>
      </c>
      <c r="D112">
        <v>2</v>
      </c>
      <c r="E112">
        <f t="shared" si="26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P112" s="3">
        <f>$AB$114*(1-EXP(-$AB$115*(E112-0)))</f>
        <v>28.189444998261614</v>
      </c>
      <c r="Q112" s="3">
        <f t="shared" ref="Q112" si="55">L112*(P112^M112)</f>
        <v>322.56858449086275</v>
      </c>
      <c r="R112" s="3">
        <f t="shared" ref="R112" si="56">Q112/20/5.7/3.65*1000</f>
        <v>775.21890048272712</v>
      </c>
      <c r="S112" s="3">
        <f t="shared" ref="S112" si="57">R112*2.65</f>
        <v>2054.3300862792266</v>
      </c>
      <c r="T112" s="3">
        <f>$AB$114</f>
        <v>47.633333333333333</v>
      </c>
      <c r="U112" s="3">
        <f>$AB$115</f>
        <v>0.44799999999999995</v>
      </c>
      <c r="V112" s="3">
        <v>0</v>
      </c>
      <c r="X112" t="s">
        <v>276</v>
      </c>
      <c r="Y112" t="s">
        <v>277</v>
      </c>
      <c r="Z112" t="s">
        <v>278</v>
      </c>
      <c r="AB112" t="s">
        <v>457</v>
      </c>
    </row>
    <row r="113" spans="1:38" x14ac:dyDescent="0.25">
      <c r="A113" t="s">
        <v>32</v>
      </c>
      <c r="B113" t="s">
        <v>33</v>
      </c>
      <c r="C113">
        <v>2</v>
      </c>
      <c r="D113">
        <v>2</v>
      </c>
      <c r="E113">
        <f t="shared" si="26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P113" s="3">
        <f t="shared" ref="P113:P121" si="58">$AB$114*(1-EXP(-$AB$115*(E113-0)))</f>
        <v>39.696353761883266</v>
      </c>
      <c r="Q113" s="3">
        <f t="shared" ref="Q113:Q131" si="59">L113*(P113^M113)</f>
        <v>900.77089226532553</v>
      </c>
      <c r="R113" s="3">
        <f t="shared" ref="R113:R131" si="60">Q113/20/5.7/3.65*1000</f>
        <v>2164.7942616326013</v>
      </c>
      <c r="S113" s="3">
        <f t="shared" ref="S113:S131" si="61">R113*2.65</f>
        <v>5736.704793326393</v>
      </c>
      <c r="T113" s="3">
        <f t="shared" ref="T113:T121" si="62">$AB$114</f>
        <v>47.633333333333333</v>
      </c>
      <c r="U113" s="3">
        <f t="shared" ref="U113:U121" si="63">$AB$115</f>
        <v>0.44799999999999995</v>
      </c>
      <c r="V113" s="3">
        <v>0</v>
      </c>
      <c r="W113" t="s">
        <v>257</v>
      </c>
      <c r="X113">
        <v>55</v>
      </c>
      <c r="Y113">
        <v>170</v>
      </c>
      <c r="Z113">
        <v>36</v>
      </c>
      <c r="AB113">
        <f>AVERAGE(X113:Z113)</f>
        <v>87</v>
      </c>
    </row>
    <row r="114" spans="1:38" x14ac:dyDescent="0.25">
      <c r="A114" t="s">
        <v>32</v>
      </c>
      <c r="B114" t="s">
        <v>33</v>
      </c>
      <c r="C114">
        <v>3</v>
      </c>
      <c r="D114">
        <v>2</v>
      </c>
      <c r="E114">
        <f t="shared" si="26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P114" s="3">
        <f t="shared" si="58"/>
        <v>44.393464659330107</v>
      </c>
      <c r="Q114" s="3">
        <f t="shared" si="59"/>
        <v>1259.8522439217716</v>
      </c>
      <c r="R114" s="3">
        <f t="shared" si="60"/>
        <v>3027.7631432871221</v>
      </c>
      <c r="S114" s="3">
        <f t="shared" si="61"/>
        <v>8023.5723297108734</v>
      </c>
      <c r="T114" s="3">
        <f t="shared" si="62"/>
        <v>47.633333333333333</v>
      </c>
      <c r="U114" s="3">
        <f t="shared" si="63"/>
        <v>0.44799999999999995</v>
      </c>
      <c r="V114" s="3">
        <v>0</v>
      </c>
      <c r="W114" t="s">
        <v>243</v>
      </c>
      <c r="X114">
        <v>39</v>
      </c>
      <c r="Y114">
        <v>79.8</v>
      </c>
      <c r="Z114">
        <v>24.1</v>
      </c>
      <c r="AB114">
        <f t="shared" ref="AB114:AB115" si="64">AVERAGE(X114:Z114)</f>
        <v>47.633333333333333</v>
      </c>
    </row>
    <row r="115" spans="1:38" x14ac:dyDescent="0.25">
      <c r="A115" t="s">
        <v>32</v>
      </c>
      <c r="B115" t="s">
        <v>33</v>
      </c>
      <c r="C115">
        <v>4</v>
      </c>
      <c r="D115">
        <v>2</v>
      </c>
      <c r="E115">
        <f t="shared" si="26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P115" s="3">
        <f t="shared" si="58"/>
        <v>46.310821547799065</v>
      </c>
      <c r="Q115" s="3">
        <f t="shared" si="59"/>
        <v>1430.2433865409987</v>
      </c>
      <c r="R115" s="3">
        <f t="shared" si="60"/>
        <v>3437.2587996659422</v>
      </c>
      <c r="S115" s="3">
        <f t="shared" si="61"/>
        <v>9108.7358191147468</v>
      </c>
      <c r="T115" s="3">
        <f t="shared" si="62"/>
        <v>47.633333333333333</v>
      </c>
      <c r="U115" s="3">
        <f t="shared" si="63"/>
        <v>0.44799999999999995</v>
      </c>
      <c r="V115" s="3">
        <v>0</v>
      </c>
      <c r="W115" t="s">
        <v>244</v>
      </c>
      <c r="X115">
        <v>0.4</v>
      </c>
      <c r="Y115">
        <v>0.219</v>
      </c>
      <c r="Z115">
        <v>0.72499999999999998</v>
      </c>
      <c r="AB115">
        <f t="shared" si="64"/>
        <v>0.44799999999999995</v>
      </c>
    </row>
    <row r="116" spans="1:38" x14ac:dyDescent="0.25">
      <c r="A116" t="s">
        <v>32</v>
      </c>
      <c r="B116" t="s">
        <v>33</v>
      </c>
      <c r="C116">
        <v>5</v>
      </c>
      <c r="D116">
        <v>2</v>
      </c>
      <c r="E116">
        <f t="shared" si="26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P116" s="3">
        <f t="shared" si="58"/>
        <v>47.093485086732677</v>
      </c>
      <c r="Q116" s="3">
        <f t="shared" si="59"/>
        <v>1503.9901260122399</v>
      </c>
      <c r="R116" s="3">
        <f t="shared" si="60"/>
        <v>3614.4920115651048</v>
      </c>
      <c r="S116" s="3">
        <f t="shared" si="61"/>
        <v>9578.4038306475268</v>
      </c>
      <c r="T116" s="3">
        <f t="shared" si="62"/>
        <v>47.633333333333333</v>
      </c>
      <c r="U116" s="3">
        <f t="shared" si="63"/>
        <v>0.44799999999999995</v>
      </c>
      <c r="V116" s="3">
        <v>0</v>
      </c>
      <c r="W116" t="s">
        <v>285</v>
      </c>
      <c r="Z116">
        <v>-1.1299999999999999</v>
      </c>
    </row>
    <row r="117" spans="1:38" x14ac:dyDescent="0.25">
      <c r="A117" t="s">
        <v>32</v>
      </c>
      <c r="B117" t="s">
        <v>33</v>
      </c>
      <c r="C117">
        <v>6</v>
      </c>
      <c r="D117">
        <v>2</v>
      </c>
      <c r="E117">
        <f t="shared" si="26"/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P117" s="3">
        <f t="shared" si="58"/>
        <v>47.412967713498745</v>
      </c>
      <c r="Q117" s="3">
        <f t="shared" si="59"/>
        <v>1534.8074966596882</v>
      </c>
      <c r="R117" s="3">
        <f t="shared" si="60"/>
        <v>3688.5544260026159</v>
      </c>
      <c r="S117" s="3">
        <f t="shared" si="61"/>
        <v>9774.6692289069324</v>
      </c>
      <c r="T117" s="3">
        <f t="shared" si="62"/>
        <v>47.633333333333333</v>
      </c>
      <c r="U117" s="3">
        <f t="shared" si="63"/>
        <v>0.44799999999999995</v>
      </c>
      <c r="V117" s="3">
        <v>0</v>
      </c>
      <c r="W117" t="s">
        <v>246</v>
      </c>
      <c r="X117" t="s">
        <v>258</v>
      </c>
      <c r="Y117" t="s">
        <v>282</v>
      </c>
      <c r="Z117" t="s">
        <v>284</v>
      </c>
    </row>
    <row r="118" spans="1:38" x14ac:dyDescent="0.25">
      <c r="A118" t="s">
        <v>32</v>
      </c>
      <c r="B118" t="s">
        <v>33</v>
      </c>
      <c r="C118">
        <v>7</v>
      </c>
      <c r="D118">
        <v>2</v>
      </c>
      <c r="E118">
        <f t="shared" si="26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P118" s="3">
        <f t="shared" si="58"/>
        <v>47.543380264649933</v>
      </c>
      <c r="Q118" s="3">
        <f t="shared" si="59"/>
        <v>1547.5071371217587</v>
      </c>
      <c r="R118" s="3">
        <f t="shared" si="60"/>
        <v>3719.0750711890378</v>
      </c>
      <c r="S118" s="3">
        <f t="shared" si="61"/>
        <v>9855.5489386509489</v>
      </c>
      <c r="T118" s="3">
        <f t="shared" si="62"/>
        <v>47.633333333333333</v>
      </c>
      <c r="U118" s="3">
        <f t="shared" si="63"/>
        <v>0.44799999999999995</v>
      </c>
      <c r="V118" s="3">
        <v>0</v>
      </c>
      <c r="W118" t="s">
        <v>279</v>
      </c>
      <c r="X118" s="5" t="s">
        <v>280</v>
      </c>
      <c r="Y118" s="5" t="s">
        <v>281</v>
      </c>
      <c r="Z118" s="5" t="s">
        <v>283</v>
      </c>
    </row>
    <row r="119" spans="1:38" x14ac:dyDescent="0.25">
      <c r="A119" t="s">
        <v>32</v>
      </c>
      <c r="B119" t="s">
        <v>33</v>
      </c>
      <c r="C119">
        <v>8</v>
      </c>
      <c r="D119">
        <v>2</v>
      </c>
      <c r="E119">
        <f t="shared" si="26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P119" s="3">
        <f t="shared" si="58"/>
        <v>47.596614563083989</v>
      </c>
      <c r="Q119" s="3">
        <f t="shared" si="59"/>
        <v>1552.7111885852785</v>
      </c>
      <c r="R119" s="3">
        <f t="shared" si="60"/>
        <v>3731.5818038579146</v>
      </c>
      <c r="S119" s="3">
        <f t="shared" si="61"/>
        <v>9888.691780223473</v>
      </c>
      <c r="T119" s="3">
        <f t="shared" si="62"/>
        <v>47.633333333333333</v>
      </c>
      <c r="U119" s="3">
        <f t="shared" si="63"/>
        <v>0.44799999999999995</v>
      </c>
      <c r="V119" s="3">
        <v>0</v>
      </c>
    </row>
    <row r="120" spans="1:38" x14ac:dyDescent="0.25">
      <c r="A120" t="s">
        <v>32</v>
      </c>
      <c r="B120" t="s">
        <v>33</v>
      </c>
      <c r="C120">
        <v>9</v>
      </c>
      <c r="D120">
        <v>2</v>
      </c>
      <c r="E120">
        <f t="shared" si="26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P120" s="3">
        <f t="shared" si="58"/>
        <v>47.618344760865959</v>
      </c>
      <c r="Q120" s="3">
        <f t="shared" si="59"/>
        <v>1554.8388269591867</v>
      </c>
      <c r="R120" s="3">
        <f t="shared" si="60"/>
        <v>3736.6950900244819</v>
      </c>
      <c r="S120" s="3">
        <f t="shared" si="61"/>
        <v>9902.241988564876</v>
      </c>
      <c r="T120" s="3">
        <f t="shared" si="62"/>
        <v>47.633333333333333</v>
      </c>
      <c r="U120" s="3">
        <f t="shared" si="63"/>
        <v>0.44799999999999995</v>
      </c>
      <c r="V120" s="3">
        <v>0</v>
      </c>
    </row>
    <row r="121" spans="1:38" x14ac:dyDescent="0.25">
      <c r="A121" t="s">
        <v>32</v>
      </c>
      <c r="B121" t="s">
        <v>33</v>
      </c>
      <c r="C121">
        <v>10</v>
      </c>
      <c r="D121">
        <v>2</v>
      </c>
      <c r="E121">
        <f t="shared" si="26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P121" s="3">
        <f t="shared" si="58"/>
        <v>47.62721501011378</v>
      </c>
      <c r="Q121" s="3">
        <f t="shared" si="59"/>
        <v>1555.7078855504262</v>
      </c>
      <c r="R121" s="3">
        <f t="shared" si="60"/>
        <v>3738.783671113737</v>
      </c>
      <c r="S121" s="3">
        <f t="shared" si="61"/>
        <v>9907.776728451403</v>
      </c>
      <c r="T121" s="3">
        <f t="shared" si="62"/>
        <v>47.633333333333333</v>
      </c>
      <c r="U121" s="3">
        <f t="shared" si="63"/>
        <v>0.44799999999999995</v>
      </c>
      <c r="V121" s="3">
        <v>0</v>
      </c>
    </row>
    <row r="122" spans="1:38" x14ac:dyDescent="0.25">
      <c r="A122" t="s">
        <v>34</v>
      </c>
      <c r="B122" t="s">
        <v>35</v>
      </c>
      <c r="C122">
        <v>1</v>
      </c>
      <c r="D122">
        <v>5</v>
      </c>
      <c r="E122">
        <f t="shared" si="26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P122" s="3">
        <f>T122*(1-EXP(-U122*(E122-V122)))</f>
        <v>210.25548566593963</v>
      </c>
      <c r="Q122" s="3">
        <f t="shared" si="59"/>
        <v>107272.06964857042</v>
      </c>
      <c r="R122" s="3">
        <f t="shared" si="60"/>
        <v>257803.58002540361</v>
      </c>
      <c r="S122" s="3">
        <f t="shared" si="61"/>
        <v>683179.48706731957</v>
      </c>
      <c r="T122" s="3">
        <f>$AL$124</f>
        <v>300.78571428571428</v>
      </c>
      <c r="U122" s="3">
        <f>$AL$125</f>
        <v>0.24014285714285719</v>
      </c>
      <c r="V122" s="3">
        <v>0</v>
      </c>
      <c r="X122" t="s">
        <v>286</v>
      </c>
      <c r="Y122" t="s">
        <v>287</v>
      </c>
      <c r="Z122" t="s">
        <v>288</v>
      </c>
      <c r="AA122" t="s">
        <v>289</v>
      </c>
      <c r="AB122" t="s">
        <v>290</v>
      </c>
      <c r="AC122" t="s">
        <v>291</v>
      </c>
      <c r="AD122" t="s">
        <v>292</v>
      </c>
      <c r="AE122" t="s">
        <v>293</v>
      </c>
      <c r="AF122" t="s">
        <v>294</v>
      </c>
      <c r="AG122" t="s">
        <v>295</v>
      </c>
      <c r="AH122" t="s">
        <v>296</v>
      </c>
      <c r="AI122" t="s">
        <v>297</v>
      </c>
      <c r="AJ122" t="s">
        <v>298</v>
      </c>
    </row>
    <row r="123" spans="1:38" x14ac:dyDescent="0.25">
      <c r="A123" t="s">
        <v>34</v>
      </c>
      <c r="B123" t="s">
        <v>35</v>
      </c>
      <c r="C123">
        <v>2</v>
      </c>
      <c r="D123">
        <v>5</v>
      </c>
      <c r="E123">
        <f t="shared" si="26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P123" s="3">
        <f t="shared" ref="P123:P131" si="65">T123*(1-EXP(-U123*(E123-V123)))</f>
        <v>266.14213576925488</v>
      </c>
      <c r="Q123" s="3">
        <f t="shared" si="59"/>
        <v>228065.09730942317</v>
      </c>
      <c r="R123" s="3">
        <f t="shared" si="60"/>
        <v>548101.6517890488</v>
      </c>
      <c r="S123" s="3">
        <f t="shared" si="61"/>
        <v>1452469.3772409793</v>
      </c>
      <c r="T123" s="3">
        <f t="shared" ref="T123:T131" si="66">$AL$124</f>
        <v>300.78571428571428</v>
      </c>
      <c r="U123" s="3">
        <f t="shared" ref="U123:U131" si="67">$AL$125</f>
        <v>0.24014285714285719</v>
      </c>
      <c r="V123" s="3">
        <v>1</v>
      </c>
      <c r="W123" t="s">
        <v>257</v>
      </c>
      <c r="X123">
        <v>70</v>
      </c>
      <c r="Y123">
        <v>450</v>
      </c>
      <c r="Z123">
        <v>48</v>
      </c>
      <c r="AA123">
        <v>152</v>
      </c>
      <c r="AB123">
        <v>430</v>
      </c>
      <c r="AC123">
        <v>360</v>
      </c>
      <c r="AD123">
        <v>340</v>
      </c>
      <c r="AE123">
        <v>110</v>
      </c>
      <c r="AF123">
        <v>430</v>
      </c>
      <c r="AG123">
        <v>573</v>
      </c>
      <c r="AH123">
        <v>487</v>
      </c>
      <c r="AL123">
        <f>AVERAGE(X123:AH123)</f>
        <v>313.63636363636363</v>
      </c>
    </row>
    <row r="124" spans="1:38" x14ac:dyDescent="0.25">
      <c r="A124" t="s">
        <v>34</v>
      </c>
      <c r="B124" t="s">
        <v>35</v>
      </c>
      <c r="C124">
        <v>3</v>
      </c>
      <c r="D124">
        <v>5</v>
      </c>
      <c r="E124">
        <f t="shared" si="26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P124" s="3">
        <f t="shared" si="65"/>
        <v>287.5285122359237</v>
      </c>
      <c r="Q124" s="3">
        <f t="shared" si="59"/>
        <v>292061.37189564627</v>
      </c>
      <c r="R124" s="3">
        <f t="shared" si="60"/>
        <v>701901.87910513394</v>
      </c>
      <c r="S124" s="3">
        <f t="shared" si="61"/>
        <v>1860039.9796286048</v>
      </c>
      <c r="T124" s="3">
        <f t="shared" si="66"/>
        <v>300.78571428571428</v>
      </c>
      <c r="U124" s="3">
        <f t="shared" si="67"/>
        <v>0.24014285714285719</v>
      </c>
      <c r="V124" s="3">
        <v>2</v>
      </c>
      <c r="W124" t="s">
        <v>243</v>
      </c>
      <c r="AB124">
        <v>449</v>
      </c>
      <c r="AC124">
        <v>285</v>
      </c>
      <c r="AD124">
        <v>250</v>
      </c>
      <c r="AE124">
        <v>92.5</v>
      </c>
      <c r="AF124">
        <v>329</v>
      </c>
      <c r="AG124">
        <v>416</v>
      </c>
      <c r="AH124">
        <v>284</v>
      </c>
      <c r="AL124">
        <f t="shared" ref="AL124:AL125" si="68">AVERAGE(X124:AH124)</f>
        <v>300.78571428571428</v>
      </c>
    </row>
    <row r="125" spans="1:38" x14ac:dyDescent="0.25">
      <c r="A125" t="s">
        <v>34</v>
      </c>
      <c r="B125" t="s">
        <v>35</v>
      </c>
      <c r="C125">
        <v>4</v>
      </c>
      <c r="D125">
        <v>5</v>
      </c>
      <c r="E125">
        <f t="shared" si="26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P125" s="3">
        <f t="shared" si="65"/>
        <v>295.71252572623939</v>
      </c>
      <c r="Q125" s="3">
        <f t="shared" si="59"/>
        <v>319505.46579705627</v>
      </c>
      <c r="R125" s="3">
        <f t="shared" si="60"/>
        <v>767857.40398235095</v>
      </c>
      <c r="S125" s="3">
        <f t="shared" si="61"/>
        <v>2034822.1205532299</v>
      </c>
      <c r="T125" s="3">
        <f t="shared" si="66"/>
        <v>300.78571428571428</v>
      </c>
      <c r="U125" s="3">
        <f t="shared" si="67"/>
        <v>0.24014285714285719</v>
      </c>
      <c r="V125" s="3">
        <v>3</v>
      </c>
      <c r="W125" t="s">
        <v>244</v>
      </c>
      <c r="AB125">
        <v>0.14099999999999999</v>
      </c>
      <c r="AC125">
        <v>0.1</v>
      </c>
      <c r="AD125">
        <v>0.54</v>
      </c>
      <c r="AE125">
        <v>0.5</v>
      </c>
      <c r="AF125">
        <v>0.1</v>
      </c>
      <c r="AG125">
        <v>0.2</v>
      </c>
      <c r="AH125">
        <v>0.1</v>
      </c>
      <c r="AL125">
        <f t="shared" si="68"/>
        <v>0.24014285714285719</v>
      </c>
    </row>
    <row r="126" spans="1:38" x14ac:dyDescent="0.25">
      <c r="A126" t="s">
        <v>34</v>
      </c>
      <c r="B126" t="s">
        <v>35</v>
      </c>
      <c r="C126">
        <v>5</v>
      </c>
      <c r="D126">
        <v>5</v>
      </c>
      <c r="E126">
        <f t="shared" si="26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P126" s="3">
        <f t="shared" si="65"/>
        <v>298.84433615303408</v>
      </c>
      <c r="Q126" s="3">
        <f t="shared" si="59"/>
        <v>330460.2899861114</v>
      </c>
      <c r="R126" s="3">
        <f t="shared" si="60"/>
        <v>794184.78727736452</v>
      </c>
      <c r="S126" s="3">
        <f t="shared" si="61"/>
        <v>2104589.6862850161</v>
      </c>
      <c r="T126" s="3">
        <f t="shared" si="66"/>
        <v>300.78571428571428</v>
      </c>
      <c r="U126" s="3">
        <f t="shared" si="67"/>
        <v>0.24014285714285719</v>
      </c>
      <c r="V126" s="3">
        <v>4</v>
      </c>
      <c r="W126" t="s">
        <v>285</v>
      </c>
    </row>
    <row r="127" spans="1:38" x14ac:dyDescent="0.25">
      <c r="A127" t="s">
        <v>34</v>
      </c>
      <c r="B127" t="s">
        <v>35</v>
      </c>
      <c r="C127">
        <v>6</v>
      </c>
      <c r="D127">
        <v>5</v>
      </c>
      <c r="E127">
        <f t="shared" si="26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P127" s="3">
        <f t="shared" si="65"/>
        <v>300.04279905402831</v>
      </c>
      <c r="Q127" s="3">
        <f t="shared" si="59"/>
        <v>334719.83781043056</v>
      </c>
      <c r="R127" s="3">
        <f t="shared" si="60"/>
        <v>804421.62415388261</v>
      </c>
      <c r="S127" s="3">
        <f t="shared" si="61"/>
        <v>2131717.3040077887</v>
      </c>
      <c r="T127" s="3">
        <f t="shared" si="66"/>
        <v>300.78571428571428</v>
      </c>
      <c r="U127" s="3">
        <f t="shared" si="67"/>
        <v>0.24014285714285719</v>
      </c>
      <c r="V127" s="3">
        <v>5</v>
      </c>
      <c r="W127" t="s">
        <v>246</v>
      </c>
      <c r="AC127" t="s">
        <v>252</v>
      </c>
      <c r="AD127" t="s">
        <v>506</v>
      </c>
      <c r="AE127" t="s">
        <v>258</v>
      </c>
      <c r="AF127" t="s">
        <v>258</v>
      </c>
      <c r="AG127" t="s">
        <v>258</v>
      </c>
      <c r="AH127" t="s">
        <v>258</v>
      </c>
    </row>
    <row r="128" spans="1:38" x14ac:dyDescent="0.25">
      <c r="A128" t="s">
        <v>34</v>
      </c>
      <c r="B128" t="s">
        <v>35</v>
      </c>
      <c r="C128">
        <v>7</v>
      </c>
      <c r="D128">
        <v>5</v>
      </c>
      <c r="E128">
        <f t="shared" si="26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P128" s="3">
        <f t="shared" si="65"/>
        <v>300.50141982901869</v>
      </c>
      <c r="Q128" s="3">
        <f t="shared" si="59"/>
        <v>336359.79302631918</v>
      </c>
      <c r="R128" s="3">
        <f t="shared" si="60"/>
        <v>808362.87677558069</v>
      </c>
      <c r="S128" s="3">
        <f t="shared" si="61"/>
        <v>2142161.6234552888</v>
      </c>
      <c r="T128" s="3">
        <f t="shared" si="66"/>
        <v>300.78571428571428</v>
      </c>
      <c r="U128" s="3">
        <f t="shared" si="67"/>
        <v>0.24014285714285719</v>
      </c>
      <c r="V128" s="3">
        <v>6</v>
      </c>
      <c r="W128" t="s">
        <v>279</v>
      </c>
      <c r="X128" s="5" t="s">
        <v>499</v>
      </c>
      <c r="Y128" s="5" t="s">
        <v>500</v>
      </c>
      <c r="Z128" s="5" t="s">
        <v>501</v>
      </c>
      <c r="AA128" s="5" t="s">
        <v>502</v>
      </c>
      <c r="AB128" s="5" t="s">
        <v>503</v>
      </c>
      <c r="AC128" s="5" t="s">
        <v>504</v>
      </c>
      <c r="AD128" s="5" t="s">
        <v>505</v>
      </c>
      <c r="AE128" s="5" t="s">
        <v>507</v>
      </c>
      <c r="AF128" s="5" t="s">
        <v>508</v>
      </c>
      <c r="AG128" s="5" t="s">
        <v>509</v>
      </c>
      <c r="AH128" s="5" t="s">
        <v>510</v>
      </c>
    </row>
    <row r="129" spans="1:96" x14ac:dyDescent="0.25">
      <c r="A129" t="s">
        <v>34</v>
      </c>
      <c r="B129" t="s">
        <v>35</v>
      </c>
      <c r="C129">
        <v>8</v>
      </c>
      <c r="D129">
        <v>5</v>
      </c>
      <c r="E129">
        <f t="shared" si="26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P129" s="3">
        <f t="shared" si="65"/>
        <v>300.67692214542603</v>
      </c>
      <c r="Q129" s="3">
        <f t="shared" si="59"/>
        <v>336988.82013305963</v>
      </c>
      <c r="R129" s="3">
        <f t="shared" si="60"/>
        <v>809874.5977723134</v>
      </c>
      <c r="S129" s="3">
        <f t="shared" si="61"/>
        <v>2146167.6840966307</v>
      </c>
      <c r="T129" s="3">
        <f t="shared" si="66"/>
        <v>300.78571428571428</v>
      </c>
      <c r="U129" s="3">
        <f t="shared" si="67"/>
        <v>0.24014285714285719</v>
      </c>
      <c r="V129" s="3">
        <v>7</v>
      </c>
    </row>
    <row r="130" spans="1:96" x14ac:dyDescent="0.25">
      <c r="A130" t="s">
        <v>34</v>
      </c>
      <c r="B130" t="s">
        <v>35</v>
      </c>
      <c r="C130">
        <v>9</v>
      </c>
      <c r="D130">
        <v>5</v>
      </c>
      <c r="E130">
        <f t="shared" si="26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P130" s="3">
        <f t="shared" si="65"/>
        <v>300.74408234562634</v>
      </c>
      <c r="Q130" s="3">
        <f t="shared" si="59"/>
        <v>337229.74634921225</v>
      </c>
      <c r="R130" s="3">
        <f t="shared" si="60"/>
        <v>810453.60814518679</v>
      </c>
      <c r="S130" s="3">
        <f t="shared" si="61"/>
        <v>2147702.0615847451</v>
      </c>
      <c r="T130" s="3">
        <f t="shared" si="66"/>
        <v>300.78571428571428</v>
      </c>
      <c r="U130" s="3">
        <f t="shared" si="67"/>
        <v>0.24014285714285719</v>
      </c>
      <c r="V130" s="3">
        <v>8</v>
      </c>
    </row>
    <row r="131" spans="1:96" x14ac:dyDescent="0.25">
      <c r="A131" t="s">
        <v>34</v>
      </c>
      <c r="B131" t="s">
        <v>35</v>
      </c>
      <c r="C131">
        <v>10</v>
      </c>
      <c r="D131">
        <v>5</v>
      </c>
      <c r="E131">
        <f t="shared" ref="E131:E194" si="69">C131*D131</f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P131" s="3">
        <f t="shared" si="65"/>
        <v>300.76978281832248</v>
      </c>
      <c r="Q131" s="3">
        <f t="shared" si="59"/>
        <v>337321.97390491894</v>
      </c>
      <c r="R131" s="3">
        <f t="shared" si="60"/>
        <v>810675.25571958418</v>
      </c>
      <c r="S131" s="3">
        <f t="shared" si="61"/>
        <v>2148289.4276568978</v>
      </c>
      <c r="T131" s="3">
        <f t="shared" si="66"/>
        <v>300.78571428571428</v>
      </c>
      <c r="U131" s="3">
        <f t="shared" si="67"/>
        <v>0.24014285714285719</v>
      </c>
      <c r="V131" s="3">
        <v>9</v>
      </c>
      <c r="AD131" t="s">
        <v>431</v>
      </c>
    </row>
    <row r="132" spans="1:96" x14ac:dyDescent="0.25">
      <c r="A132" s="3" t="s">
        <v>186</v>
      </c>
      <c r="B132" t="s">
        <v>196</v>
      </c>
      <c r="C132">
        <v>1</v>
      </c>
      <c r="D132">
        <v>1</v>
      </c>
      <c r="E132">
        <f t="shared" si="69"/>
        <v>1</v>
      </c>
      <c r="F132">
        <v>48.065368900000003</v>
      </c>
      <c r="G132">
        <v>127.37322760000001</v>
      </c>
      <c r="H132">
        <f t="shared" ref="H132:H141" si="70">F132*3.65*5.7*20/1000</f>
        <v>19.999999999290001</v>
      </c>
      <c r="I132">
        <f t="shared" ref="I132:J141" si="71">H132/1000</f>
        <v>1.9999999999290002E-2</v>
      </c>
      <c r="J132">
        <f t="shared" si="71"/>
        <v>1.9999999999290002E-5</v>
      </c>
      <c r="K132">
        <f t="shared" ref="K132:K141" si="72">I132*2.20462</f>
        <v>4.4092399998434721E-2</v>
      </c>
      <c r="L132" s="4">
        <v>1.23E-2</v>
      </c>
      <c r="M132" s="4">
        <v>3.2</v>
      </c>
      <c r="N132">
        <f t="shared" ref="N132:N141" si="73">(H132/L132)^(1/M132)</f>
        <v>10.080371233277278</v>
      </c>
      <c r="P132" s="3">
        <f>T132*(1-EXP(-U132*(E132-V132)))</f>
        <v>17.37704361136111</v>
      </c>
      <c r="Q132" s="3">
        <f t="shared" ref="Q132:Q151" si="74">L132*(P132^M132)</f>
        <v>114.24256959029441</v>
      </c>
      <c r="R132" s="3">
        <f t="shared" ref="R132" si="75">Q132/20/5.7/3.65*1000</f>
        <v>274.55556258181787</v>
      </c>
      <c r="S132" s="3">
        <f t="shared" ref="S132" si="76">R132*2.65</f>
        <v>727.57224084181735</v>
      </c>
      <c r="T132" s="3">
        <f>$AG$134</f>
        <v>39.200000000000003</v>
      </c>
      <c r="U132" s="3">
        <f>$AG$135</f>
        <v>0.58571428571428563</v>
      </c>
      <c r="V132" s="3">
        <v>0</v>
      </c>
      <c r="X132" t="s">
        <v>299</v>
      </c>
      <c r="Y132" t="s">
        <v>300</v>
      </c>
      <c r="Z132" t="s">
        <v>301</v>
      </c>
      <c r="AA132" t="s">
        <v>302</v>
      </c>
      <c r="AB132" t="s">
        <v>303</v>
      </c>
      <c r="AC132" t="s">
        <v>304</v>
      </c>
      <c r="AD132" t="s">
        <v>305</v>
      </c>
      <c r="AE132" t="s">
        <v>306</v>
      </c>
      <c r="AG132" t="s">
        <v>457</v>
      </c>
    </row>
    <row r="133" spans="1:96" x14ac:dyDescent="0.25">
      <c r="A133" s="3" t="s">
        <v>186</v>
      </c>
      <c r="B133" t="s">
        <v>196</v>
      </c>
      <c r="C133">
        <v>2</v>
      </c>
      <c r="D133">
        <v>1</v>
      </c>
      <c r="E133">
        <f t="shared" si="69"/>
        <v>2</v>
      </c>
      <c r="F133">
        <v>120.16342229999999</v>
      </c>
      <c r="G133">
        <v>318.43306899999999</v>
      </c>
      <c r="H133">
        <f t="shared" si="70"/>
        <v>50.000000019030004</v>
      </c>
      <c r="I133">
        <f t="shared" si="71"/>
        <v>5.0000000019030003E-2</v>
      </c>
      <c r="J133">
        <f t="shared" si="71"/>
        <v>5.000000001903E-5</v>
      </c>
      <c r="K133">
        <f t="shared" si="72"/>
        <v>0.11023100004195391</v>
      </c>
      <c r="L133" s="4">
        <v>1.23E-2</v>
      </c>
      <c r="M133" s="4">
        <v>3.2</v>
      </c>
      <c r="N133">
        <f t="shared" si="73"/>
        <v>13.422480419127959</v>
      </c>
      <c r="P133" s="3">
        <f t="shared" ref="P133:P141" si="77">T133*(1-EXP(-U133*(E133-V133)))</f>
        <v>27.050984042335848</v>
      </c>
      <c r="Q133" s="3">
        <f t="shared" si="74"/>
        <v>470.85905826241515</v>
      </c>
      <c r="R133" s="3">
        <f t="shared" ref="R133:R151" si="78">Q133/20/5.7/3.65*1000</f>
        <v>1131.6007168046506</v>
      </c>
      <c r="S133" s="3">
        <f t="shared" ref="S133:S151" si="79">R133*2.65</f>
        <v>2998.7418995323237</v>
      </c>
      <c r="T133" s="3">
        <f t="shared" ref="T133:T141" si="80">$AG$134</f>
        <v>39.200000000000003</v>
      </c>
      <c r="U133" s="3">
        <f t="shared" ref="U133:U141" si="81">$AG$135</f>
        <v>0.58571428571428563</v>
      </c>
      <c r="V133" s="3">
        <v>0</v>
      </c>
      <c r="W133" t="s">
        <v>257</v>
      </c>
      <c r="X133">
        <v>33</v>
      </c>
      <c r="Y133">
        <v>40</v>
      </c>
      <c r="Z133">
        <v>40</v>
      </c>
      <c r="AA133">
        <v>76</v>
      </c>
      <c r="AB133">
        <v>57</v>
      </c>
      <c r="AC133">
        <v>60</v>
      </c>
      <c r="AD133">
        <v>70</v>
      </c>
      <c r="AE133">
        <v>35.6</v>
      </c>
      <c r="AG133">
        <f>AVERAGE(X133:AE133)</f>
        <v>51.45</v>
      </c>
    </row>
    <row r="134" spans="1:96" x14ac:dyDescent="0.25">
      <c r="A134" s="3" t="s">
        <v>186</v>
      </c>
      <c r="B134" t="s">
        <v>196</v>
      </c>
      <c r="C134">
        <v>3</v>
      </c>
      <c r="D134">
        <v>1</v>
      </c>
      <c r="E134">
        <f t="shared" si="69"/>
        <v>3</v>
      </c>
      <c r="F134">
        <v>192.26147560000001</v>
      </c>
      <c r="G134">
        <v>509.49291040000003</v>
      </c>
      <c r="H134">
        <f t="shared" si="70"/>
        <v>79.999999997160003</v>
      </c>
      <c r="I134">
        <f t="shared" si="71"/>
        <v>7.999999999716001E-2</v>
      </c>
      <c r="J134">
        <f t="shared" si="71"/>
        <v>7.9999999997160007E-5</v>
      </c>
      <c r="K134">
        <f t="shared" si="72"/>
        <v>0.17636959999373888</v>
      </c>
      <c r="L134" s="4">
        <v>1.23E-2</v>
      </c>
      <c r="M134" s="4">
        <v>3.2</v>
      </c>
      <c r="N134">
        <f t="shared" si="73"/>
        <v>15.546057640091004</v>
      </c>
      <c r="P134" s="3">
        <f t="shared" si="77"/>
        <v>32.436544759974929</v>
      </c>
      <c r="Q134" s="3">
        <f t="shared" si="74"/>
        <v>841.81330476331766</v>
      </c>
      <c r="R134" s="3">
        <f t="shared" si="78"/>
        <v>2023.1033519906698</v>
      </c>
      <c r="S134" s="3">
        <f t="shared" si="79"/>
        <v>5361.2238827752744</v>
      </c>
      <c r="T134" s="3">
        <f t="shared" si="80"/>
        <v>39.200000000000003</v>
      </c>
      <c r="U134" s="3">
        <f t="shared" si="81"/>
        <v>0.58571428571428563</v>
      </c>
      <c r="V134" s="3">
        <v>0</v>
      </c>
      <c r="W134" t="s">
        <v>243</v>
      </c>
      <c r="X134">
        <v>25.4</v>
      </c>
      <c r="Y134">
        <v>19.899999999999999</v>
      </c>
      <c r="AA134">
        <v>48.8</v>
      </c>
      <c r="AB134">
        <v>43.7</v>
      </c>
      <c r="AC134">
        <v>61</v>
      </c>
      <c r="AD134">
        <v>43.8</v>
      </c>
      <c r="AE134">
        <v>31.8</v>
      </c>
      <c r="AG134">
        <f t="shared" ref="AG134:AG135" si="82">AVERAGE(X134:AE134)</f>
        <v>39.200000000000003</v>
      </c>
    </row>
    <row r="135" spans="1:96" x14ac:dyDescent="0.25">
      <c r="A135" s="3" t="s">
        <v>186</v>
      </c>
      <c r="B135" t="s">
        <v>196</v>
      </c>
      <c r="C135">
        <v>4</v>
      </c>
      <c r="D135">
        <v>1</v>
      </c>
      <c r="E135">
        <f t="shared" si="69"/>
        <v>4</v>
      </c>
      <c r="F135">
        <v>242.73011299999999</v>
      </c>
      <c r="G135">
        <v>643.23479940000004</v>
      </c>
      <c r="H135">
        <f t="shared" si="70"/>
        <v>101.00000001929999</v>
      </c>
      <c r="I135">
        <f t="shared" si="71"/>
        <v>0.10100000001929998</v>
      </c>
      <c r="J135">
        <f t="shared" si="71"/>
        <v>1.0100000001929998E-4</v>
      </c>
      <c r="K135">
        <f t="shared" si="72"/>
        <v>0.22266662004254911</v>
      </c>
      <c r="L135" s="4">
        <v>1.23E-2</v>
      </c>
      <c r="M135" s="4">
        <v>3.2</v>
      </c>
      <c r="N135">
        <f t="shared" si="73"/>
        <v>16.72072414391199</v>
      </c>
      <c r="P135" s="3">
        <f t="shared" si="77"/>
        <v>35.434729879092394</v>
      </c>
      <c r="Q135" s="3">
        <f t="shared" si="74"/>
        <v>1117.0646693381061</v>
      </c>
      <c r="R135" s="3">
        <f t="shared" si="78"/>
        <v>2684.606270939933</v>
      </c>
      <c r="S135" s="3">
        <f t="shared" si="79"/>
        <v>7114.2066179908225</v>
      </c>
      <c r="T135" s="3">
        <f t="shared" si="80"/>
        <v>39.200000000000003</v>
      </c>
      <c r="U135" s="3">
        <f t="shared" si="81"/>
        <v>0.58571428571428563</v>
      </c>
      <c r="V135" s="3">
        <v>0</v>
      </c>
      <c r="W135" t="s">
        <v>244</v>
      </c>
      <c r="X135">
        <v>1.9</v>
      </c>
      <c r="Y135">
        <v>0.5</v>
      </c>
      <c r="AA135">
        <v>0.5</v>
      </c>
      <c r="AB135">
        <v>0.5</v>
      </c>
      <c r="AC135">
        <v>0.3</v>
      </c>
      <c r="AD135">
        <v>0.1</v>
      </c>
      <c r="AE135">
        <v>0.3</v>
      </c>
      <c r="AG135">
        <f t="shared" si="82"/>
        <v>0.58571428571428563</v>
      </c>
    </row>
    <row r="136" spans="1:96" x14ac:dyDescent="0.25">
      <c r="A136" s="3" t="s">
        <v>186</v>
      </c>
      <c r="B136" t="s">
        <v>196</v>
      </c>
      <c r="C136">
        <v>5</v>
      </c>
      <c r="D136">
        <v>1</v>
      </c>
      <c r="E136">
        <f t="shared" si="69"/>
        <v>5</v>
      </c>
      <c r="F136">
        <v>254.74645520000001</v>
      </c>
      <c r="G136">
        <v>675.07810619999998</v>
      </c>
      <c r="H136">
        <f t="shared" si="70"/>
        <v>106.00000000872002</v>
      </c>
      <c r="I136">
        <f t="shared" si="71"/>
        <v>0.10600000000872002</v>
      </c>
      <c r="J136">
        <f t="shared" si="71"/>
        <v>1.0600000000872002E-4</v>
      </c>
      <c r="K136">
        <f t="shared" si="72"/>
        <v>0.23368972001922431</v>
      </c>
      <c r="L136" s="4">
        <v>1.23E-2</v>
      </c>
      <c r="M136" s="4">
        <v>3.2</v>
      </c>
      <c r="N136">
        <f t="shared" si="73"/>
        <v>16.975115407979288</v>
      </c>
      <c r="P136" s="3">
        <f t="shared" si="77"/>
        <v>37.103843733673173</v>
      </c>
      <c r="Q136" s="3">
        <f t="shared" si="74"/>
        <v>1294.3317321175573</v>
      </c>
      <c r="R136" s="3">
        <f t="shared" si="78"/>
        <v>3110.6266092707456</v>
      </c>
      <c r="S136" s="3">
        <f t="shared" si="79"/>
        <v>8243.1605145674748</v>
      </c>
      <c r="T136" s="3">
        <f t="shared" si="80"/>
        <v>39.200000000000003</v>
      </c>
      <c r="U136" s="3">
        <f t="shared" si="81"/>
        <v>0.58571428571428563</v>
      </c>
      <c r="V136" s="3">
        <v>0</v>
      </c>
      <c r="W136" t="s">
        <v>285</v>
      </c>
    </row>
    <row r="137" spans="1:96" x14ac:dyDescent="0.25">
      <c r="A137" s="3" t="s">
        <v>186</v>
      </c>
      <c r="B137" t="s">
        <v>196</v>
      </c>
      <c r="C137">
        <v>6</v>
      </c>
      <c r="D137">
        <v>1</v>
      </c>
      <c r="E137">
        <f t="shared" si="69"/>
        <v>6</v>
      </c>
      <c r="F137">
        <v>283.32131700000002</v>
      </c>
      <c r="G137">
        <v>750.80149010000002</v>
      </c>
      <c r="H137">
        <f t="shared" si="70"/>
        <v>117.89000000370002</v>
      </c>
      <c r="I137">
        <f t="shared" si="71"/>
        <v>0.11789000000370002</v>
      </c>
      <c r="J137">
        <f t="shared" si="71"/>
        <v>1.1789000000370003E-4</v>
      </c>
      <c r="K137">
        <f t="shared" si="72"/>
        <v>0.25990265180815714</v>
      </c>
      <c r="L137" s="4">
        <v>1.23E-2</v>
      </c>
      <c r="M137" s="4">
        <v>3.2</v>
      </c>
      <c r="N137">
        <f t="shared" si="73"/>
        <v>17.548548692677855</v>
      </c>
      <c r="P137" s="3">
        <f t="shared" si="77"/>
        <v>38.033052888167795</v>
      </c>
      <c r="Q137" s="3">
        <f t="shared" si="74"/>
        <v>1400.9444367063206</v>
      </c>
      <c r="R137" s="3">
        <f t="shared" si="78"/>
        <v>3366.8455580541236</v>
      </c>
      <c r="S137" s="3">
        <f t="shared" si="79"/>
        <v>8922.1407288434275</v>
      </c>
      <c r="T137" s="3">
        <f t="shared" si="80"/>
        <v>39.200000000000003</v>
      </c>
      <c r="U137" s="3">
        <f t="shared" si="81"/>
        <v>0.58571428571428563</v>
      </c>
      <c r="V137" s="3">
        <v>0</v>
      </c>
      <c r="W137" t="s">
        <v>246</v>
      </c>
      <c r="X137" t="s">
        <v>258</v>
      </c>
      <c r="Y137" t="s">
        <v>258</v>
      </c>
      <c r="Z137" t="s">
        <v>263</v>
      </c>
      <c r="AA137" t="s">
        <v>258</v>
      </c>
      <c r="AB137" t="s">
        <v>258</v>
      </c>
      <c r="AC137" t="s">
        <v>429</v>
      </c>
      <c r="AD137" t="s">
        <v>258</v>
      </c>
      <c r="AE137" t="s">
        <v>258</v>
      </c>
    </row>
    <row r="138" spans="1:96" x14ac:dyDescent="0.25">
      <c r="A138" s="3" t="s">
        <v>186</v>
      </c>
      <c r="B138" t="s">
        <v>196</v>
      </c>
      <c r="C138">
        <v>7</v>
      </c>
      <c r="D138">
        <v>1</v>
      </c>
      <c r="E138">
        <f t="shared" si="69"/>
        <v>7</v>
      </c>
      <c r="F138">
        <v>314.44364339999998</v>
      </c>
      <c r="G138">
        <v>833.27565500000003</v>
      </c>
      <c r="H138">
        <f t="shared" si="70"/>
        <v>130.84000001874</v>
      </c>
      <c r="I138">
        <f t="shared" si="71"/>
        <v>0.13084000001873999</v>
      </c>
      <c r="J138">
        <f t="shared" si="71"/>
        <v>1.3084000001873999E-4</v>
      </c>
      <c r="K138">
        <f t="shared" si="72"/>
        <v>0.28845248084131453</v>
      </c>
      <c r="L138" s="4">
        <v>1.23E-2</v>
      </c>
      <c r="M138" s="4">
        <v>3.2</v>
      </c>
      <c r="N138">
        <f t="shared" si="73"/>
        <v>18.129510157606568</v>
      </c>
      <c r="P138" s="3">
        <f t="shared" si="77"/>
        <v>38.550351124250966</v>
      </c>
      <c r="Q138" s="3">
        <f t="shared" si="74"/>
        <v>1462.8365170912211</v>
      </c>
      <c r="R138" s="3">
        <f t="shared" si="78"/>
        <v>3515.588841843839</v>
      </c>
      <c r="S138" s="3">
        <f t="shared" si="79"/>
        <v>9316.310430886173</v>
      </c>
      <c r="T138" s="3">
        <f t="shared" si="80"/>
        <v>39.200000000000003</v>
      </c>
      <c r="U138" s="3">
        <f t="shared" si="81"/>
        <v>0.58571428571428563</v>
      </c>
      <c r="V138" s="3">
        <v>0</v>
      </c>
      <c r="W138" t="s">
        <v>279</v>
      </c>
      <c r="X138" s="5" t="s">
        <v>423</v>
      </c>
      <c r="Y138" s="5" t="s">
        <v>424</v>
      </c>
      <c r="Z138" s="5" t="s">
        <v>425</v>
      </c>
      <c r="AA138" s="5" t="s">
        <v>426</v>
      </c>
      <c r="AB138" s="5" t="s">
        <v>427</v>
      </c>
      <c r="AC138" s="5" t="s">
        <v>428</v>
      </c>
      <c r="AD138" s="5" t="s">
        <v>430</v>
      </c>
      <c r="AE138" s="5" t="s">
        <v>432</v>
      </c>
    </row>
    <row r="139" spans="1:96" x14ac:dyDescent="0.25">
      <c r="A139" s="3" t="s">
        <v>186</v>
      </c>
      <c r="B139" t="s">
        <v>196</v>
      </c>
      <c r="C139">
        <v>8</v>
      </c>
      <c r="D139">
        <v>1</v>
      </c>
      <c r="E139">
        <f t="shared" si="69"/>
        <v>8</v>
      </c>
      <c r="F139">
        <v>345.5659698</v>
      </c>
      <c r="G139">
        <v>915.74981979999995</v>
      </c>
      <c r="H139">
        <f t="shared" si="70"/>
        <v>143.79000003377999</v>
      </c>
      <c r="I139">
        <f t="shared" si="71"/>
        <v>0.14379000003377998</v>
      </c>
      <c r="J139">
        <f t="shared" si="71"/>
        <v>1.4379000003377998E-4</v>
      </c>
      <c r="K139">
        <f t="shared" si="72"/>
        <v>0.31700230987447198</v>
      </c>
      <c r="L139" s="4">
        <v>1.23E-2</v>
      </c>
      <c r="M139" s="4">
        <v>3.2</v>
      </c>
      <c r="N139">
        <f t="shared" si="73"/>
        <v>18.672173165729784</v>
      </c>
      <c r="P139" s="3">
        <f t="shared" si="77"/>
        <v>38.838335227464299</v>
      </c>
      <c r="Q139" s="3">
        <f t="shared" si="74"/>
        <v>1498.0939513752016</v>
      </c>
      <c r="R139" s="3">
        <f t="shared" si="78"/>
        <v>3600.3219211131977</v>
      </c>
      <c r="S139" s="3">
        <f t="shared" si="79"/>
        <v>9540.8530909499732</v>
      </c>
      <c r="T139" s="3">
        <f t="shared" si="80"/>
        <v>39.200000000000003</v>
      </c>
      <c r="U139" s="3">
        <f t="shared" si="81"/>
        <v>0.58571428571428563</v>
      </c>
      <c r="V139" s="3">
        <v>0</v>
      </c>
    </row>
    <row r="140" spans="1:96" x14ac:dyDescent="0.25">
      <c r="A140" s="3" t="s">
        <v>186</v>
      </c>
      <c r="B140" t="s">
        <v>196</v>
      </c>
      <c r="C140">
        <v>9</v>
      </c>
      <c r="D140">
        <v>1</v>
      </c>
      <c r="E140">
        <f t="shared" si="69"/>
        <v>9</v>
      </c>
      <c r="F140">
        <v>372.74693589999998</v>
      </c>
      <c r="G140">
        <v>987.77937999999995</v>
      </c>
      <c r="H140">
        <f t="shared" si="70"/>
        <v>155.10000002799001</v>
      </c>
      <c r="I140">
        <f t="shared" si="71"/>
        <v>0.15510000002799001</v>
      </c>
      <c r="J140">
        <f t="shared" si="71"/>
        <v>1.5510000002799001E-4</v>
      </c>
      <c r="K140">
        <f t="shared" si="72"/>
        <v>0.34193656206170731</v>
      </c>
      <c r="L140" s="4">
        <v>1.23E-2</v>
      </c>
      <c r="M140" s="4">
        <v>3.2</v>
      </c>
      <c r="N140">
        <f t="shared" si="73"/>
        <v>19.11924945060121</v>
      </c>
      <c r="P140" s="3">
        <f t="shared" si="77"/>
        <v>38.998658302082816</v>
      </c>
      <c r="Q140" s="3">
        <f t="shared" si="74"/>
        <v>1517.9729845880943</v>
      </c>
      <c r="R140" s="3">
        <f t="shared" si="78"/>
        <v>3648.0965743525458</v>
      </c>
      <c r="S140" s="3">
        <f t="shared" si="79"/>
        <v>9667.4559220342453</v>
      </c>
      <c r="T140" s="3">
        <f t="shared" si="80"/>
        <v>39.200000000000003</v>
      </c>
      <c r="U140" s="3">
        <f t="shared" si="81"/>
        <v>0.58571428571428563</v>
      </c>
      <c r="V140" s="3">
        <v>0</v>
      </c>
    </row>
    <row r="141" spans="1:96" x14ac:dyDescent="0.25">
      <c r="A141" s="3" t="s">
        <v>186</v>
      </c>
      <c r="B141" t="s">
        <v>196</v>
      </c>
      <c r="C141">
        <v>10</v>
      </c>
      <c r="D141">
        <v>1</v>
      </c>
      <c r="E141">
        <f t="shared" si="69"/>
        <v>10</v>
      </c>
      <c r="F141">
        <v>408.79596249999997</v>
      </c>
      <c r="G141">
        <v>1083.309301</v>
      </c>
      <c r="H141">
        <f t="shared" si="70"/>
        <v>170.09999999625001</v>
      </c>
      <c r="I141">
        <f t="shared" si="71"/>
        <v>0.17009999999625</v>
      </c>
      <c r="J141">
        <f t="shared" si="71"/>
        <v>1.7009999999625E-4</v>
      </c>
      <c r="K141">
        <f t="shared" si="72"/>
        <v>0.37500586199173264</v>
      </c>
      <c r="L141" s="4">
        <v>1.23E-2</v>
      </c>
      <c r="M141" s="4">
        <v>3.2</v>
      </c>
      <c r="N141">
        <f t="shared" si="73"/>
        <v>19.678851599644297</v>
      </c>
      <c r="P141" s="3">
        <f t="shared" si="77"/>
        <v>39.087911451712728</v>
      </c>
      <c r="Q141" s="3">
        <f t="shared" si="74"/>
        <v>1529.1180047687253</v>
      </c>
      <c r="R141" s="3">
        <f t="shared" si="78"/>
        <v>3674.8810496724955</v>
      </c>
      <c r="S141" s="3">
        <f t="shared" si="79"/>
        <v>9738.4347816321133</v>
      </c>
      <c r="T141" s="3">
        <f t="shared" si="80"/>
        <v>39.200000000000003</v>
      </c>
      <c r="U141" s="3">
        <f t="shared" si="81"/>
        <v>0.58571428571428563</v>
      </c>
      <c r="V141" s="3">
        <v>0</v>
      </c>
    </row>
    <row r="142" spans="1:96" x14ac:dyDescent="0.25">
      <c r="A142" s="3" t="s">
        <v>187</v>
      </c>
      <c r="B142" t="s">
        <v>195</v>
      </c>
      <c r="C142">
        <v>1</v>
      </c>
      <c r="D142">
        <v>1</v>
      </c>
      <c r="E142">
        <f t="shared" si="69"/>
        <v>1</v>
      </c>
      <c r="F142">
        <v>127.5414564</v>
      </c>
      <c r="G142">
        <v>337.98485950000003</v>
      </c>
      <c r="H142">
        <f t="shared" ref="H142:H161" si="83">F142*3.65*5.7*20/1000</f>
        <v>53.070000008040005</v>
      </c>
      <c r="I142">
        <f t="shared" ref="I142:J142" si="84">H142/1000</f>
        <v>5.3070000008040005E-2</v>
      </c>
      <c r="J142">
        <f t="shared" si="84"/>
        <v>5.3070000008040008E-5</v>
      </c>
      <c r="K142">
        <f t="shared" ref="K142:K161" si="85">I142*2.20462</f>
        <v>0.11699918341772515</v>
      </c>
      <c r="L142" s="4">
        <v>1.2E-2</v>
      </c>
      <c r="M142" s="4">
        <v>3.1</v>
      </c>
      <c r="N142">
        <f>(H142/L142)^(1/M142)</f>
        <v>14.997604075732943</v>
      </c>
      <c r="P142" s="3">
        <f>T142*(1-EXP(-U142*(E142-V142)))</f>
        <v>10.940569321365825</v>
      </c>
      <c r="Q142" s="3">
        <f t="shared" si="74"/>
        <v>19.962043838434557</v>
      </c>
      <c r="R142" s="3">
        <f t="shared" si="78"/>
        <v>47.974150056319537</v>
      </c>
      <c r="S142" s="3">
        <f t="shared" si="79"/>
        <v>127.13149764924677</v>
      </c>
      <c r="T142" s="3">
        <f>AVERAGE($Y$144:$Z$144)</f>
        <v>54.3</v>
      </c>
      <c r="U142" s="3">
        <f>AVERAGE($Y$145:$Z$145)</f>
        <v>0.22500000000000001</v>
      </c>
      <c r="V142" s="3">
        <v>0</v>
      </c>
      <c r="X142" t="s">
        <v>307</v>
      </c>
      <c r="Y142" t="s">
        <v>308</v>
      </c>
      <c r="Z142" t="s">
        <v>309</v>
      </c>
      <c r="AA142" t="s">
        <v>310</v>
      </c>
      <c r="AB142" t="s">
        <v>311</v>
      </c>
      <c r="AC142" t="s">
        <v>312</v>
      </c>
      <c r="AD142" t="s">
        <v>313</v>
      </c>
      <c r="AE142" t="s">
        <v>314</v>
      </c>
      <c r="AF142" t="s">
        <v>315</v>
      </c>
      <c r="AG142" t="s">
        <v>316</v>
      </c>
      <c r="AH142" t="s">
        <v>317</v>
      </c>
      <c r="AI142" t="s">
        <v>318</v>
      </c>
      <c r="AJ142" t="s">
        <v>319</v>
      </c>
      <c r="AK142" t="s">
        <v>320</v>
      </c>
      <c r="AL142" t="s">
        <v>321</v>
      </c>
      <c r="AM142" t="s">
        <v>322</v>
      </c>
      <c r="AN142" t="s">
        <v>323</v>
      </c>
      <c r="AO142" t="s">
        <v>324</v>
      </c>
      <c r="AP142" t="s">
        <v>325</v>
      </c>
      <c r="AQ142" t="s">
        <v>325</v>
      </c>
      <c r="AR142" t="s">
        <v>326</v>
      </c>
      <c r="AS142" t="s">
        <v>327</v>
      </c>
      <c r="AT142" t="s">
        <v>328</v>
      </c>
      <c r="AU142" t="s">
        <v>329</v>
      </c>
      <c r="AV142" t="s">
        <v>330</v>
      </c>
      <c r="AW142" t="s">
        <v>263</v>
      </c>
      <c r="AX142" t="s">
        <v>331</v>
      </c>
      <c r="AY142" t="s">
        <v>332</v>
      </c>
      <c r="AZ142" t="s">
        <v>333</v>
      </c>
      <c r="BA142" t="s">
        <v>334</v>
      </c>
      <c r="BB142" t="s">
        <v>335</v>
      </c>
      <c r="BC142" t="s">
        <v>336</v>
      </c>
      <c r="BD142" t="s">
        <v>337</v>
      </c>
      <c r="BE142" t="s">
        <v>338</v>
      </c>
      <c r="BF142" t="s">
        <v>339</v>
      </c>
      <c r="BG142" t="s">
        <v>340</v>
      </c>
      <c r="BH142" t="s">
        <v>341</v>
      </c>
      <c r="BI142" t="s">
        <v>342</v>
      </c>
      <c r="BJ142" t="s">
        <v>343</v>
      </c>
      <c r="BK142" t="s">
        <v>344</v>
      </c>
      <c r="BL142" t="s">
        <v>345</v>
      </c>
      <c r="BM142" t="s">
        <v>346</v>
      </c>
      <c r="BN142" t="s">
        <v>347</v>
      </c>
      <c r="BO142" t="s">
        <v>348</v>
      </c>
      <c r="BP142" t="s">
        <v>349</v>
      </c>
      <c r="BQ142" t="s">
        <v>350</v>
      </c>
      <c r="BR142" t="s">
        <v>263</v>
      </c>
      <c r="BS142" t="s">
        <v>351</v>
      </c>
      <c r="BT142" t="s">
        <v>352</v>
      </c>
      <c r="BU142" t="s">
        <v>353</v>
      </c>
      <c r="BV142" t="s">
        <v>354</v>
      </c>
      <c r="BW142" t="s">
        <v>355</v>
      </c>
      <c r="BX142" t="s">
        <v>356</v>
      </c>
      <c r="BY142" t="s">
        <v>357</v>
      </c>
      <c r="BZ142" t="s">
        <v>358</v>
      </c>
      <c r="CA142" t="s">
        <v>359</v>
      </c>
      <c r="CB142" t="s">
        <v>360</v>
      </c>
      <c r="CC142" t="s">
        <v>361</v>
      </c>
      <c r="CD142" t="s">
        <v>362</v>
      </c>
      <c r="CE142" t="s">
        <v>363</v>
      </c>
      <c r="CF142" t="s">
        <v>364</v>
      </c>
      <c r="CG142" t="s">
        <v>365</v>
      </c>
      <c r="CH142" t="s">
        <v>366</v>
      </c>
      <c r="CI142" t="s">
        <v>367</v>
      </c>
      <c r="CJ142" t="s">
        <v>368</v>
      </c>
      <c r="CK142" t="s">
        <v>369</v>
      </c>
      <c r="CL142" t="s">
        <v>370</v>
      </c>
      <c r="CM142" t="s">
        <v>371</v>
      </c>
      <c r="CN142" t="s">
        <v>372</v>
      </c>
      <c r="CO142" t="s">
        <v>373</v>
      </c>
      <c r="CP142" t="s">
        <v>374</v>
      </c>
      <c r="CQ142" t="s">
        <v>375</v>
      </c>
      <c r="CR142" t="s">
        <v>376</v>
      </c>
    </row>
    <row r="143" spans="1:96" x14ac:dyDescent="0.25">
      <c r="A143" s="3" t="s">
        <v>187</v>
      </c>
      <c r="B143" t="s">
        <v>195</v>
      </c>
      <c r="C143">
        <v>2</v>
      </c>
      <c r="D143">
        <v>1</v>
      </c>
      <c r="E143">
        <f t="shared" si="69"/>
        <v>2</v>
      </c>
      <c r="F143">
        <v>347.4885845</v>
      </c>
      <c r="G143">
        <v>920.84474890000001</v>
      </c>
      <c r="H143">
        <f t="shared" si="83"/>
        <v>144.59000001044998</v>
      </c>
      <c r="I143">
        <f t="shared" ref="I143:J143" si="86">H143/1000</f>
        <v>0.14459000001044997</v>
      </c>
      <c r="J143">
        <f t="shared" si="86"/>
        <v>1.4459000001044997E-4</v>
      </c>
      <c r="K143">
        <f t="shared" si="85"/>
        <v>0.31876600582303821</v>
      </c>
      <c r="L143" s="4">
        <v>1.2E-2</v>
      </c>
      <c r="M143" s="4">
        <v>3.1</v>
      </c>
      <c r="N143">
        <f t="shared" ref="N143:N161" si="87">(H143/L143)^(1/M143)</f>
        <v>20.722289929778977</v>
      </c>
      <c r="P143" s="3">
        <f t="shared" ref="P143:P151" si="88">T143*(1-EXP(-U143*(E143-V143)))</f>
        <v>19.676791366937707</v>
      </c>
      <c r="Q143" s="3">
        <f t="shared" si="74"/>
        <v>123.15144629980473</v>
      </c>
      <c r="R143" s="3">
        <f t="shared" si="78"/>
        <v>295.96598485893952</v>
      </c>
      <c r="S143" s="3">
        <f t="shared" si="79"/>
        <v>784.30985987618965</v>
      </c>
      <c r="T143" s="3">
        <f t="shared" ref="T143:T151" si="89">AVERAGE($Y$144:$Z$144)</f>
        <v>54.3</v>
      </c>
      <c r="U143" s="3">
        <f t="shared" ref="U143:U151" si="90">AVERAGE($Y$145:$Z$145)</f>
        <v>0.22500000000000001</v>
      </c>
      <c r="V143" s="3">
        <v>0</v>
      </c>
      <c r="W143" t="s">
        <v>257</v>
      </c>
      <c r="X143">
        <v>41</v>
      </c>
      <c r="Y143">
        <v>41</v>
      </c>
      <c r="Z143">
        <v>120</v>
      </c>
      <c r="AA143">
        <v>40</v>
      </c>
    </row>
    <row r="144" spans="1:96" x14ac:dyDescent="0.25">
      <c r="A144" s="3" t="s">
        <v>187</v>
      </c>
      <c r="B144" t="s">
        <v>195</v>
      </c>
      <c r="C144">
        <v>3</v>
      </c>
      <c r="D144">
        <v>1</v>
      </c>
      <c r="E144">
        <f t="shared" si="69"/>
        <v>3</v>
      </c>
      <c r="F144">
        <v>732.42009129999997</v>
      </c>
      <c r="G144">
        <v>1940.9132420000001</v>
      </c>
      <c r="H144">
        <f t="shared" si="83"/>
        <v>304.75999998992995</v>
      </c>
      <c r="I144">
        <f t="shared" ref="I144:J144" si="91">H144/1000</f>
        <v>0.30475999998992997</v>
      </c>
      <c r="J144">
        <f t="shared" si="91"/>
        <v>3.0475999998992999E-4</v>
      </c>
      <c r="K144">
        <f t="shared" si="85"/>
        <v>0.6718799911777994</v>
      </c>
      <c r="L144" s="4">
        <v>1.2E-2</v>
      </c>
      <c r="M144" s="4">
        <v>3.1</v>
      </c>
      <c r="N144">
        <f t="shared" si="87"/>
        <v>26.356984171020404</v>
      </c>
      <c r="P144" s="3">
        <f t="shared" si="88"/>
        <v>26.652806361010079</v>
      </c>
      <c r="Q144" s="3">
        <f t="shared" si="74"/>
        <v>315.48910976816597</v>
      </c>
      <c r="R144" s="3">
        <f t="shared" si="78"/>
        <v>758.20502227389079</v>
      </c>
      <c r="S144" s="3">
        <f t="shared" si="79"/>
        <v>2009.2433090258105</v>
      </c>
      <c r="T144" s="3">
        <f t="shared" si="89"/>
        <v>54.3</v>
      </c>
      <c r="U144" s="3">
        <f t="shared" si="90"/>
        <v>0.22500000000000001</v>
      </c>
      <c r="V144" s="3">
        <v>0</v>
      </c>
      <c r="W144" t="s">
        <v>243</v>
      </c>
      <c r="Y144">
        <v>31</v>
      </c>
      <c r="Z144">
        <v>77.599999999999994</v>
      </c>
    </row>
    <row r="145" spans="1:27" x14ac:dyDescent="0.25">
      <c r="A145" s="3" t="s">
        <v>187</v>
      </c>
      <c r="B145" t="s">
        <v>195</v>
      </c>
      <c r="C145">
        <v>4</v>
      </c>
      <c r="D145">
        <v>1</v>
      </c>
      <c r="E145">
        <f t="shared" si="69"/>
        <v>4</v>
      </c>
      <c r="F145">
        <v>1115.2006730000001</v>
      </c>
      <c r="G145">
        <v>2955.281782</v>
      </c>
      <c r="H145">
        <f t="shared" si="83"/>
        <v>464.03500003530002</v>
      </c>
      <c r="I145">
        <f t="shared" ref="I145:J145" si="92">H145/1000</f>
        <v>0.46403500003530002</v>
      </c>
      <c r="J145">
        <f t="shared" si="92"/>
        <v>4.6403500003530001E-4</v>
      </c>
      <c r="K145">
        <f t="shared" si="85"/>
        <v>1.023020841777823</v>
      </c>
      <c r="L145" s="4">
        <v>1.2E-2</v>
      </c>
      <c r="M145" s="4">
        <v>3.1</v>
      </c>
      <c r="N145">
        <f t="shared" si="87"/>
        <v>30.185377428941027</v>
      </c>
      <c r="P145" s="3">
        <f t="shared" si="88"/>
        <v>32.223267476085468</v>
      </c>
      <c r="Q145" s="3">
        <f t="shared" si="74"/>
        <v>568.20746158456916</v>
      </c>
      <c r="R145" s="3">
        <f t="shared" si="78"/>
        <v>1365.5550626882218</v>
      </c>
      <c r="S145" s="3">
        <f t="shared" si="79"/>
        <v>3618.7209161237879</v>
      </c>
      <c r="T145" s="3">
        <f t="shared" si="89"/>
        <v>54.3</v>
      </c>
      <c r="U145" s="3">
        <f t="shared" si="90"/>
        <v>0.22500000000000001</v>
      </c>
      <c r="V145" s="3">
        <v>0</v>
      </c>
      <c r="W145" t="s">
        <v>244</v>
      </c>
      <c r="Y145">
        <v>0.25</v>
      </c>
      <c r="Z145">
        <v>0.2</v>
      </c>
    </row>
    <row r="146" spans="1:27" x14ac:dyDescent="0.25">
      <c r="A146" s="3" t="s">
        <v>187</v>
      </c>
      <c r="B146" t="s">
        <v>195</v>
      </c>
      <c r="C146">
        <v>5</v>
      </c>
      <c r="D146">
        <v>1</v>
      </c>
      <c r="E146">
        <f t="shared" si="69"/>
        <v>5</v>
      </c>
      <c r="F146">
        <v>1550.4325879999999</v>
      </c>
      <c r="G146">
        <v>4108.6463590000003</v>
      </c>
      <c r="H146">
        <f t="shared" si="83"/>
        <v>645.13499986679994</v>
      </c>
      <c r="I146">
        <f t="shared" ref="I146:J146" si="93">H146/1000</f>
        <v>0.6451349998667999</v>
      </c>
      <c r="J146">
        <f t="shared" si="93"/>
        <v>6.4513499986679993E-4</v>
      </c>
      <c r="K146">
        <f t="shared" si="85"/>
        <v>1.4222775234063443</v>
      </c>
      <c r="L146" s="4">
        <v>1.2E-2</v>
      </c>
      <c r="M146" s="4">
        <v>3.1</v>
      </c>
      <c r="N146">
        <f t="shared" si="87"/>
        <v>33.570503685170742</v>
      </c>
      <c r="P146" s="3">
        <f t="shared" si="88"/>
        <v>36.671371022441605</v>
      </c>
      <c r="Q146" s="3">
        <f t="shared" si="74"/>
        <v>848.38972898017994</v>
      </c>
      <c r="R146" s="3">
        <f t="shared" si="78"/>
        <v>2038.9082647925497</v>
      </c>
      <c r="S146" s="3">
        <f t="shared" si="79"/>
        <v>5403.1069017002565</v>
      </c>
      <c r="T146" s="3">
        <f t="shared" si="89"/>
        <v>54.3</v>
      </c>
      <c r="U146" s="3">
        <f t="shared" si="90"/>
        <v>0.22500000000000001</v>
      </c>
      <c r="V146" s="3">
        <v>0</v>
      </c>
      <c r="W146" t="s">
        <v>285</v>
      </c>
    </row>
    <row r="147" spans="1:27" x14ac:dyDescent="0.25">
      <c r="A147" s="3" t="s">
        <v>187</v>
      </c>
      <c r="B147" t="s">
        <v>195</v>
      </c>
      <c r="C147">
        <v>6</v>
      </c>
      <c r="D147">
        <v>1</v>
      </c>
      <c r="E147">
        <f t="shared" si="69"/>
        <v>6</v>
      </c>
      <c r="F147">
        <v>1976.4359529999999</v>
      </c>
      <c r="G147">
        <v>5237.5552749999997</v>
      </c>
      <c r="H147">
        <f t="shared" si="83"/>
        <v>822.3950000433</v>
      </c>
      <c r="I147">
        <f t="shared" ref="I147:J147" si="94">H147/1000</f>
        <v>0.82239500004330002</v>
      </c>
      <c r="J147">
        <f t="shared" si="94"/>
        <v>8.2239500004330007E-4</v>
      </c>
      <c r="K147">
        <f t="shared" si="85"/>
        <v>1.8130684649954598</v>
      </c>
      <c r="L147" s="4">
        <v>1.2E-2</v>
      </c>
      <c r="M147" s="4">
        <v>3.1</v>
      </c>
      <c r="N147">
        <f t="shared" si="87"/>
        <v>36.305087581617954</v>
      </c>
      <c r="P147" s="3">
        <f t="shared" si="88"/>
        <v>40.223253846928095</v>
      </c>
      <c r="Q147" s="3">
        <f t="shared" si="74"/>
        <v>1129.9534835971413</v>
      </c>
      <c r="R147" s="3">
        <f t="shared" si="78"/>
        <v>2715.5815515432378</v>
      </c>
      <c r="S147" s="3">
        <f t="shared" si="79"/>
        <v>7196.2911115895795</v>
      </c>
      <c r="T147" s="3">
        <f t="shared" si="89"/>
        <v>54.3</v>
      </c>
      <c r="U147" s="3">
        <f t="shared" si="90"/>
        <v>0.22500000000000001</v>
      </c>
      <c r="V147" s="3">
        <v>0</v>
      </c>
      <c r="W147" t="s">
        <v>246</v>
      </c>
      <c r="X147" t="s">
        <v>263</v>
      </c>
      <c r="Y147" t="s">
        <v>429</v>
      </c>
      <c r="Z147" t="s">
        <v>258</v>
      </c>
      <c r="AA147" t="s">
        <v>263</v>
      </c>
    </row>
    <row r="148" spans="1:27" x14ac:dyDescent="0.25">
      <c r="A148" s="3" t="s">
        <v>187</v>
      </c>
      <c r="B148" t="s">
        <v>195</v>
      </c>
      <c r="C148">
        <v>7</v>
      </c>
      <c r="D148">
        <v>1</v>
      </c>
      <c r="E148">
        <f t="shared" si="69"/>
        <v>7</v>
      </c>
      <c r="F148">
        <v>2275.6669069999998</v>
      </c>
      <c r="G148">
        <v>6030.517304</v>
      </c>
      <c r="H148">
        <f t="shared" si="83"/>
        <v>946.90500000269992</v>
      </c>
      <c r="I148">
        <f t="shared" ref="I148:J148" si="95">H148/1000</f>
        <v>0.94690500000269995</v>
      </c>
      <c r="J148">
        <f t="shared" si="95"/>
        <v>9.4690500000269994E-4</v>
      </c>
      <c r="K148">
        <f t="shared" si="85"/>
        <v>2.0875657011059521</v>
      </c>
      <c r="L148" s="4">
        <v>1.2E-2</v>
      </c>
      <c r="M148" s="4">
        <v>3.1</v>
      </c>
      <c r="N148">
        <f t="shared" si="87"/>
        <v>37.994242889558372</v>
      </c>
      <c r="P148" s="3">
        <f t="shared" si="88"/>
        <v>43.059489889413406</v>
      </c>
      <c r="Q148" s="3">
        <f t="shared" si="74"/>
        <v>1395.7086685865481</v>
      </c>
      <c r="R148" s="3">
        <f t="shared" si="78"/>
        <v>3354.2626017460907</v>
      </c>
      <c r="S148" s="3">
        <f t="shared" si="79"/>
        <v>8888.7958946271392</v>
      </c>
      <c r="T148" s="3">
        <f t="shared" si="89"/>
        <v>54.3</v>
      </c>
      <c r="U148" s="3">
        <f t="shared" si="90"/>
        <v>0.22500000000000001</v>
      </c>
      <c r="V148" s="3">
        <v>0</v>
      </c>
      <c r="W148" t="s">
        <v>279</v>
      </c>
      <c r="X148" s="5" t="s">
        <v>433</v>
      </c>
      <c r="Y148" s="5" t="s">
        <v>434</v>
      </c>
      <c r="Z148" s="5" t="s">
        <v>435</v>
      </c>
      <c r="AA148" s="5" t="s">
        <v>436</v>
      </c>
    </row>
    <row r="149" spans="1:27" x14ac:dyDescent="0.25">
      <c r="A149" s="3" t="s">
        <v>187</v>
      </c>
      <c r="B149" t="s">
        <v>195</v>
      </c>
      <c r="C149">
        <v>8</v>
      </c>
      <c r="D149">
        <v>1</v>
      </c>
      <c r="E149">
        <f t="shared" si="69"/>
        <v>8</v>
      </c>
      <c r="F149">
        <v>2451.3338140000001</v>
      </c>
      <c r="G149">
        <v>6496.0346079999999</v>
      </c>
      <c r="H149">
        <f t="shared" si="83"/>
        <v>1020.0000000054</v>
      </c>
      <c r="I149">
        <f t="shared" ref="I149:J149" si="96">H149/1000</f>
        <v>1.0200000000053999</v>
      </c>
      <c r="J149">
        <f t="shared" si="96"/>
        <v>1.0200000000053998E-3</v>
      </c>
      <c r="K149">
        <f t="shared" si="85"/>
        <v>2.2487124000119048</v>
      </c>
      <c r="L149" s="4">
        <v>1.2E-2</v>
      </c>
      <c r="M149" s="4">
        <v>3.1</v>
      </c>
      <c r="N149">
        <f t="shared" si="87"/>
        <v>38.916622113975315</v>
      </c>
      <c r="P149" s="3">
        <f t="shared" si="88"/>
        <v>45.324270369567849</v>
      </c>
      <c r="Q149" s="3">
        <f t="shared" si="74"/>
        <v>1636.0885031377572</v>
      </c>
      <c r="R149" s="3">
        <f t="shared" si="78"/>
        <v>3931.9598729578402</v>
      </c>
      <c r="S149" s="3">
        <f t="shared" si="79"/>
        <v>10419.693663338276</v>
      </c>
      <c r="T149" s="3">
        <f t="shared" si="89"/>
        <v>54.3</v>
      </c>
      <c r="U149" s="3">
        <f t="shared" si="90"/>
        <v>0.22500000000000001</v>
      </c>
      <c r="V149" s="3">
        <v>0</v>
      </c>
    </row>
    <row r="150" spans="1:27" x14ac:dyDescent="0.25">
      <c r="A150" s="3" t="s">
        <v>187</v>
      </c>
      <c r="B150" t="s">
        <v>195</v>
      </c>
      <c r="C150">
        <v>9</v>
      </c>
      <c r="D150">
        <v>1</v>
      </c>
      <c r="E150">
        <f t="shared" si="69"/>
        <v>9</v>
      </c>
      <c r="F150">
        <v>2643.5952900000002</v>
      </c>
      <c r="G150">
        <v>7005.5275179999999</v>
      </c>
      <c r="H150">
        <f t="shared" si="83"/>
        <v>1100.000000169</v>
      </c>
      <c r="I150">
        <f t="shared" ref="I150:J150" si="97">H150/1000</f>
        <v>1.100000000169</v>
      </c>
      <c r="J150">
        <f t="shared" si="97"/>
        <v>1.1000000001690001E-3</v>
      </c>
      <c r="K150">
        <f t="shared" si="85"/>
        <v>2.4250820003725808</v>
      </c>
      <c r="L150" s="4">
        <v>1.2E-2</v>
      </c>
      <c r="M150" s="4">
        <v>3.1</v>
      </c>
      <c r="N150">
        <f t="shared" si="87"/>
        <v>39.876163449959911</v>
      </c>
      <c r="P150" s="3">
        <f t="shared" si="88"/>
        <v>47.132734314900816</v>
      </c>
      <c r="Q150" s="3">
        <f t="shared" si="74"/>
        <v>1847.0617522628568</v>
      </c>
      <c r="R150" s="3">
        <f t="shared" si="78"/>
        <v>4438.9852253373138</v>
      </c>
      <c r="S150" s="3">
        <f t="shared" si="79"/>
        <v>11763.310847143881</v>
      </c>
      <c r="T150" s="3">
        <f t="shared" si="89"/>
        <v>54.3</v>
      </c>
      <c r="U150" s="3">
        <f t="shared" si="90"/>
        <v>0.22500000000000001</v>
      </c>
      <c r="V150" s="3">
        <v>0</v>
      </c>
    </row>
    <row r="151" spans="1:27" x14ac:dyDescent="0.25">
      <c r="A151" s="3" t="s">
        <v>187</v>
      </c>
      <c r="B151" t="s">
        <v>195</v>
      </c>
      <c r="C151">
        <v>10</v>
      </c>
      <c r="D151">
        <v>1</v>
      </c>
      <c r="E151">
        <f t="shared" si="69"/>
        <v>10</v>
      </c>
      <c r="F151">
        <v>3076.18361</v>
      </c>
      <c r="G151">
        <v>8151.8865660000001</v>
      </c>
      <c r="H151">
        <f t="shared" si="83"/>
        <v>1280.0000001210001</v>
      </c>
      <c r="I151">
        <f t="shared" ref="I151:J161" si="98">H151/1000</f>
        <v>1.2800000001210001</v>
      </c>
      <c r="J151">
        <f t="shared" si="98"/>
        <v>1.2800000001210001E-3</v>
      </c>
      <c r="K151">
        <f t="shared" si="85"/>
        <v>2.8219136002667589</v>
      </c>
      <c r="L151" s="4">
        <v>1.2E-2</v>
      </c>
      <c r="M151" s="4">
        <v>3.1</v>
      </c>
      <c r="N151">
        <f t="shared" si="87"/>
        <v>41.874029007707747</v>
      </c>
      <c r="P151" s="3">
        <f t="shared" si="88"/>
        <v>48.576822106290763</v>
      </c>
      <c r="Q151" s="3">
        <f t="shared" si="74"/>
        <v>2028.203162915443</v>
      </c>
      <c r="R151" s="3">
        <f t="shared" si="78"/>
        <v>4874.3166616569169</v>
      </c>
      <c r="S151" s="3">
        <f t="shared" si="79"/>
        <v>12916.939153390829</v>
      </c>
      <c r="T151" s="3">
        <f t="shared" si="89"/>
        <v>54.3</v>
      </c>
      <c r="U151" s="3">
        <f t="shared" si="90"/>
        <v>0.22500000000000001</v>
      </c>
      <c r="V151" s="3">
        <v>0</v>
      </c>
    </row>
    <row r="152" spans="1:27" x14ac:dyDescent="0.25">
      <c r="A152" s="3" t="s">
        <v>183</v>
      </c>
      <c r="B152" t="s">
        <v>197</v>
      </c>
      <c r="C152">
        <v>1</v>
      </c>
      <c r="D152">
        <v>1</v>
      </c>
      <c r="E152">
        <f t="shared" si="69"/>
        <v>1</v>
      </c>
      <c r="F152">
        <v>476.02739730000002</v>
      </c>
      <c r="G152">
        <v>1261.4726029999999</v>
      </c>
      <c r="H152">
        <f t="shared" si="83"/>
        <v>198.07500001653005</v>
      </c>
      <c r="I152">
        <f t="shared" si="98"/>
        <v>0.19807500001653006</v>
      </c>
      <c r="J152">
        <f t="shared" si="98"/>
        <v>1.9807500001653005E-4</v>
      </c>
      <c r="K152">
        <f t="shared" si="85"/>
        <v>0.43668010653644246</v>
      </c>
      <c r="L152" s="4">
        <v>1.24E-2</v>
      </c>
      <c r="M152" s="4">
        <v>3.2</v>
      </c>
      <c r="N152">
        <f>(H152/L152)^(1/M152)</f>
        <v>20.585669387454402</v>
      </c>
      <c r="P152" s="3">
        <f>T152*(1-EXP(-U152*(E152-V152)))</f>
        <v>4.8373105205674864</v>
      </c>
      <c r="Q152" s="3">
        <f t="shared" ref="Q152:Q161" si="99">L152*(P152^M152)</f>
        <v>1.923775453962943</v>
      </c>
      <c r="R152" s="3">
        <f t="shared" ref="R152:R161" si="100">Q152/20/5.7/3.65*1000</f>
        <v>4.6233488439388202</v>
      </c>
      <c r="S152" s="3">
        <f t="shared" ref="S152:S161" si="101">R152*2.65</f>
        <v>12.251874436437873</v>
      </c>
      <c r="T152">
        <f>$X$154</f>
        <v>20.9</v>
      </c>
      <c r="U152">
        <f>$X$155</f>
        <v>0.19500000000000001</v>
      </c>
      <c r="V152">
        <f>$X$156</f>
        <v>-0.35</v>
      </c>
      <c r="X152" t="s">
        <v>377</v>
      </c>
      <c r="Y152" t="s">
        <v>378</v>
      </c>
      <c r="Z152" t="s">
        <v>379</v>
      </c>
    </row>
    <row r="153" spans="1:27" x14ac:dyDescent="0.25">
      <c r="A153" s="3" t="s">
        <v>183</v>
      </c>
      <c r="B153" t="s">
        <v>197</v>
      </c>
      <c r="C153">
        <v>2</v>
      </c>
      <c r="D153">
        <v>1</v>
      </c>
      <c r="E153">
        <f t="shared" si="69"/>
        <v>2</v>
      </c>
      <c r="F153">
        <v>1129.488104</v>
      </c>
      <c r="G153">
        <v>2993.143474</v>
      </c>
      <c r="H153">
        <f t="shared" si="83"/>
        <v>469.98000007439998</v>
      </c>
      <c r="I153">
        <f t="shared" si="98"/>
        <v>0.4699800000744</v>
      </c>
      <c r="J153">
        <f t="shared" si="98"/>
        <v>4.6998000007440001E-4</v>
      </c>
      <c r="K153">
        <f t="shared" si="85"/>
        <v>1.0361273077640236</v>
      </c>
      <c r="L153" s="4">
        <v>1.24E-2</v>
      </c>
      <c r="M153" s="4">
        <v>3.2</v>
      </c>
      <c r="N153">
        <f t="shared" si="87"/>
        <v>26.966869202838879</v>
      </c>
      <c r="P153" s="3">
        <f t="shared" ref="P153:P161" si="102">T153*(1-EXP(-U153*(E153-V153)))</f>
        <v>7.6830623947311434</v>
      </c>
      <c r="Q153" s="3">
        <f t="shared" si="99"/>
        <v>8.4553509376347833</v>
      </c>
      <c r="R153" s="3">
        <f t="shared" si="100"/>
        <v>20.320478100540214</v>
      </c>
      <c r="S153" s="3">
        <f t="shared" si="101"/>
        <v>53.849266966431564</v>
      </c>
      <c r="T153">
        <f>$X$154</f>
        <v>20.9</v>
      </c>
      <c r="U153">
        <f t="shared" ref="U153:U161" si="103">$X$155</f>
        <v>0.19500000000000001</v>
      </c>
      <c r="V153">
        <f t="shared" ref="V153:V161" si="104">$X$156</f>
        <v>-0.35</v>
      </c>
      <c r="W153" t="s">
        <v>257</v>
      </c>
      <c r="X153">
        <v>20</v>
      </c>
      <c r="Y153">
        <v>18</v>
      </c>
      <c r="Z153">
        <v>18</v>
      </c>
    </row>
    <row r="154" spans="1:27" x14ac:dyDescent="0.25">
      <c r="A154" s="3" t="s">
        <v>183</v>
      </c>
      <c r="B154" t="s">
        <v>197</v>
      </c>
      <c r="C154">
        <v>3</v>
      </c>
      <c r="D154">
        <v>1</v>
      </c>
      <c r="E154">
        <f t="shared" si="69"/>
        <v>3</v>
      </c>
      <c r="F154">
        <v>1548.9065129999999</v>
      </c>
      <c r="G154">
        <v>4104.6022599999997</v>
      </c>
      <c r="H154">
        <f t="shared" si="83"/>
        <v>644.50000005929996</v>
      </c>
      <c r="I154">
        <f t="shared" si="98"/>
        <v>0.64450000005929997</v>
      </c>
      <c r="J154">
        <f t="shared" si="98"/>
        <v>6.445000000593E-4</v>
      </c>
      <c r="K154">
        <f t="shared" si="85"/>
        <v>1.4208775901307338</v>
      </c>
      <c r="L154" s="4">
        <v>1.24E-2</v>
      </c>
      <c r="M154" s="4">
        <v>3.2</v>
      </c>
      <c r="N154">
        <f t="shared" si="87"/>
        <v>29.763766337987356</v>
      </c>
      <c r="P154" s="3">
        <f t="shared" si="102"/>
        <v>10.02464566502087</v>
      </c>
      <c r="Q154" s="3">
        <f t="shared" si="99"/>
        <v>19.808089233497125</v>
      </c>
      <c r="R154" s="3">
        <f t="shared" si="100"/>
        <v>47.604155812297819</v>
      </c>
      <c r="S154" s="3">
        <f t="shared" si="101"/>
        <v>126.15101290258922</v>
      </c>
      <c r="T154">
        <f t="shared" ref="T154:T161" si="105">$X$154</f>
        <v>20.9</v>
      </c>
      <c r="U154">
        <f t="shared" si="103"/>
        <v>0.19500000000000001</v>
      </c>
      <c r="V154">
        <f t="shared" si="104"/>
        <v>-0.35</v>
      </c>
      <c r="W154" t="s">
        <v>243</v>
      </c>
      <c r="X154">
        <v>20.9</v>
      </c>
    </row>
    <row r="155" spans="1:27" x14ac:dyDescent="0.25">
      <c r="A155" s="3" t="s">
        <v>183</v>
      </c>
      <c r="B155" t="s">
        <v>197</v>
      </c>
      <c r="C155">
        <v>4</v>
      </c>
      <c r="D155">
        <v>1</v>
      </c>
      <c r="E155">
        <f t="shared" si="69"/>
        <v>4</v>
      </c>
      <c r="F155">
        <v>2095.4578219999999</v>
      </c>
      <c r="G155">
        <v>5552.9632300000003</v>
      </c>
      <c r="H155">
        <f t="shared" si="83"/>
        <v>871.91999973419991</v>
      </c>
      <c r="I155">
        <f t="shared" si="98"/>
        <v>0.87191999973419987</v>
      </c>
      <c r="J155">
        <f t="shared" si="98"/>
        <v>8.7191999973419991E-4</v>
      </c>
      <c r="K155">
        <f t="shared" si="85"/>
        <v>1.9222522698140116</v>
      </c>
      <c r="L155" s="4">
        <v>1.24E-2</v>
      </c>
      <c r="M155" s="4">
        <v>3.2</v>
      </c>
      <c r="N155">
        <f t="shared" si="87"/>
        <v>32.711817394436984</v>
      </c>
      <c r="P155" s="3">
        <f t="shared" si="102"/>
        <v>11.951381534539408</v>
      </c>
      <c r="Q155" s="3">
        <f t="shared" si="99"/>
        <v>34.766393415183607</v>
      </c>
      <c r="R155" s="3">
        <f t="shared" si="100"/>
        <v>83.552976244132694</v>
      </c>
      <c r="S155" s="3">
        <f t="shared" si="101"/>
        <v>221.41538704695162</v>
      </c>
      <c r="T155">
        <f t="shared" si="105"/>
        <v>20.9</v>
      </c>
      <c r="U155">
        <f t="shared" si="103"/>
        <v>0.19500000000000001</v>
      </c>
      <c r="V155">
        <f t="shared" si="104"/>
        <v>-0.35</v>
      </c>
      <c r="W155" t="s">
        <v>244</v>
      </c>
      <c r="X155">
        <v>0.19500000000000001</v>
      </c>
    </row>
    <row r="156" spans="1:27" x14ac:dyDescent="0.25">
      <c r="A156" s="3" t="s">
        <v>183</v>
      </c>
      <c r="B156" t="s">
        <v>197</v>
      </c>
      <c r="C156">
        <v>5</v>
      </c>
      <c r="D156">
        <v>1</v>
      </c>
      <c r="E156">
        <f t="shared" si="69"/>
        <v>5</v>
      </c>
      <c r="F156">
        <v>2636.890171</v>
      </c>
      <c r="G156">
        <v>6987.7589529999996</v>
      </c>
      <c r="H156">
        <f t="shared" si="83"/>
        <v>1097.2100001530998</v>
      </c>
      <c r="I156">
        <f t="shared" si="98"/>
        <v>1.0972100001530998</v>
      </c>
      <c r="J156">
        <f t="shared" si="98"/>
        <v>1.0972100001530997E-3</v>
      </c>
      <c r="K156">
        <f t="shared" si="85"/>
        <v>2.4189311105375264</v>
      </c>
      <c r="L156" s="4">
        <v>1.24E-2</v>
      </c>
      <c r="M156" s="4">
        <v>3.2</v>
      </c>
      <c r="N156">
        <f t="shared" si="87"/>
        <v>35.147648337383011</v>
      </c>
      <c r="P156" s="3">
        <f t="shared" si="102"/>
        <v>13.536766584898963</v>
      </c>
      <c r="Q156" s="3">
        <f t="shared" si="99"/>
        <v>51.792812427196722</v>
      </c>
      <c r="R156" s="3">
        <f t="shared" si="100"/>
        <v>124.47203178850451</v>
      </c>
      <c r="S156" s="3">
        <f t="shared" si="101"/>
        <v>329.85088423953692</v>
      </c>
      <c r="T156">
        <f t="shared" si="105"/>
        <v>20.9</v>
      </c>
      <c r="U156">
        <f t="shared" si="103"/>
        <v>0.19500000000000001</v>
      </c>
      <c r="V156">
        <f t="shared" si="104"/>
        <v>-0.35</v>
      </c>
      <c r="W156" t="s">
        <v>285</v>
      </c>
      <c r="X156">
        <v>-0.35</v>
      </c>
    </row>
    <row r="157" spans="1:27" x14ac:dyDescent="0.25">
      <c r="A157" s="3" t="s">
        <v>183</v>
      </c>
      <c r="B157" t="s">
        <v>197</v>
      </c>
      <c r="C157">
        <v>6</v>
      </c>
      <c r="D157">
        <v>1</v>
      </c>
      <c r="E157">
        <f t="shared" si="69"/>
        <v>6</v>
      </c>
      <c r="F157">
        <v>2919.850997</v>
      </c>
      <c r="G157">
        <v>7737.6051429999998</v>
      </c>
      <c r="H157">
        <f t="shared" si="83"/>
        <v>1214.9499998517001</v>
      </c>
      <c r="I157">
        <f t="shared" si="98"/>
        <v>1.2149499998517002</v>
      </c>
      <c r="J157">
        <f t="shared" si="98"/>
        <v>1.2149499998517002E-3</v>
      </c>
      <c r="K157">
        <f t="shared" si="85"/>
        <v>2.6785030686730549</v>
      </c>
      <c r="L157" s="4">
        <v>1.24E-2</v>
      </c>
      <c r="M157" s="4">
        <v>3.2</v>
      </c>
      <c r="N157">
        <f t="shared" si="87"/>
        <v>36.285258805695427</v>
      </c>
      <c r="P157" s="3">
        <f t="shared" si="102"/>
        <v>14.841276350698688</v>
      </c>
      <c r="Q157" s="3">
        <f t="shared" si="99"/>
        <v>69.523190031244795</v>
      </c>
      <c r="R157" s="3">
        <f t="shared" si="100"/>
        <v>167.08288880376062</v>
      </c>
      <c r="S157" s="3">
        <f t="shared" si="101"/>
        <v>442.76965532996564</v>
      </c>
      <c r="T157">
        <f t="shared" si="105"/>
        <v>20.9</v>
      </c>
      <c r="U157">
        <f t="shared" si="103"/>
        <v>0.19500000000000001</v>
      </c>
      <c r="V157">
        <f t="shared" si="104"/>
        <v>-0.35</v>
      </c>
      <c r="W157" t="s">
        <v>246</v>
      </c>
    </row>
    <row r="158" spans="1:27" x14ac:dyDescent="0.25">
      <c r="A158" s="3" t="s">
        <v>183</v>
      </c>
      <c r="B158" t="s">
        <v>197</v>
      </c>
      <c r="C158">
        <v>7</v>
      </c>
      <c r="D158">
        <v>1</v>
      </c>
      <c r="E158">
        <f t="shared" si="69"/>
        <v>7</v>
      </c>
      <c r="F158">
        <v>3445.5659700000001</v>
      </c>
      <c r="G158">
        <v>9130.7498190000006</v>
      </c>
      <c r="H158">
        <f t="shared" si="83"/>
        <v>1433.7000001169999</v>
      </c>
      <c r="I158">
        <f t="shared" si="98"/>
        <v>1.4337000001169999</v>
      </c>
      <c r="J158">
        <f t="shared" si="98"/>
        <v>1.4337000001169999E-3</v>
      </c>
      <c r="K158">
        <f t="shared" si="85"/>
        <v>3.1607636942579402</v>
      </c>
      <c r="L158" s="4">
        <v>1.24E-2</v>
      </c>
      <c r="M158" s="4">
        <v>3.2</v>
      </c>
      <c r="N158">
        <f t="shared" si="87"/>
        <v>38.211926836032923</v>
      </c>
      <c r="P158" s="3">
        <f t="shared" si="102"/>
        <v>15.914672197771242</v>
      </c>
      <c r="Q158" s="3">
        <f t="shared" si="99"/>
        <v>86.930928383652684</v>
      </c>
      <c r="R158" s="3">
        <f t="shared" si="100"/>
        <v>208.91835708640397</v>
      </c>
      <c r="S158" s="3">
        <f t="shared" si="101"/>
        <v>553.63364627897056</v>
      </c>
      <c r="T158">
        <f t="shared" si="105"/>
        <v>20.9</v>
      </c>
      <c r="U158">
        <f t="shared" si="103"/>
        <v>0.19500000000000001</v>
      </c>
      <c r="V158">
        <f t="shared" si="104"/>
        <v>-0.35</v>
      </c>
      <c r="W158" t="s">
        <v>279</v>
      </c>
      <c r="X158" s="5" t="s">
        <v>496</v>
      </c>
      <c r="Y158" s="5" t="s">
        <v>497</v>
      </c>
      <c r="Z158" s="5" t="s">
        <v>498</v>
      </c>
    </row>
    <row r="159" spans="1:27" x14ac:dyDescent="0.25">
      <c r="A159" s="3" t="s">
        <v>183</v>
      </c>
      <c r="B159" t="s">
        <v>197</v>
      </c>
      <c r="C159">
        <v>8</v>
      </c>
      <c r="D159">
        <v>1</v>
      </c>
      <c r="E159">
        <f t="shared" si="69"/>
        <v>8</v>
      </c>
      <c r="F159">
        <v>3970.9204519999998</v>
      </c>
      <c r="G159">
        <v>10522.939200000001</v>
      </c>
      <c r="H159">
        <f t="shared" si="83"/>
        <v>1652.3000000771999</v>
      </c>
      <c r="I159">
        <f t="shared" si="98"/>
        <v>1.6523000000771999</v>
      </c>
      <c r="J159">
        <f t="shared" si="98"/>
        <v>1.6523000000772E-3</v>
      </c>
      <c r="K159">
        <f t="shared" si="85"/>
        <v>3.6426936261701961</v>
      </c>
      <c r="L159" s="4">
        <v>1.24E-2</v>
      </c>
      <c r="M159" s="4">
        <v>3.2</v>
      </c>
      <c r="N159">
        <f t="shared" si="87"/>
        <v>39.94463945663405</v>
      </c>
      <c r="P159" s="3">
        <f t="shared" si="102"/>
        <v>16.797899502555939</v>
      </c>
      <c r="Q159" s="3">
        <f t="shared" si="99"/>
        <v>103.33266183026286</v>
      </c>
      <c r="R159" s="3">
        <f t="shared" si="100"/>
        <v>248.33612552334262</v>
      </c>
      <c r="S159" s="3">
        <f t="shared" si="101"/>
        <v>658.09073263685787</v>
      </c>
      <c r="T159">
        <f t="shared" si="105"/>
        <v>20.9</v>
      </c>
      <c r="U159">
        <f t="shared" si="103"/>
        <v>0.19500000000000001</v>
      </c>
      <c r="V159">
        <f t="shared" si="104"/>
        <v>-0.35</v>
      </c>
    </row>
    <row r="160" spans="1:27" x14ac:dyDescent="0.25">
      <c r="A160" s="3" t="s">
        <v>183</v>
      </c>
      <c r="B160" t="s">
        <v>197</v>
      </c>
      <c r="C160">
        <v>9</v>
      </c>
      <c r="D160">
        <v>1</v>
      </c>
      <c r="E160">
        <f t="shared" si="69"/>
        <v>9</v>
      </c>
      <c r="F160">
        <v>4109.5890410000002</v>
      </c>
      <c r="G160">
        <v>10890.410959999999</v>
      </c>
      <c r="H160">
        <f t="shared" si="83"/>
        <v>1709.9999999601</v>
      </c>
      <c r="I160">
        <f t="shared" si="98"/>
        <v>1.7099999999601001</v>
      </c>
      <c r="J160">
        <f t="shared" si="98"/>
        <v>1.7099999999601002E-3</v>
      </c>
      <c r="K160">
        <f t="shared" si="85"/>
        <v>3.7699001999120356</v>
      </c>
      <c r="L160" s="4">
        <v>1.24E-2</v>
      </c>
      <c r="M160" s="4">
        <v>3.2</v>
      </c>
      <c r="N160">
        <f t="shared" si="87"/>
        <v>40.375415800387913</v>
      </c>
      <c r="P160" s="3">
        <f t="shared" si="102"/>
        <v>17.524649539874193</v>
      </c>
      <c r="Q160" s="3">
        <f t="shared" si="99"/>
        <v>118.33128438676349</v>
      </c>
      <c r="R160" s="3">
        <f t="shared" si="100"/>
        <v>284.38184183312541</v>
      </c>
      <c r="S160" s="3">
        <f t="shared" si="101"/>
        <v>753.61188085778235</v>
      </c>
      <c r="T160">
        <f t="shared" si="105"/>
        <v>20.9</v>
      </c>
      <c r="U160">
        <f t="shared" si="103"/>
        <v>0.19500000000000001</v>
      </c>
      <c r="V160">
        <f t="shared" si="104"/>
        <v>-0.35</v>
      </c>
    </row>
    <row r="161" spans="1:24" x14ac:dyDescent="0.25">
      <c r="A161" s="3" t="s">
        <v>183</v>
      </c>
      <c r="B161" t="s">
        <v>197</v>
      </c>
      <c r="C161">
        <v>10</v>
      </c>
      <c r="D161">
        <v>1</v>
      </c>
      <c r="E161">
        <f t="shared" si="69"/>
        <v>10</v>
      </c>
      <c r="F161">
        <v>4373.9485699999996</v>
      </c>
      <c r="G161">
        <v>11590.96371</v>
      </c>
      <c r="H161">
        <f t="shared" si="83"/>
        <v>1819.9999999769998</v>
      </c>
      <c r="I161">
        <f t="shared" si="98"/>
        <v>1.8199999999769998</v>
      </c>
      <c r="J161">
        <f t="shared" si="98"/>
        <v>1.8199999999769997E-3</v>
      </c>
      <c r="K161">
        <f t="shared" si="85"/>
        <v>4.012408399949293</v>
      </c>
      <c r="L161" s="4">
        <v>1.24E-2</v>
      </c>
      <c r="M161" s="4">
        <v>3.2</v>
      </c>
      <c r="N161">
        <f t="shared" si="87"/>
        <v>41.169731262769922</v>
      </c>
      <c r="P161" s="3">
        <f t="shared" si="102"/>
        <v>18.122644658323157</v>
      </c>
      <c r="Q161" s="3">
        <f t="shared" si="99"/>
        <v>131.74396360654782</v>
      </c>
      <c r="R161" s="3">
        <f t="shared" si="100"/>
        <v>316.61611056608461</v>
      </c>
      <c r="S161" s="3">
        <f t="shared" si="101"/>
        <v>839.03269300012425</v>
      </c>
      <c r="T161">
        <f t="shared" si="105"/>
        <v>20.9</v>
      </c>
      <c r="U161">
        <f t="shared" si="103"/>
        <v>0.19500000000000001</v>
      </c>
      <c r="V161">
        <f t="shared" si="104"/>
        <v>-0.35</v>
      </c>
    </row>
    <row r="162" spans="1:24" x14ac:dyDescent="0.25">
      <c r="A162" t="s">
        <v>36</v>
      </c>
      <c r="B162" t="s">
        <v>37</v>
      </c>
      <c r="C162">
        <v>1</v>
      </c>
      <c r="D162">
        <v>2</v>
      </c>
      <c r="E162">
        <f t="shared" si="69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P162">
        <f>41*(1-EXP(-0.17*(E162)))</f>
        <v>11.817416766733004</v>
      </c>
      <c r="Q162">
        <f t="shared" ref="Q162" si="106">L162*(P162^M162)</f>
        <v>17.503414393555982</v>
      </c>
      <c r="R162">
        <f t="shared" ref="R162" si="107">Q162/20/5.7/3.65*1000</f>
        <v>42.065403493285224</v>
      </c>
      <c r="S162">
        <f t="shared" ref="S162" si="108">R162*2.65</f>
        <v>111.47331925720584</v>
      </c>
      <c r="T162">
        <v>41</v>
      </c>
      <c r="U162">
        <v>0.17</v>
      </c>
      <c r="V162">
        <v>0</v>
      </c>
      <c r="X162" t="s">
        <v>222</v>
      </c>
    </row>
    <row r="163" spans="1:24" x14ac:dyDescent="0.25">
      <c r="A163" t="s">
        <v>36</v>
      </c>
      <c r="B163" t="s">
        <v>37</v>
      </c>
      <c r="C163">
        <v>2</v>
      </c>
      <c r="D163">
        <v>2</v>
      </c>
      <c r="E163">
        <f t="shared" si="69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P163">
        <f t="shared" ref="P163:P171" si="109">41*(1-EXP(-0.17*(E163)))</f>
        <v>20.228703313010829</v>
      </c>
      <c r="Q163">
        <f t="shared" ref="Q163:Q171" si="110">L163*(P163^M163)</f>
        <v>85.464740484643812</v>
      </c>
      <c r="R163">
        <f t="shared" ref="R163:R171" si="111">Q163/20/5.7/3.65*1000</f>
        <v>205.39471397414999</v>
      </c>
      <c r="S163">
        <f t="shared" ref="S163:S171" si="112">R163*2.65</f>
        <v>544.29599203149746</v>
      </c>
      <c r="T163">
        <v>41</v>
      </c>
      <c r="U163">
        <v>0.17</v>
      </c>
      <c r="V163">
        <v>0</v>
      </c>
    </row>
    <row r="164" spans="1:24" x14ac:dyDescent="0.25">
      <c r="A164" t="s">
        <v>36</v>
      </c>
      <c r="B164" t="s">
        <v>37</v>
      </c>
      <c r="C164">
        <v>3</v>
      </c>
      <c r="D164">
        <v>2</v>
      </c>
      <c r="E164">
        <f t="shared" si="69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P164">
        <f t="shared" si="109"/>
        <v>26.215607452903786</v>
      </c>
      <c r="Q164">
        <f t="shared" si="110"/>
        <v>183.62551462282198</v>
      </c>
      <c r="R164">
        <f t="shared" si="111"/>
        <v>441.30140500558036</v>
      </c>
      <c r="S164">
        <f t="shared" si="112"/>
        <v>1169.448723264788</v>
      </c>
      <c r="T164">
        <v>41</v>
      </c>
      <c r="U164">
        <v>0.17</v>
      </c>
      <c r="V164">
        <v>0</v>
      </c>
    </row>
    <row r="165" spans="1:24" x14ac:dyDescent="0.25">
      <c r="A165" t="s">
        <v>36</v>
      </c>
      <c r="B165" t="s">
        <v>37</v>
      </c>
      <c r="C165">
        <v>4</v>
      </c>
      <c r="D165">
        <v>2</v>
      </c>
      <c r="E165">
        <f t="shared" si="69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P165">
        <f t="shared" si="109"/>
        <v>30.476908144904211</v>
      </c>
      <c r="Q165">
        <f t="shared" si="110"/>
        <v>286.34883404136116</v>
      </c>
      <c r="R165">
        <f t="shared" si="111"/>
        <v>688.17311713857521</v>
      </c>
      <c r="S165">
        <f t="shared" si="112"/>
        <v>1823.6587604172241</v>
      </c>
      <c r="T165">
        <v>41</v>
      </c>
      <c r="U165">
        <v>0.17</v>
      </c>
      <c r="V165">
        <v>0</v>
      </c>
    </row>
    <row r="166" spans="1:24" x14ac:dyDescent="0.25">
      <c r="A166" t="s">
        <v>36</v>
      </c>
      <c r="B166" t="s">
        <v>37</v>
      </c>
      <c r="C166">
        <v>5</v>
      </c>
      <c r="D166">
        <v>2</v>
      </c>
      <c r="E166">
        <f t="shared" si="69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P166">
        <f t="shared" si="109"/>
        <v>33.50997551383788</v>
      </c>
      <c r="Q166">
        <f t="shared" si="110"/>
        <v>378.83044312640737</v>
      </c>
      <c r="R166">
        <f t="shared" si="111"/>
        <v>910.43125000338216</v>
      </c>
      <c r="S166">
        <f t="shared" si="112"/>
        <v>2412.6428125089628</v>
      </c>
      <c r="T166">
        <v>41</v>
      </c>
      <c r="U166">
        <v>0.17</v>
      </c>
      <c r="V166">
        <v>0</v>
      </c>
    </row>
    <row r="167" spans="1:24" x14ac:dyDescent="0.25">
      <c r="A167" t="s">
        <v>36</v>
      </c>
      <c r="B167" t="s">
        <v>37</v>
      </c>
      <c r="C167">
        <v>6</v>
      </c>
      <c r="D167">
        <v>2</v>
      </c>
      <c r="E167">
        <f t="shared" si="69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P167">
        <f t="shared" si="109"/>
        <v>35.668822853984537</v>
      </c>
      <c r="Q167">
        <f t="shared" si="110"/>
        <v>455.44206302122319</v>
      </c>
      <c r="R167">
        <f t="shared" si="111"/>
        <v>1094.5495386234636</v>
      </c>
      <c r="S167">
        <f t="shared" si="112"/>
        <v>2900.5562773521783</v>
      </c>
      <c r="T167">
        <v>41</v>
      </c>
      <c r="U167">
        <v>0.17</v>
      </c>
      <c r="V167">
        <v>0</v>
      </c>
    </row>
    <row r="168" spans="1:24" x14ac:dyDescent="0.25">
      <c r="A168" t="s">
        <v>36</v>
      </c>
      <c r="B168" t="s">
        <v>37</v>
      </c>
      <c r="C168">
        <v>7</v>
      </c>
      <c r="D168">
        <v>2</v>
      </c>
      <c r="E168">
        <f t="shared" si="69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P168">
        <f t="shared" si="109"/>
        <v>37.20542632207593</v>
      </c>
      <c r="Q168">
        <f t="shared" si="110"/>
        <v>515.78628244310971</v>
      </c>
      <c r="R168">
        <f t="shared" si="111"/>
        <v>1239.5728970033879</v>
      </c>
      <c r="S168">
        <f t="shared" si="112"/>
        <v>3284.8681770589778</v>
      </c>
      <c r="T168">
        <v>41</v>
      </c>
      <c r="U168">
        <v>0.17</v>
      </c>
      <c r="V168">
        <v>0</v>
      </c>
    </row>
    <row r="169" spans="1:24" x14ac:dyDescent="0.25">
      <c r="A169" t="s">
        <v>36</v>
      </c>
      <c r="B169" t="s">
        <v>37</v>
      </c>
      <c r="C169">
        <v>8</v>
      </c>
      <c r="D169">
        <v>2</v>
      </c>
      <c r="E169">
        <f t="shared" si="69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P169">
        <f t="shared" si="109"/>
        <v>38.299135068517479</v>
      </c>
      <c r="Q169">
        <f t="shared" si="110"/>
        <v>561.80900521213846</v>
      </c>
      <c r="R169">
        <f t="shared" si="111"/>
        <v>1350.1778543911041</v>
      </c>
      <c r="S169">
        <f t="shared" si="112"/>
        <v>3577.9713141364259</v>
      </c>
      <c r="T169">
        <v>41</v>
      </c>
      <c r="U169">
        <v>0.17</v>
      </c>
      <c r="V169">
        <v>0</v>
      </c>
    </row>
    <row r="170" spans="1:24" x14ac:dyDescent="0.25">
      <c r="A170" t="s">
        <v>36</v>
      </c>
      <c r="B170" t="s">
        <v>37</v>
      </c>
      <c r="C170">
        <v>9</v>
      </c>
      <c r="D170">
        <v>2</v>
      </c>
      <c r="E170">
        <f t="shared" si="69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P170">
        <f t="shared" si="109"/>
        <v>39.077604495980474</v>
      </c>
      <c r="Q170">
        <f t="shared" si="110"/>
        <v>596.16798297115542</v>
      </c>
      <c r="R170">
        <f t="shared" si="111"/>
        <v>1432.751701444738</v>
      </c>
      <c r="S170">
        <f t="shared" si="112"/>
        <v>3796.7920088285555</v>
      </c>
      <c r="T170">
        <v>41</v>
      </c>
      <c r="U170">
        <v>0.17</v>
      </c>
      <c r="V170">
        <v>0</v>
      </c>
    </row>
    <row r="171" spans="1:24" x14ac:dyDescent="0.25">
      <c r="A171" t="s">
        <v>36</v>
      </c>
      <c r="B171" t="s">
        <v>37</v>
      </c>
      <c r="C171">
        <v>10</v>
      </c>
      <c r="D171">
        <v>2</v>
      </c>
      <c r="E171">
        <f t="shared" si="69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P171">
        <f t="shared" si="109"/>
        <v>39.631695931626631</v>
      </c>
      <c r="Q171">
        <f t="shared" si="110"/>
        <v>621.45127699565819</v>
      </c>
      <c r="R171">
        <f t="shared" si="111"/>
        <v>1493.5142441616397</v>
      </c>
      <c r="S171">
        <f t="shared" si="112"/>
        <v>3957.8127470283448</v>
      </c>
      <c r="T171">
        <v>41</v>
      </c>
      <c r="U171">
        <v>0.17</v>
      </c>
      <c r="V171">
        <v>0</v>
      </c>
    </row>
    <row r="172" spans="1:24" x14ac:dyDescent="0.25">
      <c r="A172" t="s">
        <v>38</v>
      </c>
      <c r="B172" t="s">
        <v>39</v>
      </c>
      <c r="C172">
        <v>1</v>
      </c>
      <c r="D172">
        <v>1</v>
      </c>
      <c r="E172">
        <f t="shared" si="69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P172">
        <f>152*(1-EXP(-0.096*(E172-0.09)))</f>
        <v>12.715233006614545</v>
      </c>
      <c r="Q172">
        <f t="shared" ref="Q172" si="113">L172*(P172^M172)</f>
        <v>26.724914311425248</v>
      </c>
      <c r="R172">
        <f t="shared" ref="R172" si="114">Q172/20/5.7/3.65*1000</f>
        <v>64.227143262257258</v>
      </c>
      <c r="S172">
        <f t="shared" ref="S172" si="115">R172*2.65</f>
        <v>170.20192964498173</v>
      </c>
      <c r="T172">
        <v>152</v>
      </c>
      <c r="U172">
        <v>9.6000000000000002E-2</v>
      </c>
      <c r="V172">
        <v>0.09</v>
      </c>
      <c r="X172" t="s">
        <v>458</v>
      </c>
    </row>
    <row r="173" spans="1:24" x14ac:dyDescent="0.25">
      <c r="A173" t="s">
        <v>38</v>
      </c>
      <c r="B173" t="s">
        <v>39</v>
      </c>
      <c r="C173">
        <v>2</v>
      </c>
      <c r="D173">
        <v>1</v>
      </c>
      <c r="E173">
        <f t="shared" si="69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P173">
        <f t="shared" ref="P173:P181" si="116">152*(1-EXP(-0.096*(E173-0.09)))</f>
        <v>25.464801199995083</v>
      </c>
      <c r="Q173">
        <f t="shared" ref="Q173:Q181" si="117">L173*(P173^M173)</f>
        <v>214.66647380591499</v>
      </c>
      <c r="R173">
        <f t="shared" ref="R173:R181" si="118">Q173/20/5.7/3.65*1000</f>
        <v>515.90116271548902</v>
      </c>
      <c r="S173">
        <f t="shared" ref="S173:S181" si="119">R173*2.65</f>
        <v>1367.138081196046</v>
      </c>
      <c r="T173">
        <v>152</v>
      </c>
      <c r="U173">
        <v>9.6000000000000002E-2</v>
      </c>
      <c r="V173">
        <v>0.09</v>
      </c>
    </row>
    <row r="174" spans="1:24" x14ac:dyDescent="0.25">
      <c r="A174" t="s">
        <v>38</v>
      </c>
      <c r="B174" t="s">
        <v>39</v>
      </c>
      <c r="C174">
        <v>3</v>
      </c>
      <c r="D174">
        <v>1</v>
      </c>
      <c r="E174">
        <f t="shared" si="69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P174">
        <f t="shared" si="116"/>
        <v>37.047325124095401</v>
      </c>
      <c r="Q174">
        <f t="shared" si="117"/>
        <v>661.0189689184964</v>
      </c>
      <c r="R174">
        <f t="shared" si="118"/>
        <v>1588.6060296046535</v>
      </c>
      <c r="S174">
        <f t="shared" si="119"/>
        <v>4209.8059784523311</v>
      </c>
      <c r="T174">
        <v>152</v>
      </c>
      <c r="U174">
        <v>9.6000000000000002E-2</v>
      </c>
      <c r="V174">
        <v>0.09</v>
      </c>
    </row>
    <row r="175" spans="1:24" x14ac:dyDescent="0.25">
      <c r="A175" t="s">
        <v>38</v>
      </c>
      <c r="B175" t="s">
        <v>39</v>
      </c>
      <c r="C175">
        <v>4</v>
      </c>
      <c r="D175">
        <v>1</v>
      </c>
      <c r="E175">
        <f t="shared" si="69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P175">
        <f t="shared" si="116"/>
        <v>47.569631324395452</v>
      </c>
      <c r="Q175">
        <f t="shared" si="117"/>
        <v>1399.3704826257156</v>
      </c>
      <c r="R175">
        <f t="shared" si="118"/>
        <v>3363.0629238781917</v>
      </c>
      <c r="S175">
        <f t="shared" si="119"/>
        <v>8912.1167482772071</v>
      </c>
      <c r="T175">
        <v>152</v>
      </c>
      <c r="U175">
        <v>9.6000000000000002E-2</v>
      </c>
      <c r="V175">
        <v>0.09</v>
      </c>
    </row>
    <row r="176" spans="1:24" x14ac:dyDescent="0.25">
      <c r="A176" t="s">
        <v>38</v>
      </c>
      <c r="B176" t="s">
        <v>39</v>
      </c>
      <c r="C176">
        <v>5</v>
      </c>
      <c r="D176">
        <v>1</v>
      </c>
      <c r="E176">
        <f t="shared" si="69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P176">
        <f t="shared" si="116"/>
        <v>57.128767873424692</v>
      </c>
      <c r="Q176">
        <f t="shared" si="117"/>
        <v>2423.8621936963923</v>
      </c>
      <c r="R176">
        <f t="shared" si="118"/>
        <v>5825.1915253458119</v>
      </c>
      <c r="S176">
        <f t="shared" si="119"/>
        <v>15436.757542166401</v>
      </c>
      <c r="T176">
        <v>152</v>
      </c>
      <c r="U176">
        <v>9.6000000000000002E-2</v>
      </c>
      <c r="V176">
        <v>0.09</v>
      </c>
    </row>
    <row r="177" spans="1:24" x14ac:dyDescent="0.25">
      <c r="A177" t="s">
        <v>38</v>
      </c>
      <c r="B177" t="s">
        <v>39</v>
      </c>
      <c r="C177">
        <v>6</v>
      </c>
      <c r="D177">
        <v>1</v>
      </c>
      <c r="E177">
        <f t="shared" si="69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P177">
        <f t="shared" si="116"/>
        <v>65.812899452904929</v>
      </c>
      <c r="Q177">
        <f t="shared" si="117"/>
        <v>3705.7526325367608</v>
      </c>
      <c r="R177">
        <f t="shared" si="118"/>
        <v>8905.9183670674374</v>
      </c>
      <c r="S177">
        <f t="shared" si="119"/>
        <v>23600.683672728708</v>
      </c>
      <c r="T177">
        <v>152</v>
      </c>
      <c r="U177">
        <v>9.6000000000000002E-2</v>
      </c>
      <c r="V177">
        <v>0.09</v>
      </c>
    </row>
    <row r="178" spans="1:24" x14ac:dyDescent="0.25">
      <c r="A178" t="s">
        <v>38</v>
      </c>
      <c r="B178" t="s">
        <v>39</v>
      </c>
      <c r="C178">
        <v>7</v>
      </c>
      <c r="D178">
        <v>1</v>
      </c>
      <c r="E178">
        <f t="shared" si="69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P178">
        <f t="shared" si="116"/>
        <v>73.702120503668638</v>
      </c>
      <c r="Q178">
        <f t="shared" si="117"/>
        <v>5204.55140074882</v>
      </c>
      <c r="R178">
        <f t="shared" si="118"/>
        <v>12507.934152244219</v>
      </c>
      <c r="S178">
        <f t="shared" si="119"/>
        <v>33146.025503447177</v>
      </c>
      <c r="T178">
        <v>152</v>
      </c>
      <c r="U178">
        <v>9.6000000000000002E-2</v>
      </c>
      <c r="V178">
        <v>0.09</v>
      </c>
    </row>
    <row r="179" spans="1:24" x14ac:dyDescent="0.25">
      <c r="A179" t="s">
        <v>38</v>
      </c>
      <c r="B179" t="s">
        <v>39</v>
      </c>
      <c r="C179">
        <v>8</v>
      </c>
      <c r="D179">
        <v>1</v>
      </c>
      <c r="E179">
        <f t="shared" si="69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P179">
        <f t="shared" si="116"/>
        <v>80.869193943099219</v>
      </c>
      <c r="Q179">
        <f t="shared" si="117"/>
        <v>6875.3164990699761</v>
      </c>
      <c r="R179">
        <f t="shared" si="118"/>
        <v>16523.23119218932</v>
      </c>
      <c r="S179">
        <f t="shared" si="119"/>
        <v>43786.562659301693</v>
      </c>
      <c r="T179">
        <v>152</v>
      </c>
      <c r="U179">
        <v>9.6000000000000002E-2</v>
      </c>
      <c r="V179">
        <v>0.09</v>
      </c>
    </row>
    <row r="180" spans="1:24" x14ac:dyDescent="0.25">
      <c r="A180" t="s">
        <v>38</v>
      </c>
      <c r="B180" t="s">
        <v>39</v>
      </c>
      <c r="C180">
        <v>9</v>
      </c>
      <c r="D180">
        <v>1</v>
      </c>
      <c r="E180">
        <f t="shared" si="69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P180">
        <f t="shared" si="116"/>
        <v>87.380222263343654</v>
      </c>
      <c r="Q180">
        <f t="shared" si="117"/>
        <v>8673.2684272407623</v>
      </c>
      <c r="R180">
        <f t="shared" si="118"/>
        <v>20844.192326942473</v>
      </c>
      <c r="S180">
        <f t="shared" si="119"/>
        <v>55237.109666397555</v>
      </c>
      <c r="T180">
        <v>152</v>
      </c>
      <c r="U180">
        <v>9.6000000000000002E-2</v>
      </c>
      <c r="V180">
        <v>0.09</v>
      </c>
    </row>
    <row r="181" spans="1:24" x14ac:dyDescent="0.25">
      <c r="A181" t="s">
        <v>38</v>
      </c>
      <c r="B181" t="s">
        <v>39</v>
      </c>
      <c r="C181">
        <v>10</v>
      </c>
      <c r="D181">
        <v>1</v>
      </c>
      <c r="E181">
        <f t="shared" si="69"/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P181">
        <f t="shared" si="116"/>
        <v>93.295257199890003</v>
      </c>
      <c r="Q181">
        <f t="shared" si="117"/>
        <v>10556.551026271354</v>
      </c>
      <c r="R181">
        <f t="shared" si="118"/>
        <v>25370.225970370957</v>
      </c>
      <c r="S181">
        <f t="shared" si="119"/>
        <v>67231.098821483029</v>
      </c>
      <c r="T181">
        <v>152</v>
      </c>
      <c r="U181">
        <v>9.6000000000000002E-2</v>
      </c>
      <c r="V181">
        <v>0.09</v>
      </c>
    </row>
    <row r="182" spans="1:24" x14ac:dyDescent="0.25">
      <c r="A182" t="s">
        <v>40</v>
      </c>
      <c r="B182" t="s">
        <v>41</v>
      </c>
      <c r="C182">
        <v>1</v>
      </c>
      <c r="D182">
        <v>2</v>
      </c>
      <c r="E182">
        <f t="shared" si="69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1.18E-2</v>
      </c>
      <c r="M182">
        <v>3</v>
      </c>
      <c r="N182">
        <v>21.719413710000001</v>
      </c>
      <c r="P182">
        <f>72.9*(1-EXP(-0.4*(E182)))</f>
        <v>40.143918515854551</v>
      </c>
      <c r="Q182">
        <f t="shared" ref="Q182" si="120">L182*(P182^M182)</f>
        <v>763.38090886834846</v>
      </c>
      <c r="R182">
        <f t="shared" ref="R182" si="121">Q182/20/5.7/3.65*1000</f>
        <v>1834.6092498638511</v>
      </c>
      <c r="S182">
        <f t="shared" ref="S182" si="122">R182*2.65</f>
        <v>4861.714512139205</v>
      </c>
      <c r="T182">
        <v>72.900000000000006</v>
      </c>
      <c r="U182">
        <v>0.4</v>
      </c>
      <c r="V182">
        <v>0</v>
      </c>
      <c r="X182" t="s">
        <v>223</v>
      </c>
    </row>
    <row r="183" spans="1:24" x14ac:dyDescent="0.25">
      <c r="A183" t="s">
        <v>40</v>
      </c>
      <c r="B183" t="s">
        <v>41</v>
      </c>
      <c r="C183">
        <v>2</v>
      </c>
      <c r="D183">
        <v>2</v>
      </c>
      <c r="E183">
        <f t="shared" si="69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1.18E-2</v>
      </c>
      <c r="M183">
        <v>3</v>
      </c>
      <c r="N183">
        <v>41.2261539</v>
      </c>
      <c r="P183">
        <f t="shared" ref="P183:P191" si="123">72.9*(1-EXP(-0.4*(E183)))</f>
        <v>58.181743838189632</v>
      </c>
      <c r="Q183">
        <f t="shared" ref="Q183:Q191" si="124">L183*(P183^M183)</f>
        <v>2324.0325637394762</v>
      </c>
      <c r="R183">
        <f t="shared" ref="R183:R191" si="125">Q183/20/5.7/3.65*1000</f>
        <v>5585.2741257858115</v>
      </c>
      <c r="S183">
        <f t="shared" ref="S183:S191" si="126">R183*2.65</f>
        <v>14800.9764333324</v>
      </c>
      <c r="T183">
        <v>72.900000000000006</v>
      </c>
      <c r="U183">
        <v>0.4</v>
      </c>
      <c r="V183">
        <v>0</v>
      </c>
    </row>
    <row r="184" spans="1:24" x14ac:dyDescent="0.25">
      <c r="A184" t="s">
        <v>40</v>
      </c>
      <c r="B184" t="s">
        <v>41</v>
      </c>
      <c r="C184">
        <v>3</v>
      </c>
      <c r="D184">
        <v>2</v>
      </c>
      <c r="E184">
        <f t="shared" si="69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1.18E-2</v>
      </c>
      <c r="M184">
        <v>3</v>
      </c>
      <c r="N184">
        <v>51.975182889999999</v>
      </c>
      <c r="P184">
        <f t="shared" si="123"/>
        <v>66.286661205201838</v>
      </c>
      <c r="Q184">
        <f t="shared" si="124"/>
        <v>3436.8489166373988</v>
      </c>
      <c r="R184">
        <f t="shared" si="125"/>
        <v>8259.6705518803155</v>
      </c>
      <c r="S184">
        <f t="shared" si="126"/>
        <v>21888.126962482835</v>
      </c>
      <c r="T184">
        <v>72.900000000000006</v>
      </c>
      <c r="U184">
        <v>0.4</v>
      </c>
      <c r="V184">
        <v>0</v>
      </c>
    </row>
    <row r="185" spans="1:24" x14ac:dyDescent="0.25">
      <c r="A185" t="s">
        <v>40</v>
      </c>
      <c r="B185" t="s">
        <v>41</v>
      </c>
      <c r="C185">
        <v>4</v>
      </c>
      <c r="D185">
        <v>2</v>
      </c>
      <c r="E185">
        <f t="shared" si="69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1.18E-2</v>
      </c>
      <c r="M185">
        <v>3</v>
      </c>
      <c r="N185">
        <v>58.513375859999996</v>
      </c>
      <c r="P185">
        <f t="shared" si="123"/>
        <v>69.928435329977106</v>
      </c>
      <c r="Q185">
        <f t="shared" si="124"/>
        <v>4034.9990790948541</v>
      </c>
      <c r="R185">
        <f t="shared" si="125"/>
        <v>9697.1859627369722</v>
      </c>
      <c r="S185">
        <f t="shared" si="126"/>
        <v>25697.542801252974</v>
      </c>
      <c r="T185">
        <v>72.900000000000006</v>
      </c>
      <c r="U185">
        <v>0.4</v>
      </c>
      <c r="V185">
        <v>0</v>
      </c>
    </row>
    <row r="186" spans="1:24" x14ac:dyDescent="0.25">
      <c r="A186" t="s">
        <v>40</v>
      </c>
      <c r="B186" t="s">
        <v>41</v>
      </c>
      <c r="C186">
        <v>5</v>
      </c>
      <c r="D186">
        <v>2</v>
      </c>
      <c r="E186">
        <f t="shared" si="69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1.18E-2</v>
      </c>
      <c r="M186">
        <v>3</v>
      </c>
      <c r="N186">
        <v>61.873930319999999</v>
      </c>
      <c r="P186">
        <f t="shared" si="123"/>
        <v>71.564789925011283</v>
      </c>
      <c r="Q186">
        <f t="shared" si="124"/>
        <v>4324.9412223072713</v>
      </c>
      <c r="R186">
        <f t="shared" si="125"/>
        <v>10393.994766419784</v>
      </c>
      <c r="S186">
        <f t="shared" si="126"/>
        <v>27544.086131012427</v>
      </c>
      <c r="T186">
        <v>72.900000000000006</v>
      </c>
      <c r="U186">
        <v>0.4</v>
      </c>
      <c r="V186">
        <v>0</v>
      </c>
    </row>
    <row r="187" spans="1:24" x14ac:dyDescent="0.25">
      <c r="A187" t="s">
        <v>40</v>
      </c>
      <c r="B187" t="s">
        <v>41</v>
      </c>
      <c r="C187">
        <v>6</v>
      </c>
      <c r="D187">
        <v>2</v>
      </c>
      <c r="E187">
        <f t="shared" si="69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1.18E-2</v>
      </c>
      <c r="M187">
        <v>3</v>
      </c>
      <c r="N187">
        <v>63.550646100000002</v>
      </c>
      <c r="P187">
        <f t="shared" si="123"/>
        <v>72.300051440126452</v>
      </c>
      <c r="Q187">
        <f t="shared" si="124"/>
        <v>4459.6197093998071</v>
      </c>
      <c r="R187">
        <f t="shared" si="125"/>
        <v>10717.663324681103</v>
      </c>
      <c r="S187">
        <f t="shared" si="126"/>
        <v>28401.807810404924</v>
      </c>
      <c r="T187">
        <v>72.900000000000006</v>
      </c>
      <c r="U187">
        <v>0.4</v>
      </c>
      <c r="V187">
        <v>0</v>
      </c>
    </row>
    <row r="188" spans="1:24" x14ac:dyDescent="0.25">
      <c r="A188" t="s">
        <v>40</v>
      </c>
      <c r="B188" t="s">
        <v>41</v>
      </c>
      <c r="C188">
        <v>7</v>
      </c>
      <c r="D188">
        <v>2</v>
      </c>
      <c r="E188">
        <f t="shared" si="69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1.18E-2</v>
      </c>
      <c r="M188">
        <v>3</v>
      </c>
      <c r="N188">
        <v>64.949648440000004</v>
      </c>
      <c r="P188">
        <f t="shared" si="123"/>
        <v>72.6304257350684</v>
      </c>
      <c r="Q188">
        <f t="shared" si="124"/>
        <v>4521.0340391404143</v>
      </c>
      <c r="R188">
        <f t="shared" si="125"/>
        <v>10865.258445422769</v>
      </c>
      <c r="S188">
        <f t="shared" si="126"/>
        <v>28792.934880370336</v>
      </c>
      <c r="T188">
        <v>72.900000000000006</v>
      </c>
      <c r="U188">
        <v>0.4</v>
      </c>
      <c r="V188">
        <v>0</v>
      </c>
    </row>
    <row r="189" spans="1:24" x14ac:dyDescent="0.25">
      <c r="A189" t="s">
        <v>40</v>
      </c>
      <c r="B189" t="s">
        <v>41</v>
      </c>
      <c r="C189">
        <v>8</v>
      </c>
      <c r="D189">
        <v>2</v>
      </c>
      <c r="E189">
        <f t="shared" si="69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1.18E-2</v>
      </c>
      <c r="M189">
        <v>3</v>
      </c>
      <c r="N189">
        <v>65.831265509999994</v>
      </c>
      <c r="P189">
        <f t="shared" si="123"/>
        <v>72.778872474785629</v>
      </c>
      <c r="Q189">
        <f t="shared" si="124"/>
        <v>4548.8118772293374</v>
      </c>
      <c r="R189">
        <f t="shared" si="125"/>
        <v>10932.016047174569</v>
      </c>
      <c r="S189">
        <f t="shared" si="126"/>
        <v>28969.842525012609</v>
      </c>
      <c r="T189">
        <v>72.900000000000006</v>
      </c>
      <c r="U189">
        <v>0.4</v>
      </c>
      <c r="V189">
        <v>0</v>
      </c>
    </row>
    <row r="190" spans="1:24" x14ac:dyDescent="0.25">
      <c r="A190" t="s">
        <v>40</v>
      </c>
      <c r="B190" t="s">
        <v>41</v>
      </c>
      <c r="C190">
        <v>9</v>
      </c>
      <c r="D190">
        <v>2</v>
      </c>
      <c r="E190">
        <f t="shared" si="69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1.18E-2</v>
      </c>
      <c r="M190">
        <v>3</v>
      </c>
      <c r="N190">
        <v>66.371102100000002</v>
      </c>
      <c r="P190">
        <f t="shared" si="123"/>
        <v>72.845573894569341</v>
      </c>
      <c r="Q190">
        <f t="shared" si="124"/>
        <v>4561.3302233118557</v>
      </c>
      <c r="R190">
        <f t="shared" si="125"/>
        <v>10962.10099329934</v>
      </c>
      <c r="S190">
        <f t="shared" si="126"/>
        <v>29049.567632243252</v>
      </c>
      <c r="T190">
        <v>72.900000000000006</v>
      </c>
      <c r="U190">
        <v>0.4</v>
      </c>
      <c r="V190">
        <v>0</v>
      </c>
    </row>
    <row r="191" spans="1:24" x14ac:dyDescent="0.25">
      <c r="A191" t="s">
        <v>40</v>
      </c>
      <c r="B191" t="s">
        <v>41</v>
      </c>
      <c r="C191">
        <v>10</v>
      </c>
      <c r="D191">
        <v>2</v>
      </c>
      <c r="E191">
        <f t="shared" si="69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1.18E-2</v>
      </c>
      <c r="M191">
        <v>3</v>
      </c>
      <c r="N191">
        <v>67.319388829999994</v>
      </c>
      <c r="P191">
        <f t="shared" si="123"/>
        <v>72.875544774425919</v>
      </c>
      <c r="Q191">
        <f t="shared" si="124"/>
        <v>4566.9625490367771</v>
      </c>
      <c r="R191">
        <f t="shared" si="125"/>
        <v>10975.636983986487</v>
      </c>
      <c r="S191">
        <f t="shared" si="126"/>
        <v>29085.438007564189</v>
      </c>
      <c r="T191">
        <v>72.900000000000006</v>
      </c>
      <c r="U191">
        <v>0.4</v>
      </c>
      <c r="V191">
        <v>0</v>
      </c>
    </row>
    <row r="192" spans="1:24" x14ac:dyDescent="0.25">
      <c r="A192" t="s">
        <v>42</v>
      </c>
      <c r="B192" t="s">
        <v>43</v>
      </c>
      <c r="C192">
        <v>1</v>
      </c>
      <c r="D192">
        <v>2</v>
      </c>
      <c r="E192">
        <f t="shared" si="69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P192">
        <f>263.2*(1-EXP(-0.07*(E192-0.27)))</f>
        <v>30.01918108298981</v>
      </c>
      <c r="Q192">
        <f t="shared" ref="Q192" si="127">L192*(P192^M192)</f>
        <v>638.62466460155531</v>
      </c>
      <c r="R192">
        <f t="shared" ref="R192" si="128">Q192/20/5.7/3.65*1000</f>
        <v>1534.7865046901115</v>
      </c>
      <c r="S192">
        <f t="shared" ref="S192" si="129">R192*2.65</f>
        <v>4067.1842374287953</v>
      </c>
      <c r="T192">
        <v>263.2</v>
      </c>
      <c r="U192">
        <v>7.0000000000000007E-2</v>
      </c>
      <c r="V192">
        <v>0.27</v>
      </c>
      <c r="X192" t="s">
        <v>201</v>
      </c>
    </row>
    <row r="193" spans="1:24" x14ac:dyDescent="0.25">
      <c r="A193" t="s">
        <v>42</v>
      </c>
      <c r="B193" t="s">
        <v>43</v>
      </c>
      <c r="C193">
        <v>2</v>
      </c>
      <c r="D193">
        <v>2</v>
      </c>
      <c r="E193">
        <f t="shared" si="69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P193">
        <f t="shared" ref="P193:P201" si="130">263.2*(1-EXP(-0.07*(E193-0.27)))</f>
        <v>60.482334737459546</v>
      </c>
      <c r="Q193">
        <f t="shared" ref="Q193:Q201" si="131">L193*(P193^M193)</f>
        <v>5602.1892882480834</v>
      </c>
      <c r="R193">
        <f t="shared" ref="R193:R201" si="132">Q193/20/5.7/3.65*1000</f>
        <v>13463.564739841586</v>
      </c>
      <c r="S193">
        <f t="shared" ref="S193:S201" si="133">R193*2.65</f>
        <v>35678.446560580203</v>
      </c>
      <c r="T193">
        <v>263.2</v>
      </c>
      <c r="U193">
        <v>7.0000000000000007E-2</v>
      </c>
      <c r="V193">
        <v>0.27</v>
      </c>
    </row>
    <row r="194" spans="1:24" x14ac:dyDescent="0.25">
      <c r="A194" t="s">
        <v>42</v>
      </c>
      <c r="B194" t="s">
        <v>43</v>
      </c>
      <c r="C194">
        <v>3</v>
      </c>
      <c r="D194">
        <v>2</v>
      </c>
      <c r="E194">
        <f t="shared" si="69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P194">
        <f t="shared" si="130"/>
        <v>86.965728243192046</v>
      </c>
      <c r="Q194">
        <f t="shared" si="131"/>
        <v>17269.847782593512</v>
      </c>
      <c r="R194">
        <f t="shared" si="132"/>
        <v>41504.080227333594</v>
      </c>
      <c r="S194">
        <f t="shared" si="133"/>
        <v>109985.81260243402</v>
      </c>
      <c r="T194">
        <v>263.2</v>
      </c>
      <c r="U194">
        <v>7.0000000000000007E-2</v>
      </c>
      <c r="V194">
        <v>0.27</v>
      </c>
    </row>
    <row r="195" spans="1:24" x14ac:dyDescent="0.25">
      <c r="A195" t="s">
        <v>42</v>
      </c>
      <c r="B195" t="s">
        <v>43</v>
      </c>
      <c r="C195">
        <v>4</v>
      </c>
      <c r="D195">
        <v>2</v>
      </c>
      <c r="E195">
        <f t="shared" ref="E195:E258" si="134">C195*D195</f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P195">
        <f t="shared" si="130"/>
        <v>109.98928448870782</v>
      </c>
      <c r="Q195">
        <f t="shared" si="131"/>
        <v>35768.065318479828</v>
      </c>
      <c r="R195">
        <f t="shared" si="132"/>
        <v>85960.262721653038</v>
      </c>
      <c r="S195">
        <f t="shared" si="133"/>
        <v>227794.69621238054</v>
      </c>
      <c r="T195">
        <v>263.2</v>
      </c>
      <c r="U195">
        <v>7.0000000000000007E-2</v>
      </c>
      <c r="V195">
        <v>0.27</v>
      </c>
    </row>
    <row r="196" spans="1:24" x14ac:dyDescent="0.25">
      <c r="A196" t="s">
        <v>42</v>
      </c>
      <c r="B196" t="s">
        <v>43</v>
      </c>
      <c r="C196">
        <v>5</v>
      </c>
      <c r="D196">
        <v>2</v>
      </c>
      <c r="E196">
        <f t="shared" si="134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P196">
        <f t="shared" si="130"/>
        <v>130.0050027189146</v>
      </c>
      <c r="Q196">
        <f t="shared" si="131"/>
        <v>60060.021358037149</v>
      </c>
      <c r="R196">
        <f t="shared" si="132"/>
        <v>144340.3541409208</v>
      </c>
      <c r="S196">
        <f t="shared" si="133"/>
        <v>382501.93847344012</v>
      </c>
      <c r="T196">
        <v>263.2</v>
      </c>
      <c r="U196">
        <v>7.0000000000000007E-2</v>
      </c>
      <c r="V196">
        <v>0.27</v>
      </c>
    </row>
    <row r="197" spans="1:24" x14ac:dyDescent="0.25">
      <c r="A197" t="s">
        <v>42</v>
      </c>
      <c r="B197" t="s">
        <v>43</v>
      </c>
      <c r="C197">
        <v>6</v>
      </c>
      <c r="D197">
        <v>2</v>
      </c>
      <c r="E197">
        <f t="shared" si="134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P197">
        <f t="shared" si="130"/>
        <v>147.40583219976685</v>
      </c>
      <c r="Q197">
        <f t="shared" si="131"/>
        <v>88655.309313820006</v>
      </c>
      <c r="R197">
        <f t="shared" si="132"/>
        <v>213062.50736318194</v>
      </c>
      <c r="S197">
        <f t="shared" si="133"/>
        <v>564615.64451243216</v>
      </c>
      <c r="T197">
        <v>263.2</v>
      </c>
      <c r="U197">
        <v>7.0000000000000007E-2</v>
      </c>
      <c r="V197">
        <v>0.27</v>
      </c>
    </row>
    <row r="198" spans="1:24" x14ac:dyDescent="0.25">
      <c r="A198" t="s">
        <v>42</v>
      </c>
      <c r="B198" t="s">
        <v>43</v>
      </c>
      <c r="C198">
        <v>7</v>
      </c>
      <c r="D198">
        <v>2</v>
      </c>
      <c r="E198">
        <f t="shared" si="134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P198">
        <f t="shared" si="130"/>
        <v>162.53338661171608</v>
      </c>
      <c r="Q198">
        <f t="shared" si="131"/>
        <v>120013.82954317731</v>
      </c>
      <c r="R198">
        <f t="shared" si="132"/>
        <v>288425.44951496593</v>
      </c>
      <c r="S198">
        <f t="shared" si="133"/>
        <v>764327.44121465972</v>
      </c>
      <c r="T198">
        <v>263.2</v>
      </c>
      <c r="U198">
        <v>7.0000000000000007E-2</v>
      </c>
      <c r="V198">
        <v>0.27</v>
      </c>
    </row>
    <row r="199" spans="1:24" x14ac:dyDescent="0.25">
      <c r="A199" t="s">
        <v>42</v>
      </c>
      <c r="B199" t="s">
        <v>43</v>
      </c>
      <c r="C199">
        <v>8</v>
      </c>
      <c r="D199">
        <v>2</v>
      </c>
      <c r="E199">
        <f t="shared" si="134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P199">
        <f t="shared" si="130"/>
        <v>175.6846506211877</v>
      </c>
      <c r="Q199">
        <f t="shared" si="131"/>
        <v>152751.02093241649</v>
      </c>
      <c r="R199">
        <f t="shared" si="132"/>
        <v>367101.70856144308</v>
      </c>
      <c r="S199">
        <f t="shared" si="133"/>
        <v>972819.5276878241</v>
      </c>
      <c r="T199">
        <v>263.2</v>
      </c>
      <c r="U199">
        <v>7.0000000000000007E-2</v>
      </c>
      <c r="V199">
        <v>0.27</v>
      </c>
    </row>
    <row r="200" spans="1:24" x14ac:dyDescent="0.25">
      <c r="A200" t="s">
        <v>42</v>
      </c>
      <c r="B200" t="s">
        <v>43</v>
      </c>
      <c r="C200">
        <v>9</v>
      </c>
      <c r="D200">
        <v>2</v>
      </c>
      <c r="E200">
        <f t="shared" si="134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P200">
        <f t="shared" si="130"/>
        <v>187.11781029372577</v>
      </c>
      <c r="Q200">
        <f t="shared" si="131"/>
        <v>185723.20694256542</v>
      </c>
      <c r="R200">
        <f t="shared" si="132"/>
        <v>446342.72276511759</v>
      </c>
      <c r="S200">
        <f t="shared" si="133"/>
        <v>1182808.2153275616</v>
      </c>
      <c r="T200">
        <v>263.2</v>
      </c>
      <c r="U200">
        <v>7.0000000000000007E-2</v>
      </c>
      <c r="V200">
        <v>0.27</v>
      </c>
    </row>
    <row r="201" spans="1:24" x14ac:dyDescent="0.25">
      <c r="A201" t="s">
        <v>42</v>
      </c>
      <c r="B201" t="s">
        <v>43</v>
      </c>
      <c r="C201">
        <v>10</v>
      </c>
      <c r="D201">
        <v>2</v>
      </c>
      <c r="E201">
        <f t="shared" si="134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P201">
        <f t="shared" si="130"/>
        <v>197.05732181167625</v>
      </c>
      <c r="Q201">
        <f t="shared" si="131"/>
        <v>218045.06785067453</v>
      </c>
      <c r="R201">
        <f t="shared" si="132"/>
        <v>524020.83117201278</v>
      </c>
      <c r="S201">
        <f t="shared" si="133"/>
        <v>1388655.2026058338</v>
      </c>
      <c r="T201">
        <v>263.2</v>
      </c>
      <c r="U201">
        <v>7.0000000000000007E-2</v>
      </c>
      <c r="V201">
        <v>0.27</v>
      </c>
    </row>
    <row r="202" spans="1:24" x14ac:dyDescent="0.25">
      <c r="A202" t="s">
        <v>44</v>
      </c>
      <c r="B202" t="s">
        <v>45</v>
      </c>
      <c r="C202">
        <v>1</v>
      </c>
      <c r="D202">
        <v>1</v>
      </c>
      <c r="E202">
        <f t="shared" si="134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P202">
        <f>33.7*(1-EXP(-0.32*(E202-0.55)))</f>
        <v>4.5195828904047923</v>
      </c>
      <c r="Q202">
        <f t="shared" ref="Q202" si="135">L202*(P202^M202)</f>
        <v>1.1539980651435007</v>
      </c>
      <c r="R202">
        <f t="shared" ref="R202" si="136">Q202/20/5.7/3.65*1000</f>
        <v>2.773367135648884</v>
      </c>
      <c r="S202">
        <f t="shared" ref="S202" si="137">R202*2.65</f>
        <v>7.349422909469542</v>
      </c>
      <c r="T202">
        <v>33.700000000000003</v>
      </c>
      <c r="U202">
        <v>0.32</v>
      </c>
      <c r="V202">
        <v>0.55000000000000004</v>
      </c>
      <c r="X202" t="s">
        <v>202</v>
      </c>
    </row>
    <row r="203" spans="1:24" x14ac:dyDescent="0.25">
      <c r="A203" t="s">
        <v>44</v>
      </c>
      <c r="B203" t="s">
        <v>45</v>
      </c>
      <c r="C203">
        <v>2</v>
      </c>
      <c r="D203">
        <v>1</v>
      </c>
      <c r="E203">
        <f t="shared" si="134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P203">
        <f t="shared" ref="P203:P211" si="138">33.7*(1-EXP(-0.32*(E203-0.55)))</f>
        <v>12.510668214458784</v>
      </c>
      <c r="Q203">
        <f t="shared" ref="Q203:Q211" si="139">L203*(P203^M203)</f>
        <v>24.476624933083794</v>
      </c>
      <c r="R203">
        <f t="shared" ref="R203:R211" si="140">Q203/20/5.7/3.65*1000</f>
        <v>58.823900343868765</v>
      </c>
      <c r="S203">
        <f t="shared" ref="S203:S211" si="141">R203*2.65</f>
        <v>155.88333591125223</v>
      </c>
      <c r="T203">
        <v>33.700000000000003</v>
      </c>
      <c r="U203">
        <v>0.32</v>
      </c>
      <c r="V203">
        <v>0.55000000000000004</v>
      </c>
    </row>
    <row r="204" spans="1:24" x14ac:dyDescent="0.25">
      <c r="A204" t="s">
        <v>44</v>
      </c>
      <c r="B204" t="s">
        <v>45</v>
      </c>
      <c r="C204">
        <v>3</v>
      </c>
      <c r="D204">
        <v>1</v>
      </c>
      <c r="E204">
        <f t="shared" si="134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P204">
        <f t="shared" si="138"/>
        <v>18.313387127694298</v>
      </c>
      <c r="Q204">
        <f t="shared" si="139"/>
        <v>76.774331086170292</v>
      </c>
      <c r="R204">
        <f t="shared" si="140"/>
        <v>184.5093272919257</v>
      </c>
      <c r="S204">
        <f t="shared" si="141"/>
        <v>488.94971732360307</v>
      </c>
      <c r="T204">
        <v>33.700000000000003</v>
      </c>
      <c r="U204">
        <v>0.32</v>
      </c>
      <c r="V204">
        <v>0.55000000000000004</v>
      </c>
    </row>
    <row r="205" spans="1:24" x14ac:dyDescent="0.25">
      <c r="A205" t="s">
        <v>44</v>
      </c>
      <c r="B205" t="s">
        <v>45</v>
      </c>
      <c r="C205">
        <v>4</v>
      </c>
      <c r="D205">
        <v>1</v>
      </c>
      <c r="E205">
        <f t="shared" si="134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P205">
        <f t="shared" si="138"/>
        <v>22.527025878949555</v>
      </c>
      <c r="Q205">
        <f t="shared" si="139"/>
        <v>142.89649844085332</v>
      </c>
      <c r="R205">
        <f t="shared" si="140"/>
        <v>343.41864561608588</v>
      </c>
      <c r="S205">
        <f t="shared" si="141"/>
        <v>910.0594108826275</v>
      </c>
      <c r="T205">
        <v>33.700000000000003</v>
      </c>
      <c r="U205">
        <v>0.32</v>
      </c>
      <c r="V205">
        <v>0.55000000000000004</v>
      </c>
    </row>
    <row r="206" spans="1:24" x14ac:dyDescent="0.25">
      <c r="A206" t="s">
        <v>44</v>
      </c>
      <c r="B206" t="s">
        <v>45</v>
      </c>
      <c r="C206">
        <v>5</v>
      </c>
      <c r="D206">
        <v>1</v>
      </c>
      <c r="E206">
        <f t="shared" si="134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P206">
        <f t="shared" si="138"/>
        <v>25.586755600749953</v>
      </c>
      <c r="Q206">
        <f t="shared" si="139"/>
        <v>209.38987401253723</v>
      </c>
      <c r="R206">
        <f t="shared" si="140"/>
        <v>503.22007693472062</v>
      </c>
      <c r="S206">
        <f t="shared" si="141"/>
        <v>1333.5332038770096</v>
      </c>
      <c r="T206">
        <v>33.700000000000003</v>
      </c>
      <c r="U206">
        <v>0.32</v>
      </c>
      <c r="V206">
        <v>0.55000000000000004</v>
      </c>
    </row>
    <row r="207" spans="1:24" x14ac:dyDescent="0.25">
      <c r="A207" t="s">
        <v>44</v>
      </c>
      <c r="B207" t="s">
        <v>45</v>
      </c>
      <c r="C207">
        <v>6</v>
      </c>
      <c r="D207">
        <v>1</v>
      </c>
      <c r="E207">
        <f t="shared" si="134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P207">
        <f t="shared" si="138"/>
        <v>27.808575391941062</v>
      </c>
      <c r="Q207">
        <f t="shared" si="139"/>
        <v>268.81050439210674</v>
      </c>
      <c r="R207">
        <f t="shared" si="140"/>
        <v>646.0238029130179</v>
      </c>
      <c r="S207">
        <f t="shared" si="141"/>
        <v>1711.9630777194973</v>
      </c>
      <c r="T207">
        <v>33.700000000000003</v>
      </c>
      <c r="U207">
        <v>0.32</v>
      </c>
      <c r="V207">
        <v>0.55000000000000004</v>
      </c>
    </row>
    <row r="208" spans="1:24" x14ac:dyDescent="0.25">
      <c r="A208" t="s">
        <v>44</v>
      </c>
      <c r="B208" t="s">
        <v>45</v>
      </c>
      <c r="C208">
        <v>7</v>
      </c>
      <c r="D208">
        <v>1</v>
      </c>
      <c r="E208">
        <f t="shared" si="134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P208">
        <f t="shared" si="138"/>
        <v>29.421947693865757</v>
      </c>
      <c r="Q208">
        <f t="shared" si="139"/>
        <v>318.36423278291642</v>
      </c>
      <c r="R208">
        <f t="shared" si="140"/>
        <v>765.1147146909791</v>
      </c>
      <c r="S208">
        <f t="shared" si="141"/>
        <v>2027.5539939310945</v>
      </c>
      <c r="T208">
        <v>33.700000000000003</v>
      </c>
      <c r="U208">
        <v>0.32</v>
      </c>
      <c r="V208">
        <v>0.55000000000000004</v>
      </c>
    </row>
    <row r="209" spans="1:24" x14ac:dyDescent="0.25">
      <c r="A209" t="s">
        <v>44</v>
      </c>
      <c r="B209" t="s">
        <v>45</v>
      </c>
      <c r="C209">
        <v>8</v>
      </c>
      <c r="D209">
        <v>1</v>
      </c>
      <c r="E209">
        <f t="shared" si="134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P209">
        <f t="shared" si="138"/>
        <v>30.593496437349735</v>
      </c>
      <c r="Q209">
        <f t="shared" si="139"/>
        <v>357.92938568447693</v>
      </c>
      <c r="R209">
        <f t="shared" si="140"/>
        <v>860.20039818427529</v>
      </c>
      <c r="S209">
        <f t="shared" si="141"/>
        <v>2279.5310551883294</v>
      </c>
      <c r="T209">
        <v>33.700000000000003</v>
      </c>
      <c r="U209">
        <v>0.32</v>
      </c>
      <c r="V209">
        <v>0.55000000000000004</v>
      </c>
    </row>
    <row r="210" spans="1:24" x14ac:dyDescent="0.25">
      <c r="A210" t="s">
        <v>44</v>
      </c>
      <c r="B210" t="s">
        <v>45</v>
      </c>
      <c r="C210">
        <v>9</v>
      </c>
      <c r="D210">
        <v>1</v>
      </c>
      <c r="E210">
        <f t="shared" si="134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P210">
        <f t="shared" si="138"/>
        <v>31.444215429315523</v>
      </c>
      <c r="Q210">
        <f t="shared" si="139"/>
        <v>388.6264022737476</v>
      </c>
      <c r="R210">
        <f t="shared" si="140"/>
        <v>933.97356951152983</v>
      </c>
      <c r="S210">
        <f t="shared" si="141"/>
        <v>2475.029959205554</v>
      </c>
      <c r="T210">
        <v>33.700000000000003</v>
      </c>
      <c r="U210">
        <v>0.32</v>
      </c>
      <c r="V210">
        <v>0.55000000000000004</v>
      </c>
    </row>
    <row r="211" spans="1:24" x14ac:dyDescent="0.25">
      <c r="A211" t="s">
        <v>44</v>
      </c>
      <c r="B211" t="s">
        <v>45</v>
      </c>
      <c r="C211">
        <v>10</v>
      </c>
      <c r="D211">
        <v>1</v>
      </c>
      <c r="E211">
        <f t="shared" si="134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P211">
        <f t="shared" si="138"/>
        <v>32.061964206151778</v>
      </c>
      <c r="Q211">
        <f t="shared" si="139"/>
        <v>411.98403596558438</v>
      </c>
      <c r="R211">
        <f t="shared" si="140"/>
        <v>990.10823351498277</v>
      </c>
      <c r="S211">
        <f t="shared" si="141"/>
        <v>2623.7868188147045</v>
      </c>
      <c r="T211">
        <v>33.700000000000003</v>
      </c>
      <c r="U211">
        <v>0.32</v>
      </c>
      <c r="V211">
        <v>0.55000000000000004</v>
      </c>
    </row>
    <row r="212" spans="1:24" x14ac:dyDescent="0.25">
      <c r="A212" t="s">
        <v>46</v>
      </c>
      <c r="B212" t="s">
        <v>47</v>
      </c>
      <c r="C212">
        <v>1</v>
      </c>
      <c r="D212">
        <v>2</v>
      </c>
      <c r="E212">
        <f t="shared" si="134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P212">
        <f>42.5*(1-EXP(-0.47*(E212+0.05)))</f>
        <v>26.283908107224249</v>
      </c>
      <c r="Q212">
        <f t="shared" ref="Q212" si="142">L212*(P212^M212)</f>
        <v>302.14823421892987</v>
      </c>
      <c r="R212">
        <f t="shared" ref="R212" si="143">Q212/20/5.7/3.65*1000</f>
        <v>726.1433170366015</v>
      </c>
      <c r="S212">
        <f t="shared" ref="S212" si="144">R212*2.65</f>
        <v>1924.2797901469939</v>
      </c>
      <c r="T212">
        <v>42.5</v>
      </c>
      <c r="U212">
        <v>0.47</v>
      </c>
      <c r="V212">
        <v>0.05</v>
      </c>
      <c r="X212" t="s">
        <v>459</v>
      </c>
    </row>
    <row r="213" spans="1:24" x14ac:dyDescent="0.25">
      <c r="A213" t="s">
        <v>46</v>
      </c>
      <c r="B213" t="s">
        <v>47</v>
      </c>
      <c r="C213">
        <v>2</v>
      </c>
      <c r="D213">
        <v>2</v>
      </c>
      <c r="E213">
        <f t="shared" si="134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P213">
        <f t="shared" ref="P213:P221" si="145">42.5*(1-EXP(-0.47*(E213+0.05)))</f>
        <v>36.165543125950144</v>
      </c>
      <c r="Q213">
        <f t="shared" ref="Q213:Q221" si="146">L213*(P213^M213)</f>
        <v>812.63536807531352</v>
      </c>
      <c r="R213">
        <f t="shared" ref="R213:R221" si="147">Q213/20/5.7/3.65*1000</f>
        <v>1952.9809374556924</v>
      </c>
      <c r="S213">
        <f t="shared" ref="S213:S221" si="148">R213*2.65</f>
        <v>5175.3994842575848</v>
      </c>
      <c r="T213">
        <v>42.5</v>
      </c>
      <c r="U213">
        <v>0.47</v>
      </c>
      <c r="V213">
        <v>0.05</v>
      </c>
    </row>
    <row r="214" spans="1:24" x14ac:dyDescent="0.25">
      <c r="A214" t="s">
        <v>46</v>
      </c>
      <c r="B214" t="s">
        <v>47</v>
      </c>
      <c r="C214">
        <v>3</v>
      </c>
      <c r="D214">
        <v>2</v>
      </c>
      <c r="E214">
        <f t="shared" si="134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P214">
        <f t="shared" si="145"/>
        <v>40.025584823118002</v>
      </c>
      <c r="Q214">
        <f t="shared" si="146"/>
        <v>1112.8280739437707</v>
      </c>
      <c r="R214">
        <f t="shared" si="147"/>
        <v>2674.4245949141327</v>
      </c>
      <c r="S214">
        <f t="shared" si="148"/>
        <v>7087.2251765224519</v>
      </c>
      <c r="T214">
        <v>42.5</v>
      </c>
      <c r="U214">
        <v>0.47</v>
      </c>
      <c r="V214">
        <v>0.05</v>
      </c>
    </row>
    <row r="215" spans="1:24" x14ac:dyDescent="0.25">
      <c r="A215" t="s">
        <v>46</v>
      </c>
      <c r="B215" t="s">
        <v>47</v>
      </c>
      <c r="C215">
        <v>4</v>
      </c>
      <c r="D215">
        <v>2</v>
      </c>
      <c r="E215">
        <f t="shared" si="134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P215">
        <f t="shared" si="145"/>
        <v>41.533424555676312</v>
      </c>
      <c r="Q215">
        <f t="shared" si="146"/>
        <v>1247.9990208489385</v>
      </c>
      <c r="R215">
        <f t="shared" si="147"/>
        <v>2999.276666303625</v>
      </c>
      <c r="S215">
        <f t="shared" si="148"/>
        <v>7948.0831657046056</v>
      </c>
      <c r="T215">
        <v>42.5</v>
      </c>
      <c r="U215">
        <v>0.47</v>
      </c>
      <c r="V215">
        <v>0.05</v>
      </c>
    </row>
    <row r="216" spans="1:24" x14ac:dyDescent="0.25">
      <c r="A216" t="s">
        <v>46</v>
      </c>
      <c r="B216" t="s">
        <v>47</v>
      </c>
      <c r="C216">
        <v>5</v>
      </c>
      <c r="D216">
        <v>2</v>
      </c>
      <c r="E216">
        <f t="shared" si="134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P216">
        <f t="shared" si="145"/>
        <v>42.122428726473139</v>
      </c>
      <c r="Q216">
        <f t="shared" si="146"/>
        <v>1303.6853907295051</v>
      </c>
      <c r="R216">
        <f t="shared" si="147"/>
        <v>3133.1059618589406</v>
      </c>
      <c r="S216">
        <f t="shared" si="148"/>
        <v>8302.7307989261917</v>
      </c>
      <c r="T216">
        <v>42.5</v>
      </c>
      <c r="U216">
        <v>0.47</v>
      </c>
      <c r="V216">
        <v>0.05</v>
      </c>
    </row>
    <row r="217" spans="1:24" x14ac:dyDescent="0.25">
      <c r="A217" t="s">
        <v>46</v>
      </c>
      <c r="B217" t="s">
        <v>47</v>
      </c>
      <c r="C217">
        <v>6</v>
      </c>
      <c r="D217">
        <v>2</v>
      </c>
      <c r="E217">
        <f t="shared" si="134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P217">
        <f t="shared" si="145"/>
        <v>42.352510150728641</v>
      </c>
      <c r="Q217">
        <f t="shared" si="146"/>
        <v>1325.8873503007501</v>
      </c>
      <c r="R217">
        <f t="shared" si="147"/>
        <v>3186.4632307155734</v>
      </c>
      <c r="S217">
        <f t="shared" si="148"/>
        <v>8444.1275613962698</v>
      </c>
      <c r="T217">
        <v>42.5</v>
      </c>
      <c r="U217">
        <v>0.47</v>
      </c>
      <c r="V217">
        <v>0.05</v>
      </c>
    </row>
    <row r="218" spans="1:24" x14ac:dyDescent="0.25">
      <c r="A218" t="s">
        <v>46</v>
      </c>
      <c r="B218" t="s">
        <v>47</v>
      </c>
      <c r="C218">
        <v>7</v>
      </c>
      <c r="D218">
        <v>2</v>
      </c>
      <c r="E218">
        <f t="shared" si="134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P218">
        <f t="shared" si="145"/>
        <v>42.442386359441777</v>
      </c>
      <c r="Q218">
        <f t="shared" si="146"/>
        <v>1334.6291586561615</v>
      </c>
      <c r="R218">
        <f t="shared" si="147"/>
        <v>3207.4721428891166</v>
      </c>
      <c r="S218">
        <f t="shared" si="148"/>
        <v>8499.8011786561583</v>
      </c>
      <c r="T218">
        <v>42.5</v>
      </c>
      <c r="U218">
        <v>0.47</v>
      </c>
      <c r="V218">
        <v>0.05</v>
      </c>
    </row>
    <row r="219" spans="1:24" x14ac:dyDescent="0.25">
      <c r="A219" t="s">
        <v>46</v>
      </c>
      <c r="B219" t="s">
        <v>47</v>
      </c>
      <c r="C219">
        <v>8</v>
      </c>
      <c r="D219">
        <v>2</v>
      </c>
      <c r="E219">
        <f t="shared" si="134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P219">
        <f t="shared" si="145"/>
        <v>42.477494508301618</v>
      </c>
      <c r="Q219">
        <f t="shared" si="146"/>
        <v>1338.0545295157722</v>
      </c>
      <c r="R219">
        <f t="shared" si="147"/>
        <v>3215.7042285887342</v>
      </c>
      <c r="S219">
        <f t="shared" si="148"/>
        <v>8521.616205760145</v>
      </c>
      <c r="T219">
        <v>42.5</v>
      </c>
      <c r="U219">
        <v>0.47</v>
      </c>
      <c r="V219">
        <v>0.05</v>
      </c>
    </row>
    <row r="220" spans="1:24" x14ac:dyDescent="0.25">
      <c r="A220" t="s">
        <v>46</v>
      </c>
      <c r="B220" t="s">
        <v>47</v>
      </c>
      <c r="C220">
        <v>9</v>
      </c>
      <c r="D220">
        <v>2</v>
      </c>
      <c r="E220">
        <f t="shared" si="134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P220">
        <f t="shared" si="145"/>
        <v>42.491208728494179</v>
      </c>
      <c r="Q220">
        <f t="shared" si="146"/>
        <v>1339.3941906285172</v>
      </c>
      <c r="R220">
        <f t="shared" si="147"/>
        <v>3218.9237938681017</v>
      </c>
      <c r="S220">
        <f t="shared" si="148"/>
        <v>8530.1480537504685</v>
      </c>
      <c r="T220">
        <v>42.5</v>
      </c>
      <c r="U220">
        <v>0.47</v>
      </c>
      <c r="V220">
        <v>0.05</v>
      </c>
    </row>
    <row r="221" spans="1:24" x14ac:dyDescent="0.25">
      <c r="A221" t="s">
        <v>46</v>
      </c>
      <c r="B221" t="s">
        <v>47</v>
      </c>
      <c r="C221">
        <v>10</v>
      </c>
      <c r="D221">
        <v>2</v>
      </c>
      <c r="E221">
        <f t="shared" si="134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P221">
        <f t="shared" si="145"/>
        <v>42.496565884641633</v>
      </c>
      <c r="Q221">
        <f t="shared" si="146"/>
        <v>1339.9177462360979</v>
      </c>
      <c r="R221">
        <f t="shared" si="147"/>
        <v>3220.1820385390479</v>
      </c>
      <c r="S221">
        <f t="shared" si="148"/>
        <v>8533.4824021284767</v>
      </c>
      <c r="T221">
        <v>42.5</v>
      </c>
      <c r="U221">
        <v>0.47</v>
      </c>
      <c r="V221">
        <v>0.05</v>
      </c>
    </row>
    <row r="222" spans="1:24" x14ac:dyDescent="0.25">
      <c r="A222" t="s">
        <v>48</v>
      </c>
      <c r="B222" t="s">
        <v>49</v>
      </c>
      <c r="C222">
        <v>1</v>
      </c>
      <c r="D222">
        <v>3</v>
      </c>
      <c r="E222">
        <f t="shared" si="134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P222">
        <f>52.7*(1-EXP(-0.35*(E222+0.5)))</f>
        <v>37.218969192949821</v>
      </c>
      <c r="Q222">
        <f t="shared" ref="Q222" si="149">L222*(P222^M222)</f>
        <v>940.09810574131916</v>
      </c>
      <c r="R222">
        <f t="shared" ref="R222" si="150">Q222/20/5.7/3.65*1000</f>
        <v>2259.3081128125909</v>
      </c>
      <c r="S222">
        <f t="shared" ref="S222" si="151">R222*2.65</f>
        <v>5987.1664989533656</v>
      </c>
      <c r="T222">
        <v>52.7</v>
      </c>
      <c r="U222">
        <v>0.35</v>
      </c>
      <c r="V222">
        <v>-0.5</v>
      </c>
      <c r="X222" t="s">
        <v>203</v>
      </c>
    </row>
    <row r="223" spans="1:24" x14ac:dyDescent="0.25">
      <c r="A223" t="s">
        <v>48</v>
      </c>
      <c r="B223" t="s">
        <v>49</v>
      </c>
      <c r="C223">
        <v>2</v>
      </c>
      <c r="D223">
        <v>3</v>
      </c>
      <c r="E223">
        <f t="shared" si="134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P223">
        <f t="shared" ref="P223:P231" si="152">52.7*(1-EXP(-0.35*(E223+0.5)))</f>
        <v>47.282602925460409</v>
      </c>
      <c r="Q223">
        <f t="shared" ref="Q223:Q231" si="153">L223*(P223^M223)</f>
        <v>1974.1401826278613</v>
      </c>
      <c r="R223">
        <f t="shared" ref="R223:R231" si="154">Q223/20/5.7/3.65*1000</f>
        <v>4744.3888070845023</v>
      </c>
      <c r="S223">
        <f t="shared" ref="S223:S231" si="155">R223*2.65</f>
        <v>12572.63033877393</v>
      </c>
      <c r="T223">
        <v>52.7</v>
      </c>
      <c r="U223">
        <v>0.35</v>
      </c>
      <c r="V223">
        <v>-0.5</v>
      </c>
    </row>
    <row r="224" spans="1:24" x14ac:dyDescent="0.25">
      <c r="A224" t="s">
        <v>48</v>
      </c>
      <c r="B224" t="s">
        <v>49</v>
      </c>
      <c r="C224">
        <v>3</v>
      </c>
      <c r="D224">
        <v>3</v>
      </c>
      <c r="E224">
        <f t="shared" si="134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P224">
        <f t="shared" si="152"/>
        <v>50.804248261694262</v>
      </c>
      <c r="Q224">
        <f t="shared" si="153"/>
        <v>2466.5720882083451</v>
      </c>
      <c r="R224">
        <f t="shared" si="154"/>
        <v>5927.8348671193107</v>
      </c>
      <c r="S224">
        <f t="shared" si="155"/>
        <v>15708.762397866172</v>
      </c>
      <c r="T224">
        <v>52.7</v>
      </c>
      <c r="U224">
        <v>0.35</v>
      </c>
      <c r="V224">
        <v>-0.5</v>
      </c>
    </row>
    <row r="225" spans="1:24" x14ac:dyDescent="0.25">
      <c r="A225" t="s">
        <v>48</v>
      </c>
      <c r="B225" t="s">
        <v>49</v>
      </c>
      <c r="C225">
        <v>4</v>
      </c>
      <c r="D225">
        <v>3</v>
      </c>
      <c r="E225">
        <f t="shared" si="134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P225">
        <f t="shared" si="152"/>
        <v>52.036604903823729</v>
      </c>
      <c r="Q225">
        <f t="shared" si="153"/>
        <v>2656.8159932613798</v>
      </c>
      <c r="R225">
        <f t="shared" si="154"/>
        <v>6385.0420410030756</v>
      </c>
      <c r="S225">
        <f t="shared" si="155"/>
        <v>16920.361408658151</v>
      </c>
      <c r="T225">
        <v>52.7</v>
      </c>
      <c r="U225">
        <v>0.35</v>
      </c>
      <c r="V225">
        <v>-0.5</v>
      </c>
    </row>
    <row r="226" spans="1:24" x14ac:dyDescent="0.25">
      <c r="A226" t="s">
        <v>48</v>
      </c>
      <c r="B226" t="s">
        <v>49</v>
      </c>
      <c r="C226">
        <v>5</v>
      </c>
      <c r="D226">
        <v>3</v>
      </c>
      <c r="E226">
        <f t="shared" si="134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P226">
        <f t="shared" si="152"/>
        <v>52.467853013272702</v>
      </c>
      <c r="Q226">
        <f t="shared" si="153"/>
        <v>2725.6678395776239</v>
      </c>
      <c r="R226">
        <f t="shared" si="154"/>
        <v>6550.5115106407684</v>
      </c>
      <c r="S226">
        <f t="shared" si="155"/>
        <v>17358.855503198036</v>
      </c>
      <c r="T226">
        <v>52.7</v>
      </c>
      <c r="U226">
        <v>0.35</v>
      </c>
      <c r="V226">
        <v>-0.5</v>
      </c>
    </row>
    <row r="227" spans="1:24" x14ac:dyDescent="0.25">
      <c r="A227" t="s">
        <v>48</v>
      </c>
      <c r="B227" t="s">
        <v>49</v>
      </c>
      <c r="C227">
        <v>6</v>
      </c>
      <c r="D227">
        <v>3</v>
      </c>
      <c r="E227">
        <f t="shared" si="134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P227">
        <f t="shared" si="152"/>
        <v>52.618763006001714</v>
      </c>
      <c r="Q227">
        <f t="shared" si="153"/>
        <v>2750.0442819121477</v>
      </c>
      <c r="R227">
        <f t="shared" si="154"/>
        <v>6609.0946453067718</v>
      </c>
      <c r="S227">
        <f t="shared" si="155"/>
        <v>17514.100810062944</v>
      </c>
      <c r="T227">
        <v>52.7</v>
      </c>
      <c r="U227">
        <v>0.35</v>
      </c>
      <c r="V227">
        <v>-0.5</v>
      </c>
    </row>
    <row r="228" spans="1:24" x14ac:dyDescent="0.25">
      <c r="A228" t="s">
        <v>48</v>
      </c>
      <c r="B228" t="s">
        <v>49</v>
      </c>
      <c r="C228">
        <v>7</v>
      </c>
      <c r="D228">
        <v>3</v>
      </c>
      <c r="E228">
        <f t="shared" si="134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P228">
        <f t="shared" si="152"/>
        <v>52.671572109175685</v>
      </c>
      <c r="Q228">
        <f t="shared" si="153"/>
        <v>2758.6092771302779</v>
      </c>
      <c r="R228">
        <f t="shared" si="154"/>
        <v>6629.6786280468104</v>
      </c>
      <c r="S228">
        <f t="shared" si="155"/>
        <v>17568.648364324046</v>
      </c>
      <c r="T228">
        <v>52.7</v>
      </c>
      <c r="U228">
        <v>0.35</v>
      </c>
      <c r="V228">
        <v>-0.5</v>
      </c>
    </row>
    <row r="229" spans="1:24" x14ac:dyDescent="0.25">
      <c r="A229" t="s">
        <v>48</v>
      </c>
      <c r="B229" t="s">
        <v>49</v>
      </c>
      <c r="C229">
        <v>8</v>
      </c>
      <c r="D229">
        <v>3</v>
      </c>
      <c r="E229">
        <f t="shared" si="134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P229">
        <f t="shared" si="152"/>
        <v>52.690052007872964</v>
      </c>
      <c r="Q229">
        <f t="shared" si="153"/>
        <v>2761.6107551957466</v>
      </c>
      <c r="R229">
        <f t="shared" si="154"/>
        <v>6636.891985570167</v>
      </c>
      <c r="S229">
        <f t="shared" si="155"/>
        <v>17587.763761760943</v>
      </c>
      <c r="T229">
        <v>52.7</v>
      </c>
      <c r="U229">
        <v>0.35</v>
      </c>
      <c r="V229">
        <v>-0.5</v>
      </c>
    </row>
    <row r="230" spans="1:24" x14ac:dyDescent="0.25">
      <c r="A230" t="s">
        <v>48</v>
      </c>
      <c r="B230" t="s">
        <v>49</v>
      </c>
      <c r="C230">
        <v>9</v>
      </c>
      <c r="D230">
        <v>3</v>
      </c>
      <c r="E230">
        <f t="shared" si="134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P230">
        <f t="shared" si="152"/>
        <v>52.696518822026889</v>
      </c>
      <c r="Q230">
        <f t="shared" si="153"/>
        <v>2762.6616079782839</v>
      </c>
      <c r="R230">
        <f t="shared" si="154"/>
        <v>6639.4174669028689</v>
      </c>
      <c r="S230">
        <f t="shared" si="155"/>
        <v>17594.456287292604</v>
      </c>
      <c r="T230">
        <v>52.7</v>
      </c>
      <c r="U230">
        <v>0.35</v>
      </c>
      <c r="V230">
        <v>-0.5</v>
      </c>
    </row>
    <row r="231" spans="1:24" x14ac:dyDescent="0.25">
      <c r="A231" t="s">
        <v>48</v>
      </c>
      <c r="B231" t="s">
        <v>49</v>
      </c>
      <c r="C231">
        <v>10</v>
      </c>
      <c r="D231">
        <v>3</v>
      </c>
      <c r="E231">
        <f t="shared" si="134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P231">
        <f t="shared" si="152"/>
        <v>52.698781804415837</v>
      </c>
      <c r="Q231">
        <f t="shared" si="153"/>
        <v>2763.0294050072862</v>
      </c>
      <c r="R231">
        <f t="shared" si="154"/>
        <v>6640.3013818968666</v>
      </c>
      <c r="S231">
        <f t="shared" si="155"/>
        <v>17596.798662026697</v>
      </c>
      <c r="T231">
        <v>52.7</v>
      </c>
      <c r="U231">
        <v>0.35</v>
      </c>
      <c r="V231">
        <v>-0.5</v>
      </c>
    </row>
    <row r="232" spans="1:24" x14ac:dyDescent="0.25">
      <c r="A232" t="s">
        <v>50</v>
      </c>
      <c r="B232" t="s">
        <v>51</v>
      </c>
      <c r="C232">
        <v>1</v>
      </c>
      <c r="D232">
        <v>1</v>
      </c>
      <c r="E232">
        <f t="shared" si="134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P232">
        <f>40.6*(1-EXP(-0.27*(E232+1.65)))</f>
        <v>20.748728378702165</v>
      </c>
      <c r="Q232">
        <f t="shared" ref="Q232" si="156">L232*(P232^M232)</f>
        <v>134.09535696500257</v>
      </c>
      <c r="R232">
        <f t="shared" ref="R232" si="157">Q232/20/5.7/3.65*1000</f>
        <v>322.26714002644212</v>
      </c>
      <c r="S232">
        <f t="shared" ref="S232" si="158">R232*2.65</f>
        <v>854.00792107007157</v>
      </c>
      <c r="T232">
        <v>40.6</v>
      </c>
      <c r="U232">
        <v>0.27</v>
      </c>
      <c r="V232">
        <v>-1.65</v>
      </c>
      <c r="X232" t="s">
        <v>204</v>
      </c>
    </row>
    <row r="233" spans="1:24" x14ac:dyDescent="0.25">
      <c r="A233" t="s">
        <v>50</v>
      </c>
      <c r="B233" t="s">
        <v>51</v>
      </c>
      <c r="C233">
        <v>2</v>
      </c>
      <c r="D233">
        <v>1</v>
      </c>
      <c r="E233">
        <f t="shared" si="134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P233">
        <f t="shared" ref="P233:P241" si="159">40.6*(1-EXP(-0.27*(E233+1.65)))</f>
        <v>25.445946307790138</v>
      </c>
      <c r="Q233">
        <f t="shared" ref="Q233:Q241" si="160">L233*(P233^M233)</f>
        <v>249.8771017244207</v>
      </c>
      <c r="R233">
        <f t="shared" ref="R233:R241" si="161">Q233/20/5.7/3.65*1000</f>
        <v>600.5217537236739</v>
      </c>
      <c r="S233">
        <f t="shared" ref="S233:S241" si="162">R233*2.65</f>
        <v>1591.3826473677357</v>
      </c>
      <c r="T233">
        <v>40.6</v>
      </c>
      <c r="U233">
        <v>0.27</v>
      </c>
      <c r="V233">
        <v>-1.65</v>
      </c>
    </row>
    <row r="234" spans="1:24" x14ac:dyDescent="0.25">
      <c r="A234" t="s">
        <v>50</v>
      </c>
      <c r="B234" t="s">
        <v>51</v>
      </c>
      <c r="C234">
        <v>3</v>
      </c>
      <c r="D234">
        <v>1</v>
      </c>
      <c r="E234">
        <f t="shared" si="134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P234">
        <f t="shared" si="159"/>
        <v>29.03170615528731</v>
      </c>
      <c r="Q234">
        <f t="shared" si="160"/>
        <v>373.55195768406372</v>
      </c>
      <c r="R234">
        <f t="shared" si="161"/>
        <v>897.74563250195558</v>
      </c>
      <c r="S234">
        <f t="shared" si="162"/>
        <v>2379.0259261301821</v>
      </c>
      <c r="T234">
        <v>40.6</v>
      </c>
      <c r="U234">
        <v>0.27</v>
      </c>
      <c r="V234">
        <v>-1.65</v>
      </c>
    </row>
    <row r="235" spans="1:24" x14ac:dyDescent="0.25">
      <c r="A235" t="s">
        <v>50</v>
      </c>
      <c r="B235" t="s">
        <v>51</v>
      </c>
      <c r="C235">
        <v>4</v>
      </c>
      <c r="D235">
        <v>1</v>
      </c>
      <c r="E235">
        <f t="shared" si="134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P235">
        <f t="shared" si="159"/>
        <v>31.769001694483098</v>
      </c>
      <c r="Q235">
        <f t="shared" si="160"/>
        <v>491.70043460235115</v>
      </c>
      <c r="R235">
        <f t="shared" si="161"/>
        <v>1181.6881389145665</v>
      </c>
      <c r="S235">
        <f t="shared" si="162"/>
        <v>3131.4735681236011</v>
      </c>
      <c r="T235">
        <v>40.6</v>
      </c>
      <c r="U235">
        <v>0.27</v>
      </c>
      <c r="V235">
        <v>-1.65</v>
      </c>
    </row>
    <row r="236" spans="1:24" x14ac:dyDescent="0.25">
      <c r="A236" t="s">
        <v>50</v>
      </c>
      <c r="B236" t="s">
        <v>51</v>
      </c>
      <c r="C236">
        <v>5</v>
      </c>
      <c r="D236">
        <v>1</v>
      </c>
      <c r="E236">
        <f t="shared" si="134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P236">
        <f t="shared" si="159"/>
        <v>33.858596979044897</v>
      </c>
      <c r="Q236">
        <f t="shared" si="160"/>
        <v>597.14531894962283</v>
      </c>
      <c r="R236">
        <f t="shared" si="161"/>
        <v>1435.1005021620354</v>
      </c>
      <c r="S236">
        <f t="shared" si="162"/>
        <v>3803.0163307293938</v>
      </c>
      <c r="T236">
        <v>40.6</v>
      </c>
      <c r="U236">
        <v>0.27</v>
      </c>
      <c r="V236">
        <v>-1.65</v>
      </c>
    </row>
    <row r="237" spans="1:24" x14ac:dyDescent="0.25">
      <c r="A237" t="s">
        <v>50</v>
      </c>
      <c r="B237" t="s">
        <v>51</v>
      </c>
      <c r="C237">
        <v>6</v>
      </c>
      <c r="D237">
        <v>1</v>
      </c>
      <c r="E237">
        <f t="shared" si="134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P237">
        <f t="shared" si="159"/>
        <v>35.453751170742358</v>
      </c>
      <c r="Q237">
        <f t="shared" si="160"/>
        <v>687.16241425896737</v>
      </c>
      <c r="R237">
        <f t="shared" si="161"/>
        <v>1651.4357468372202</v>
      </c>
      <c r="S237">
        <f t="shared" si="162"/>
        <v>4376.3047291186331</v>
      </c>
      <c r="T237">
        <v>40.6</v>
      </c>
      <c r="U237">
        <v>0.27</v>
      </c>
      <c r="V237">
        <v>-1.65</v>
      </c>
    </row>
    <row r="238" spans="1:24" x14ac:dyDescent="0.25">
      <c r="A238" t="s">
        <v>50</v>
      </c>
      <c r="B238" t="s">
        <v>51</v>
      </c>
      <c r="C238">
        <v>7</v>
      </c>
      <c r="D238">
        <v>1</v>
      </c>
      <c r="E238">
        <f t="shared" si="134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P238">
        <f t="shared" si="159"/>
        <v>36.671459170989685</v>
      </c>
      <c r="Q238">
        <f t="shared" si="160"/>
        <v>761.71181665508584</v>
      </c>
      <c r="R238">
        <f t="shared" si="161"/>
        <v>1830.5979732157796</v>
      </c>
      <c r="S238">
        <f t="shared" si="162"/>
        <v>4851.084629021816</v>
      </c>
      <c r="T238">
        <v>40.6</v>
      </c>
      <c r="U238">
        <v>0.27</v>
      </c>
      <c r="V238">
        <v>-1.65</v>
      </c>
    </row>
    <row r="239" spans="1:24" x14ac:dyDescent="0.25">
      <c r="A239" t="s">
        <v>50</v>
      </c>
      <c r="B239" t="s">
        <v>51</v>
      </c>
      <c r="C239">
        <v>8</v>
      </c>
      <c r="D239">
        <v>1</v>
      </c>
      <c r="E239">
        <f t="shared" si="134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P239">
        <f t="shared" si="159"/>
        <v>37.60103248846842</v>
      </c>
      <c r="Q239">
        <f t="shared" si="160"/>
        <v>822.14611713593331</v>
      </c>
      <c r="R239">
        <f t="shared" si="161"/>
        <v>1975.8378205622046</v>
      </c>
      <c r="S239">
        <f t="shared" si="162"/>
        <v>5235.9702244898417</v>
      </c>
      <c r="T239">
        <v>40.6</v>
      </c>
      <c r="U239">
        <v>0.27</v>
      </c>
      <c r="V239">
        <v>-1.65</v>
      </c>
    </row>
    <row r="240" spans="1:24" x14ac:dyDescent="0.25">
      <c r="A240" t="s">
        <v>50</v>
      </c>
      <c r="B240" t="s">
        <v>51</v>
      </c>
      <c r="C240">
        <v>9</v>
      </c>
      <c r="D240">
        <v>1</v>
      </c>
      <c r="E240">
        <f t="shared" si="134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P240">
        <f t="shared" si="159"/>
        <v>38.310649697514371</v>
      </c>
      <c r="Q240">
        <f t="shared" si="160"/>
        <v>870.39069088429505</v>
      </c>
      <c r="R240">
        <f t="shared" si="161"/>
        <v>2091.7824822982334</v>
      </c>
      <c r="S240">
        <f t="shared" si="162"/>
        <v>5543.2235780903184</v>
      </c>
      <c r="T240">
        <v>40.6</v>
      </c>
      <c r="U240">
        <v>0.27</v>
      </c>
      <c r="V240">
        <v>-1.65</v>
      </c>
    </row>
    <row r="241" spans="1:27" x14ac:dyDescent="0.25">
      <c r="A241" t="s">
        <v>50</v>
      </c>
      <c r="B241" t="s">
        <v>51</v>
      </c>
      <c r="C241">
        <v>10</v>
      </c>
      <c r="D241">
        <v>1</v>
      </c>
      <c r="E241">
        <f t="shared" si="134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P241">
        <f t="shared" si="159"/>
        <v>38.8523569237286</v>
      </c>
      <c r="Q241">
        <f t="shared" si="160"/>
        <v>908.47438830563499</v>
      </c>
      <c r="R241">
        <f t="shared" si="161"/>
        <v>2183.3078305831173</v>
      </c>
      <c r="S241">
        <f t="shared" si="162"/>
        <v>5785.7657510452609</v>
      </c>
      <c r="T241">
        <v>40.6</v>
      </c>
      <c r="U241">
        <v>0.27</v>
      </c>
      <c r="V241">
        <v>-1.65</v>
      </c>
    </row>
    <row r="242" spans="1:27" x14ac:dyDescent="0.25">
      <c r="A242" t="s">
        <v>52</v>
      </c>
      <c r="B242" t="s">
        <v>53</v>
      </c>
      <c r="C242">
        <v>1</v>
      </c>
      <c r="D242">
        <v>1</v>
      </c>
      <c r="E242">
        <f t="shared" si="134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P242">
        <f>37.7*(1-EXP(-0.242*(E242)))</f>
        <v>8.1033821062960261</v>
      </c>
      <c r="Q242">
        <f t="shared" ref="Q242" si="163">L242*(P242^M242)</f>
        <v>4.3165057367255786</v>
      </c>
      <c r="R242">
        <f t="shared" ref="R242" si="164">Q242/20/5.7/3.65*1000</f>
        <v>10.373722030102327</v>
      </c>
      <c r="S242">
        <f t="shared" ref="S242" si="165">R242*2.65</f>
        <v>27.490363379771164</v>
      </c>
      <c r="T242">
        <v>37.700000000000003</v>
      </c>
      <c r="U242">
        <v>0.24199999999999999</v>
      </c>
      <c r="V242">
        <v>0</v>
      </c>
    </row>
    <row r="243" spans="1:27" x14ac:dyDescent="0.25">
      <c r="A243" t="s">
        <v>52</v>
      </c>
      <c r="B243" t="s">
        <v>53</v>
      </c>
      <c r="C243">
        <v>2</v>
      </c>
      <c r="D243">
        <v>1</v>
      </c>
      <c r="E243">
        <f t="shared" si="134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P243">
        <f t="shared" ref="P243:P251" si="166">37.7*(1-EXP(-0.242*(E243)))</f>
        <v>14.46499228790668</v>
      </c>
      <c r="Q243">
        <f t="shared" ref="Q243:Q252" si="167">L243*(P243^M243)</f>
        <v>23.169827404021429</v>
      </c>
      <c r="R243">
        <f t="shared" ref="R243:R252" si="168">Q243/20/5.7/3.65*1000</f>
        <v>55.683315078157726</v>
      </c>
      <c r="S243">
        <f t="shared" ref="S243:S252" si="169">R243*2.65</f>
        <v>147.56078495711796</v>
      </c>
      <c r="T243">
        <v>37.700000000000003</v>
      </c>
      <c r="U243">
        <v>0.24199999999999999</v>
      </c>
      <c r="V243">
        <v>0</v>
      </c>
    </row>
    <row r="244" spans="1:27" x14ac:dyDescent="0.25">
      <c r="A244" t="s">
        <v>52</v>
      </c>
      <c r="B244" t="s">
        <v>53</v>
      </c>
      <c r="C244">
        <v>3</v>
      </c>
      <c r="D244">
        <v>1</v>
      </c>
      <c r="E244">
        <f t="shared" si="134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P244">
        <f t="shared" si="166"/>
        <v>19.459213660156738</v>
      </c>
      <c r="Q244">
        <f t="shared" si="167"/>
        <v>54.759986342720147</v>
      </c>
      <c r="R244">
        <f t="shared" si="168"/>
        <v>131.6029472307622</v>
      </c>
      <c r="S244">
        <f t="shared" si="169"/>
        <v>348.74781016151979</v>
      </c>
      <c r="T244">
        <v>37.700000000000003</v>
      </c>
      <c r="U244">
        <v>0.24199999999999999</v>
      </c>
      <c r="V244">
        <v>0</v>
      </c>
    </row>
    <row r="245" spans="1:27" x14ac:dyDescent="0.25">
      <c r="A245" t="s">
        <v>52</v>
      </c>
      <c r="B245" t="s">
        <v>53</v>
      </c>
      <c r="C245">
        <v>4</v>
      </c>
      <c r="D245">
        <v>1</v>
      </c>
      <c r="E245">
        <f t="shared" si="134"/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P245">
        <f t="shared" si="166"/>
        <v>23.379958000503024</v>
      </c>
      <c r="Q245">
        <f t="shared" si="167"/>
        <v>93.249563450422627</v>
      </c>
      <c r="R245">
        <f t="shared" si="168"/>
        <v>224.10373335838173</v>
      </c>
      <c r="S245">
        <f t="shared" si="169"/>
        <v>593.8748933997116</v>
      </c>
      <c r="T245">
        <v>37.700000000000003</v>
      </c>
      <c r="U245">
        <v>0.24199999999999999</v>
      </c>
      <c r="V245">
        <v>0</v>
      </c>
    </row>
    <row r="246" spans="1:27" x14ac:dyDescent="0.25">
      <c r="A246" t="s">
        <v>52</v>
      </c>
      <c r="B246" t="s">
        <v>53</v>
      </c>
      <c r="C246">
        <v>5</v>
      </c>
      <c r="D246">
        <v>1</v>
      </c>
      <c r="E246">
        <f t="shared" si="134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P246">
        <f t="shared" si="166"/>
        <v>26.457962565493247</v>
      </c>
      <c r="Q246">
        <f t="shared" si="167"/>
        <v>133.47918712701969</v>
      </c>
      <c r="R246">
        <f t="shared" si="168"/>
        <v>320.7863184980045</v>
      </c>
      <c r="S246">
        <f t="shared" si="169"/>
        <v>850.08374401971196</v>
      </c>
      <c r="T246">
        <v>37.700000000000003</v>
      </c>
      <c r="U246">
        <v>0.24199999999999999</v>
      </c>
      <c r="V246">
        <v>0</v>
      </c>
    </row>
    <row r="247" spans="1:27" x14ac:dyDescent="0.25">
      <c r="A247" t="s">
        <v>52</v>
      </c>
      <c r="B247" t="s">
        <v>53</v>
      </c>
      <c r="C247">
        <v>6</v>
      </c>
      <c r="D247">
        <v>1</v>
      </c>
      <c r="E247">
        <f t="shared" si="134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P247">
        <f t="shared" si="166"/>
        <v>28.874369063771553</v>
      </c>
      <c r="Q247">
        <f t="shared" si="167"/>
        <v>171.98329262698991</v>
      </c>
      <c r="R247">
        <f t="shared" si="168"/>
        <v>413.32202025231896</v>
      </c>
      <c r="S247">
        <f t="shared" si="169"/>
        <v>1095.3033536686453</v>
      </c>
      <c r="T247">
        <v>37.700000000000003</v>
      </c>
      <c r="U247">
        <v>0.24199999999999999</v>
      </c>
      <c r="V247">
        <v>0</v>
      </c>
    </row>
    <row r="248" spans="1:27" x14ac:dyDescent="0.25">
      <c r="A248" t="s">
        <v>52</v>
      </c>
      <c r="B248" t="s">
        <v>53</v>
      </c>
      <c r="C248">
        <v>7</v>
      </c>
      <c r="D248">
        <v>1</v>
      </c>
      <c r="E248">
        <f t="shared" si="134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P248">
        <f t="shared" si="166"/>
        <v>30.771383912721323</v>
      </c>
      <c r="Q248">
        <f t="shared" si="167"/>
        <v>206.8361203659174</v>
      </c>
      <c r="R248">
        <f t="shared" si="168"/>
        <v>497.08272137927759</v>
      </c>
      <c r="S248">
        <f t="shared" si="169"/>
        <v>1317.2692116550857</v>
      </c>
      <c r="T248">
        <v>37.700000000000003</v>
      </c>
      <c r="U248">
        <v>0.24199999999999999</v>
      </c>
      <c r="V248">
        <v>0</v>
      </c>
    </row>
    <row r="249" spans="1:27" x14ac:dyDescent="0.25">
      <c r="A249" t="s">
        <v>52</v>
      </c>
      <c r="B249" t="s">
        <v>53</v>
      </c>
      <c r="C249">
        <v>8</v>
      </c>
      <c r="D249">
        <v>1</v>
      </c>
      <c r="E249">
        <f t="shared" si="134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P249">
        <f t="shared" si="166"/>
        <v>32.260647138796891</v>
      </c>
      <c r="Q249">
        <f t="shared" si="167"/>
        <v>237.22033636305432</v>
      </c>
      <c r="R249">
        <f t="shared" si="168"/>
        <v>570.10414891385335</v>
      </c>
      <c r="S249">
        <f t="shared" si="169"/>
        <v>1510.7759946217113</v>
      </c>
      <c r="T249">
        <v>37.700000000000003</v>
      </c>
      <c r="U249">
        <v>0.24199999999999999</v>
      </c>
      <c r="V249">
        <v>0</v>
      </c>
    </row>
    <row r="250" spans="1:27" x14ac:dyDescent="0.25">
      <c r="A250" t="s">
        <v>52</v>
      </c>
      <c r="B250" t="s">
        <v>53</v>
      </c>
      <c r="C250">
        <v>9</v>
      </c>
      <c r="D250">
        <v>1</v>
      </c>
      <c r="E250">
        <f t="shared" si="134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P250">
        <f t="shared" si="166"/>
        <v>33.429802434428275</v>
      </c>
      <c r="Q250">
        <f t="shared" si="167"/>
        <v>263.01956122966209</v>
      </c>
      <c r="R250">
        <f t="shared" si="168"/>
        <v>632.10661194343209</v>
      </c>
      <c r="S250">
        <f t="shared" si="169"/>
        <v>1675.082521650095</v>
      </c>
      <c r="T250">
        <v>37.700000000000003</v>
      </c>
      <c r="U250">
        <v>0.24199999999999999</v>
      </c>
      <c r="V250">
        <v>0</v>
      </c>
    </row>
    <row r="251" spans="1:27" x14ac:dyDescent="0.25">
      <c r="A251" t="s">
        <v>52</v>
      </c>
      <c r="B251" t="s">
        <v>53</v>
      </c>
      <c r="C251">
        <v>10</v>
      </c>
      <c r="D251">
        <v>1</v>
      </c>
      <c r="E251">
        <f t="shared" si="134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P251">
        <f t="shared" si="166"/>
        <v>34.347655021781136</v>
      </c>
      <c r="Q251">
        <f t="shared" si="167"/>
        <v>284.51264145637276</v>
      </c>
      <c r="R251">
        <f t="shared" si="168"/>
        <v>683.76025343997298</v>
      </c>
      <c r="S251">
        <f t="shared" si="169"/>
        <v>1811.9646716159284</v>
      </c>
      <c r="T251">
        <v>37.700000000000003</v>
      </c>
      <c r="U251">
        <v>0.24199999999999999</v>
      </c>
      <c r="V251">
        <v>0</v>
      </c>
    </row>
    <row r="252" spans="1:27" x14ac:dyDescent="0.25">
      <c r="A252" s="3" t="s">
        <v>184</v>
      </c>
      <c r="B252" t="s">
        <v>193</v>
      </c>
      <c r="C252">
        <v>1</v>
      </c>
      <c r="D252">
        <v>1</v>
      </c>
      <c r="E252">
        <f t="shared" si="134"/>
        <v>1</v>
      </c>
      <c r="F252">
        <v>2.6676279740000002</v>
      </c>
      <c r="G252">
        <v>7.0692141299999998</v>
      </c>
      <c r="H252">
        <f t="shared" ref="H252:H261" si="170">F252*3.65*5.7*20/1000</f>
        <v>1.1099999999814001</v>
      </c>
      <c r="I252">
        <f t="shared" ref="I252:J261" si="171">H252/1000</f>
        <v>1.1099999999814002E-3</v>
      </c>
      <c r="J252">
        <f t="shared" si="171"/>
        <v>1.1099999999814002E-6</v>
      </c>
      <c r="K252">
        <f t="shared" ref="K252:K261" si="172">I252*2.20462</f>
        <v>2.447128199958994E-3</v>
      </c>
      <c r="L252" s="4">
        <v>1.0999999999999999E-2</v>
      </c>
      <c r="M252" s="4">
        <v>3.01</v>
      </c>
      <c r="N252">
        <f>(H252/L252)^(1/M252)</f>
        <v>4.6318829138707471</v>
      </c>
      <c r="P252" s="3">
        <f>T252*(1-EXP(-U252*(E252-V252)))</f>
        <v>4.1157068482098182</v>
      </c>
      <c r="Q252" s="3">
        <f t="shared" si="167"/>
        <v>0.7778044613387648</v>
      </c>
      <c r="R252" s="3">
        <f t="shared" si="168"/>
        <v>1.8692729183820351</v>
      </c>
      <c r="S252" s="3">
        <f t="shared" si="169"/>
        <v>4.953573233712393</v>
      </c>
      <c r="T252">
        <f>$Z$254</f>
        <v>9</v>
      </c>
      <c r="U252">
        <f>$Z$255</f>
        <v>0.32</v>
      </c>
      <c r="V252">
        <f>$Z$256</f>
        <v>-0.91</v>
      </c>
      <c r="X252" t="s">
        <v>380</v>
      </c>
      <c r="Y252" t="s">
        <v>381</v>
      </c>
      <c r="Z252" t="s">
        <v>382</v>
      </c>
      <c r="AA252" t="s">
        <v>383</v>
      </c>
    </row>
    <row r="253" spans="1:27" x14ac:dyDescent="0.25">
      <c r="A253" s="3" t="s">
        <v>184</v>
      </c>
      <c r="B253" t="s">
        <v>193</v>
      </c>
      <c r="C253">
        <v>2</v>
      </c>
      <c r="D253">
        <v>1</v>
      </c>
      <c r="E253">
        <f t="shared" si="134"/>
        <v>2</v>
      </c>
      <c r="F253">
        <v>3.8692621960000002</v>
      </c>
      <c r="G253">
        <v>10.25354482</v>
      </c>
      <c r="H253">
        <f t="shared" si="170"/>
        <v>1.6099999997556003</v>
      </c>
      <c r="I253">
        <f t="shared" si="171"/>
        <v>1.6099999997556003E-3</v>
      </c>
      <c r="J253">
        <f t="shared" si="171"/>
        <v>1.6099999997556003E-6</v>
      </c>
      <c r="K253">
        <f t="shared" si="172"/>
        <v>3.5494381994611913E-3</v>
      </c>
      <c r="L253" s="4">
        <v>1.0999999999999999E-2</v>
      </c>
      <c r="M253" s="4">
        <v>3.01</v>
      </c>
      <c r="N253">
        <f t="shared" ref="N253:N261" si="173">(H253/L253)^(1/M253)</f>
        <v>5.240986248696256</v>
      </c>
      <c r="P253" s="3">
        <f t="shared" ref="P253:P261" si="174">T253*(1-EXP(-U253*(E253-V253)))</f>
        <v>5.4532752310419363</v>
      </c>
      <c r="Q253" s="3">
        <f t="shared" ref="Q253:Q261" si="175">L253*(P253^M253)</f>
        <v>1.8143936262614084</v>
      </c>
      <c r="R253" s="3">
        <f t="shared" ref="R253:R261" si="176">Q253/20/5.7/3.65*1000</f>
        <v>4.3604749489579637</v>
      </c>
      <c r="S253" s="3">
        <f t="shared" ref="S253:S261" si="177">R253*2.65</f>
        <v>11.555258614738603</v>
      </c>
      <c r="T253">
        <f t="shared" ref="T253:T261" si="178">$Z$254</f>
        <v>9</v>
      </c>
      <c r="U253">
        <f t="shared" ref="U253:U261" si="179">$Z$255</f>
        <v>0.32</v>
      </c>
      <c r="V253">
        <f t="shared" ref="V253:V261" si="180">$Z$256</f>
        <v>-0.91</v>
      </c>
      <c r="W253" t="s">
        <v>257</v>
      </c>
      <c r="X253">
        <v>9</v>
      </c>
      <c r="Y253">
        <v>5.2</v>
      </c>
      <c r="Z253">
        <v>11</v>
      </c>
      <c r="AA253">
        <v>8</v>
      </c>
    </row>
    <row r="254" spans="1:27" x14ac:dyDescent="0.25">
      <c r="A254" s="3" t="s">
        <v>184</v>
      </c>
      <c r="B254" t="s">
        <v>193</v>
      </c>
      <c r="C254">
        <v>3</v>
      </c>
      <c r="D254">
        <v>1</v>
      </c>
      <c r="E254">
        <f t="shared" si="134"/>
        <v>3</v>
      </c>
      <c r="F254">
        <v>5.0708964190000003</v>
      </c>
      <c r="G254">
        <v>13.43787551</v>
      </c>
      <c r="H254">
        <f t="shared" si="170"/>
        <v>2.1099999999459</v>
      </c>
      <c r="I254">
        <f t="shared" si="171"/>
        <v>2.1099999999458999E-3</v>
      </c>
      <c r="J254">
        <f t="shared" si="171"/>
        <v>2.1099999999459001E-6</v>
      </c>
      <c r="K254">
        <f t="shared" si="172"/>
        <v>4.6517481998807298E-3</v>
      </c>
      <c r="L254" s="4">
        <v>1.0999999999999999E-2</v>
      </c>
      <c r="M254" s="4">
        <v>3.01</v>
      </c>
      <c r="N254">
        <f t="shared" si="173"/>
        <v>5.7337022923298262</v>
      </c>
      <c r="P254" s="3">
        <f t="shared" si="174"/>
        <v>6.4245492242556939</v>
      </c>
      <c r="Q254" s="3">
        <f t="shared" si="175"/>
        <v>2.9716598373956193</v>
      </c>
      <c r="R254" s="3">
        <f t="shared" si="176"/>
        <v>7.1416963167402532</v>
      </c>
      <c r="S254" s="3">
        <f t="shared" si="177"/>
        <v>18.92549523936167</v>
      </c>
      <c r="T254">
        <f t="shared" si="178"/>
        <v>9</v>
      </c>
      <c r="U254">
        <f t="shared" si="179"/>
        <v>0.32</v>
      </c>
      <c r="V254">
        <f t="shared" si="180"/>
        <v>-0.91</v>
      </c>
      <c r="W254" t="s">
        <v>243</v>
      </c>
      <c r="Z254">
        <v>9</v>
      </c>
    </row>
    <row r="255" spans="1:27" x14ac:dyDescent="0.25">
      <c r="A255" s="3" t="s">
        <v>184</v>
      </c>
      <c r="B255" t="s">
        <v>193</v>
      </c>
      <c r="C255">
        <v>4</v>
      </c>
      <c r="D255">
        <v>1</v>
      </c>
      <c r="E255">
        <f t="shared" si="134"/>
        <v>4</v>
      </c>
      <c r="F255">
        <v>5.0829127610000002</v>
      </c>
      <c r="G255">
        <v>13.469718820000001</v>
      </c>
      <c r="H255">
        <f t="shared" si="170"/>
        <v>2.1149999998521003</v>
      </c>
      <c r="I255">
        <f t="shared" si="171"/>
        <v>2.1149999998521002E-3</v>
      </c>
      <c r="J255">
        <f t="shared" si="171"/>
        <v>2.1149999998521001E-6</v>
      </c>
      <c r="K255">
        <f t="shared" si="172"/>
        <v>4.6627712996739372E-3</v>
      </c>
      <c r="L255" s="4">
        <v>1.0999999999999999E-2</v>
      </c>
      <c r="M255" s="4">
        <v>3.01</v>
      </c>
      <c r="N255">
        <f t="shared" si="173"/>
        <v>5.738212669774577</v>
      </c>
      <c r="P255" s="3">
        <f t="shared" si="174"/>
        <v>7.1298388991625812</v>
      </c>
      <c r="Q255" s="3">
        <f t="shared" si="175"/>
        <v>4.0659556123430116</v>
      </c>
      <c r="R255" s="3">
        <f t="shared" si="176"/>
        <v>9.7715828222615038</v>
      </c>
      <c r="S255" s="3">
        <f t="shared" si="177"/>
        <v>25.894694478992985</v>
      </c>
      <c r="T255">
        <f t="shared" si="178"/>
        <v>9</v>
      </c>
      <c r="U255">
        <f t="shared" si="179"/>
        <v>0.32</v>
      </c>
      <c r="V255">
        <f t="shared" si="180"/>
        <v>-0.91</v>
      </c>
      <c r="W255" t="s">
        <v>244</v>
      </c>
      <c r="Z255">
        <v>0.32</v>
      </c>
    </row>
    <row r="256" spans="1:27" x14ac:dyDescent="0.25">
      <c r="A256" s="3" t="s">
        <v>184</v>
      </c>
      <c r="B256" t="s">
        <v>193</v>
      </c>
      <c r="C256">
        <v>5</v>
      </c>
      <c r="D256">
        <v>1</v>
      </c>
      <c r="E256">
        <f t="shared" si="134"/>
        <v>5</v>
      </c>
      <c r="F256">
        <v>5.0949291030000001</v>
      </c>
      <c r="G256">
        <v>13.501562119999999</v>
      </c>
      <c r="H256">
        <f t="shared" si="170"/>
        <v>2.1199999997583001</v>
      </c>
      <c r="I256">
        <f t="shared" si="171"/>
        <v>2.1199999997583E-3</v>
      </c>
      <c r="J256">
        <f t="shared" si="171"/>
        <v>2.1199999997583E-6</v>
      </c>
      <c r="K256">
        <f t="shared" si="172"/>
        <v>4.6737943994671427E-3</v>
      </c>
      <c r="L256" s="4">
        <v>1.0999999999999999E-2</v>
      </c>
      <c r="M256" s="4">
        <v>3.01</v>
      </c>
      <c r="N256">
        <f t="shared" si="173"/>
        <v>5.7427159324658712</v>
      </c>
      <c r="P256" s="3">
        <f t="shared" si="174"/>
        <v>7.6419843174542343</v>
      </c>
      <c r="Q256" s="3">
        <f t="shared" si="175"/>
        <v>5.0100628373165685</v>
      </c>
      <c r="R256" s="3">
        <f t="shared" si="176"/>
        <v>12.040525924817516</v>
      </c>
      <c r="S256" s="3">
        <f t="shared" si="177"/>
        <v>31.907393700766416</v>
      </c>
      <c r="T256">
        <f t="shared" si="178"/>
        <v>9</v>
      </c>
      <c r="U256">
        <f t="shared" si="179"/>
        <v>0.32</v>
      </c>
      <c r="V256">
        <f t="shared" si="180"/>
        <v>-0.91</v>
      </c>
      <c r="W256" t="s">
        <v>285</v>
      </c>
      <c r="Z256">
        <v>-0.91</v>
      </c>
    </row>
    <row r="257" spans="1:27" x14ac:dyDescent="0.25">
      <c r="A257" s="3" t="s">
        <v>184</v>
      </c>
      <c r="B257" t="s">
        <v>193</v>
      </c>
      <c r="C257">
        <v>6</v>
      </c>
      <c r="D257">
        <v>1</v>
      </c>
      <c r="E257">
        <f t="shared" si="134"/>
        <v>6</v>
      </c>
      <c r="F257">
        <v>5.1069454460000001</v>
      </c>
      <c r="G257">
        <v>13.53340543</v>
      </c>
      <c r="H257">
        <f t="shared" si="170"/>
        <v>2.1250000000806004</v>
      </c>
      <c r="I257">
        <f t="shared" si="171"/>
        <v>2.1250000000806006E-3</v>
      </c>
      <c r="J257">
        <f t="shared" si="171"/>
        <v>2.1250000000806007E-6</v>
      </c>
      <c r="K257">
        <f t="shared" si="172"/>
        <v>4.6848175001776935E-3</v>
      </c>
      <c r="L257" s="4">
        <v>1.0999999999999999E-2</v>
      </c>
      <c r="M257" s="4">
        <v>3.01</v>
      </c>
      <c r="N257">
        <f t="shared" si="173"/>
        <v>5.747212108740996</v>
      </c>
      <c r="P257" s="3">
        <f t="shared" si="174"/>
        <v>8.0138782197884222</v>
      </c>
      <c r="Q257" s="3">
        <f t="shared" si="175"/>
        <v>5.7804191102110707</v>
      </c>
      <c r="R257" s="3">
        <f t="shared" si="176"/>
        <v>13.891898846938405</v>
      </c>
      <c r="S257" s="3">
        <f t="shared" si="177"/>
        <v>36.813531944386774</v>
      </c>
      <c r="T257">
        <f t="shared" si="178"/>
        <v>9</v>
      </c>
      <c r="U257">
        <f t="shared" si="179"/>
        <v>0.32</v>
      </c>
      <c r="V257">
        <f t="shared" si="180"/>
        <v>-0.91</v>
      </c>
      <c r="W257" t="s">
        <v>246</v>
      </c>
      <c r="Z257" t="s">
        <v>460</v>
      </c>
    </row>
    <row r="258" spans="1:27" x14ac:dyDescent="0.25">
      <c r="A258" s="3" t="s">
        <v>184</v>
      </c>
      <c r="B258" t="s">
        <v>193</v>
      </c>
      <c r="C258">
        <v>7</v>
      </c>
      <c r="D258">
        <v>1</v>
      </c>
      <c r="E258">
        <f t="shared" si="134"/>
        <v>7</v>
      </c>
      <c r="F258">
        <v>5.118961788</v>
      </c>
      <c r="G258">
        <v>13.565248739999999</v>
      </c>
      <c r="H258">
        <f t="shared" si="170"/>
        <v>2.1299999999868002</v>
      </c>
      <c r="I258">
        <f t="shared" si="171"/>
        <v>2.1299999999868004E-3</v>
      </c>
      <c r="J258">
        <f t="shared" si="171"/>
        <v>2.1299999999868006E-6</v>
      </c>
      <c r="K258">
        <f t="shared" si="172"/>
        <v>4.6958405999709E-3</v>
      </c>
      <c r="L258" s="4">
        <v>1.0999999999999999E-2</v>
      </c>
      <c r="M258" s="4">
        <v>3.01</v>
      </c>
      <c r="N258">
        <f t="shared" si="173"/>
        <v>5.7517012256396187</v>
      </c>
      <c r="P258" s="3">
        <f t="shared" si="174"/>
        <v>8.2839286188619674</v>
      </c>
      <c r="Q258" s="3">
        <f t="shared" si="175"/>
        <v>6.3868114122370683</v>
      </c>
      <c r="R258" s="3">
        <f t="shared" si="176"/>
        <v>15.34922233174013</v>
      </c>
      <c r="S258" s="3">
        <f t="shared" si="177"/>
        <v>40.675439179111343</v>
      </c>
      <c r="T258">
        <f t="shared" si="178"/>
        <v>9</v>
      </c>
      <c r="U258">
        <f t="shared" si="179"/>
        <v>0.32</v>
      </c>
      <c r="V258">
        <f t="shared" si="180"/>
        <v>-0.91</v>
      </c>
      <c r="W258" t="s">
        <v>279</v>
      </c>
      <c r="Y258" s="5" t="s">
        <v>463</v>
      </c>
      <c r="Z258" s="5" t="s">
        <v>461</v>
      </c>
      <c r="AA258" s="5" t="s">
        <v>462</v>
      </c>
    </row>
    <row r="259" spans="1:27" x14ac:dyDescent="0.25">
      <c r="A259" s="3" t="s">
        <v>184</v>
      </c>
      <c r="B259" t="s">
        <v>193</v>
      </c>
      <c r="C259">
        <v>8</v>
      </c>
      <c r="D259">
        <v>1</v>
      </c>
      <c r="E259">
        <f t="shared" ref="E259:E322" si="181">C259*D259</f>
        <v>8</v>
      </c>
      <c r="F259">
        <v>5.1309781299999999</v>
      </c>
      <c r="G259">
        <v>13.597092050000001</v>
      </c>
      <c r="H259">
        <f t="shared" si="170"/>
        <v>2.134999999893</v>
      </c>
      <c r="I259">
        <f t="shared" si="171"/>
        <v>2.1349999998929998E-3</v>
      </c>
      <c r="J259">
        <f t="shared" si="171"/>
        <v>2.1349999998929997E-6</v>
      </c>
      <c r="K259">
        <f t="shared" si="172"/>
        <v>4.7068636997641047E-3</v>
      </c>
      <c r="L259" s="4">
        <v>1.0999999999999999E-2</v>
      </c>
      <c r="M259" s="4">
        <v>3.01</v>
      </c>
      <c r="N259">
        <f t="shared" si="173"/>
        <v>5.7561833111503411</v>
      </c>
      <c r="P259" s="3">
        <f t="shared" si="174"/>
        <v>8.4800254561105906</v>
      </c>
      <c r="Q259" s="3">
        <f t="shared" si="175"/>
        <v>6.8528010659645933</v>
      </c>
      <c r="R259" s="3">
        <f t="shared" si="176"/>
        <v>16.469120562279723</v>
      </c>
      <c r="S259" s="3">
        <f t="shared" si="177"/>
        <v>43.643169490041267</v>
      </c>
      <c r="T259">
        <f t="shared" si="178"/>
        <v>9</v>
      </c>
      <c r="U259">
        <f t="shared" si="179"/>
        <v>0.32</v>
      </c>
      <c r="V259">
        <f t="shared" si="180"/>
        <v>-0.91</v>
      </c>
    </row>
    <row r="260" spans="1:27" x14ac:dyDescent="0.25">
      <c r="A260" s="3" t="s">
        <v>184</v>
      </c>
      <c r="B260" t="s">
        <v>193</v>
      </c>
      <c r="C260">
        <v>9</v>
      </c>
      <c r="D260">
        <v>1</v>
      </c>
      <c r="E260">
        <f t="shared" si="181"/>
        <v>9</v>
      </c>
      <c r="F260">
        <v>5.1429944729999999</v>
      </c>
      <c r="G260">
        <v>13.628935350000001</v>
      </c>
      <c r="H260">
        <f t="shared" si="170"/>
        <v>2.1400000002152995</v>
      </c>
      <c r="I260">
        <f t="shared" si="171"/>
        <v>2.1400000002152995E-3</v>
      </c>
      <c r="J260">
        <f t="shared" si="171"/>
        <v>2.1400000002152995E-6</v>
      </c>
      <c r="K260">
        <f t="shared" si="172"/>
        <v>4.7178868004746528E-3</v>
      </c>
      <c r="L260" s="4">
        <v>1.0999999999999999E-2</v>
      </c>
      <c r="M260" s="4">
        <v>3.01</v>
      </c>
      <c r="N260">
        <f t="shared" si="173"/>
        <v>5.7606583930870281</v>
      </c>
      <c r="P260" s="3">
        <f t="shared" si="174"/>
        <v>8.622420985651873</v>
      </c>
      <c r="Q260" s="3">
        <f t="shared" si="175"/>
        <v>7.2050441633690241</v>
      </c>
      <c r="R260" s="3">
        <f t="shared" si="176"/>
        <v>17.315655283270907</v>
      </c>
      <c r="S260" s="3">
        <f t="shared" si="177"/>
        <v>45.8864865006679</v>
      </c>
      <c r="T260">
        <f t="shared" si="178"/>
        <v>9</v>
      </c>
      <c r="U260">
        <f t="shared" si="179"/>
        <v>0.32</v>
      </c>
      <c r="V260">
        <f t="shared" si="180"/>
        <v>-0.91</v>
      </c>
    </row>
    <row r="261" spans="1:27" x14ac:dyDescent="0.25">
      <c r="A261" s="3" t="s">
        <v>184</v>
      </c>
      <c r="B261" t="s">
        <v>193</v>
      </c>
      <c r="C261">
        <v>10</v>
      </c>
      <c r="D261">
        <v>1</v>
      </c>
      <c r="E261">
        <f t="shared" si="181"/>
        <v>10</v>
      </c>
      <c r="F261">
        <v>5.1550108149999998</v>
      </c>
      <c r="G261">
        <v>13.66077866</v>
      </c>
      <c r="H261">
        <f t="shared" si="170"/>
        <v>2.1450000001214997</v>
      </c>
      <c r="I261">
        <f t="shared" si="171"/>
        <v>2.1450000001214998E-3</v>
      </c>
      <c r="J261">
        <f t="shared" si="171"/>
        <v>2.1450000001214999E-6</v>
      </c>
      <c r="K261">
        <f t="shared" si="172"/>
        <v>4.7289099002678602E-3</v>
      </c>
      <c r="L261" s="4">
        <v>1.0999999999999999E-2</v>
      </c>
      <c r="M261" s="4">
        <v>3.01</v>
      </c>
      <c r="N261">
        <f t="shared" si="173"/>
        <v>5.7651264979756727</v>
      </c>
      <c r="P261" s="3">
        <f t="shared" si="174"/>
        <v>8.7258213623118746</v>
      </c>
      <c r="Q261" s="3">
        <f t="shared" si="175"/>
        <v>7.4682646853721346</v>
      </c>
      <c r="R261" s="3">
        <f t="shared" si="176"/>
        <v>17.948244857899869</v>
      </c>
      <c r="S261" s="3">
        <f t="shared" si="177"/>
        <v>47.562848873434653</v>
      </c>
      <c r="T261">
        <f t="shared" si="178"/>
        <v>9</v>
      </c>
      <c r="U261">
        <f t="shared" si="179"/>
        <v>0.32</v>
      </c>
      <c r="V261">
        <f t="shared" si="180"/>
        <v>-0.91</v>
      </c>
    </row>
    <row r="262" spans="1:27" x14ac:dyDescent="0.25">
      <c r="A262" t="s">
        <v>54</v>
      </c>
      <c r="B262" t="s">
        <v>55</v>
      </c>
      <c r="C262">
        <v>1</v>
      </c>
      <c r="D262">
        <v>2</v>
      </c>
      <c r="E262">
        <f t="shared" si="181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P262">
        <f>43*(1-EXP(-0.48*(E262)))</f>
        <v>26.535605903070181</v>
      </c>
      <c r="Q262">
        <f t="shared" ref="Q262" si="182">L262*(P262^M262)</f>
        <v>135.78420681704091</v>
      </c>
      <c r="R262">
        <f t="shared" ref="R262" si="183">Q262/20/5.7/3.65*1000</f>
        <v>326.32589958433289</v>
      </c>
      <c r="S262">
        <f t="shared" ref="S262" si="184">R262*2.65</f>
        <v>864.76363389848211</v>
      </c>
      <c r="T262">
        <v>43</v>
      </c>
      <c r="U262">
        <v>0.48</v>
      </c>
      <c r="V262">
        <v>0</v>
      </c>
      <c r="X262" t="s">
        <v>205</v>
      </c>
    </row>
    <row r="263" spans="1:27" x14ac:dyDescent="0.25">
      <c r="A263" t="s">
        <v>54</v>
      </c>
      <c r="B263" t="s">
        <v>55</v>
      </c>
      <c r="C263">
        <v>2</v>
      </c>
      <c r="D263">
        <v>2</v>
      </c>
      <c r="E263">
        <f t="shared" si="181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P263">
        <f t="shared" ref="P263:P271" si="185">43*(1-EXP(-0.48*(E263)))</f>
        <v>36.695900628394945</v>
      </c>
      <c r="Q263">
        <f t="shared" ref="Q263:Q271" si="186">L263*(P263^M263)</f>
        <v>336.55587698181682</v>
      </c>
      <c r="R263">
        <f t="shared" ref="R263:R271" si="187">Q263/20/5.7/3.65*1000</f>
        <v>808.83411915841577</v>
      </c>
      <c r="S263">
        <f t="shared" ref="S263:S271" si="188">R263*2.65</f>
        <v>2143.4104157698016</v>
      </c>
      <c r="T263">
        <v>43</v>
      </c>
      <c r="U263">
        <v>0.48</v>
      </c>
      <c r="V263">
        <v>0</v>
      </c>
    </row>
    <row r="264" spans="1:27" x14ac:dyDescent="0.25">
      <c r="A264" t="s">
        <v>54</v>
      </c>
      <c r="B264" t="s">
        <v>55</v>
      </c>
      <c r="C264">
        <v>3</v>
      </c>
      <c r="D264">
        <v>2</v>
      </c>
      <c r="E264">
        <f t="shared" si="181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P264">
        <f t="shared" si="185"/>
        <v>40.586205198132248</v>
      </c>
      <c r="Q264">
        <f t="shared" si="186"/>
        <v>446.2597179732407</v>
      </c>
      <c r="R264">
        <f t="shared" si="187"/>
        <v>1072.4818985177617</v>
      </c>
      <c r="S264">
        <f t="shared" si="188"/>
        <v>2842.0770310720682</v>
      </c>
      <c r="T264">
        <v>43</v>
      </c>
      <c r="U264">
        <v>0.48</v>
      </c>
      <c r="V264">
        <v>0</v>
      </c>
    </row>
    <row r="265" spans="1:27" x14ac:dyDescent="0.25">
      <c r="A265" t="s">
        <v>54</v>
      </c>
      <c r="B265" t="s">
        <v>55</v>
      </c>
      <c r="C265">
        <v>4</v>
      </c>
      <c r="D265">
        <v>2</v>
      </c>
      <c r="E265">
        <f t="shared" si="181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P265">
        <f t="shared" si="185"/>
        <v>42.075775142161135</v>
      </c>
      <c r="Q265">
        <f t="shared" si="186"/>
        <v>493.64868805058831</v>
      </c>
      <c r="R265">
        <f t="shared" si="187"/>
        <v>1186.3703149497437</v>
      </c>
      <c r="S265">
        <f t="shared" si="188"/>
        <v>3143.8813346168208</v>
      </c>
      <c r="T265">
        <v>43</v>
      </c>
      <c r="U265">
        <v>0.48</v>
      </c>
      <c r="V265">
        <v>0</v>
      </c>
    </row>
    <row r="266" spans="1:27" x14ac:dyDescent="0.25">
      <c r="A266" t="s">
        <v>54</v>
      </c>
      <c r="B266" t="s">
        <v>55</v>
      </c>
      <c r="C266">
        <v>5</v>
      </c>
      <c r="D266">
        <v>2</v>
      </c>
      <c r="E266">
        <f t="shared" si="181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P266">
        <f t="shared" si="185"/>
        <v>42.646120876892141</v>
      </c>
      <c r="Q266">
        <f t="shared" si="186"/>
        <v>512.61431466428678</v>
      </c>
      <c r="R266">
        <f t="shared" si="187"/>
        <v>1231.9498069317153</v>
      </c>
      <c r="S266">
        <f t="shared" si="188"/>
        <v>3264.6669883690456</v>
      </c>
      <c r="T266">
        <v>43</v>
      </c>
      <c r="U266">
        <v>0.48</v>
      </c>
      <c r="V266">
        <v>0</v>
      </c>
    </row>
    <row r="267" spans="1:27" x14ac:dyDescent="0.25">
      <c r="A267" t="s">
        <v>54</v>
      </c>
      <c r="B267" t="s">
        <v>55</v>
      </c>
      <c r="C267">
        <v>6</v>
      </c>
      <c r="D267">
        <v>2</v>
      </c>
      <c r="E267">
        <f t="shared" si="181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P267">
        <f t="shared" si="185"/>
        <v>42.864502201266895</v>
      </c>
      <c r="Q267">
        <f t="shared" si="186"/>
        <v>519.99819037492045</v>
      </c>
      <c r="R267">
        <f t="shared" si="187"/>
        <v>1249.6952424295134</v>
      </c>
      <c r="S267">
        <f t="shared" si="188"/>
        <v>3311.6923924382104</v>
      </c>
      <c r="T267">
        <v>43</v>
      </c>
      <c r="U267">
        <v>0.48</v>
      </c>
      <c r="V267">
        <v>0</v>
      </c>
    </row>
    <row r="268" spans="1:27" x14ac:dyDescent="0.25">
      <c r="A268" t="s">
        <v>54</v>
      </c>
      <c r="B268" t="s">
        <v>55</v>
      </c>
      <c r="C268">
        <v>7</v>
      </c>
      <c r="D268">
        <v>2</v>
      </c>
      <c r="E268">
        <f t="shared" si="181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P268">
        <f t="shared" si="185"/>
        <v>42.948118856799809</v>
      </c>
      <c r="Q268">
        <f t="shared" si="186"/>
        <v>522.84341833367034</v>
      </c>
      <c r="R268">
        <f t="shared" si="187"/>
        <v>1256.5330890018513</v>
      </c>
      <c r="S268">
        <f t="shared" si="188"/>
        <v>3329.8126858549058</v>
      </c>
      <c r="T268">
        <v>43</v>
      </c>
      <c r="U268">
        <v>0.48</v>
      </c>
      <c r="V268">
        <v>0</v>
      </c>
    </row>
    <row r="269" spans="1:27" x14ac:dyDescent="0.25">
      <c r="A269" t="s">
        <v>54</v>
      </c>
      <c r="B269" t="s">
        <v>55</v>
      </c>
      <c r="C269">
        <v>8</v>
      </c>
      <c r="D269">
        <v>2</v>
      </c>
      <c r="E269">
        <f t="shared" si="181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P269">
        <f t="shared" si="185"/>
        <v>42.980135079352387</v>
      </c>
      <c r="Q269">
        <f t="shared" si="186"/>
        <v>523.93547948044738</v>
      </c>
      <c r="R269">
        <f t="shared" si="187"/>
        <v>1259.1576050960045</v>
      </c>
      <c r="S269">
        <f t="shared" si="188"/>
        <v>3336.767653504412</v>
      </c>
      <c r="T269">
        <v>43</v>
      </c>
      <c r="U269">
        <v>0.48</v>
      </c>
      <c r="V269">
        <v>0</v>
      </c>
    </row>
    <row r="270" spans="1:27" x14ac:dyDescent="0.25">
      <c r="A270" t="s">
        <v>54</v>
      </c>
      <c r="B270" t="s">
        <v>55</v>
      </c>
      <c r="C270">
        <v>9</v>
      </c>
      <c r="D270">
        <v>2</v>
      </c>
      <c r="E270">
        <f t="shared" si="181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P270">
        <f t="shared" si="185"/>
        <v>42.992393863203567</v>
      </c>
      <c r="Q270">
        <f t="shared" si="186"/>
        <v>524.35400980297993</v>
      </c>
      <c r="R270">
        <f t="shared" si="187"/>
        <v>1260.1634458134583</v>
      </c>
      <c r="S270">
        <f t="shared" si="188"/>
        <v>3339.4331314056644</v>
      </c>
      <c r="T270">
        <v>43</v>
      </c>
      <c r="U270">
        <v>0.48</v>
      </c>
      <c r="V270">
        <v>0</v>
      </c>
    </row>
    <row r="271" spans="1:27" x14ac:dyDescent="0.25">
      <c r="A271" t="s">
        <v>54</v>
      </c>
      <c r="B271" t="s">
        <v>55</v>
      </c>
      <c r="C271">
        <v>10</v>
      </c>
      <c r="D271">
        <v>2</v>
      </c>
      <c r="E271">
        <f t="shared" si="181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P271">
        <f t="shared" si="185"/>
        <v>42.997087664330891</v>
      </c>
      <c r="Q271">
        <f t="shared" si="186"/>
        <v>524.51431896899282</v>
      </c>
      <c r="R271">
        <f t="shared" si="187"/>
        <v>1260.5487117735947</v>
      </c>
      <c r="S271">
        <f t="shared" si="188"/>
        <v>3340.4540862000258</v>
      </c>
      <c r="T271">
        <v>43</v>
      </c>
      <c r="U271">
        <v>0.48</v>
      </c>
      <c r="V271">
        <v>0</v>
      </c>
    </row>
    <row r="272" spans="1:27" x14ac:dyDescent="0.25">
      <c r="A272" t="s">
        <v>56</v>
      </c>
      <c r="B272" t="s">
        <v>57</v>
      </c>
      <c r="C272">
        <v>1</v>
      </c>
      <c r="D272">
        <v>2</v>
      </c>
      <c r="E272">
        <f t="shared" si="181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P272">
        <f>122*(1-EXP(-0.107*(E272)))</f>
        <v>23.503497027232861</v>
      </c>
      <c r="Q272">
        <f t="shared" ref="Q272" si="189">L272*(P272^M272)</f>
        <v>44.509294570370933</v>
      </c>
      <c r="R272">
        <f t="shared" ref="R272" si="190">Q272/20/5.7/3.65*1000</f>
        <v>106.96778315397964</v>
      </c>
      <c r="S272">
        <f t="shared" ref="S272" si="191">R272*2.65</f>
        <v>283.46462535804602</v>
      </c>
      <c r="T272">
        <v>122</v>
      </c>
      <c r="U272">
        <v>0.107</v>
      </c>
      <c r="V272">
        <v>0</v>
      </c>
      <c r="X272" t="s">
        <v>207</v>
      </c>
    </row>
    <row r="273" spans="1:28" x14ac:dyDescent="0.25">
      <c r="A273" t="s">
        <v>56</v>
      </c>
      <c r="B273" t="s">
        <v>57</v>
      </c>
      <c r="C273">
        <v>2</v>
      </c>
      <c r="D273">
        <v>2</v>
      </c>
      <c r="E273">
        <f t="shared" si="181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P273">
        <f t="shared" ref="P273:P281" si="192">122*(1-EXP(-0.107*(E273)))</f>
        <v>42.479007394554699</v>
      </c>
      <c r="Q273">
        <f t="shared" ref="Q273:Q281" si="193">L273*(P273^M273)</f>
        <v>278.79213955595611</v>
      </c>
      <c r="R273">
        <f t="shared" ref="R273:R281" si="194">Q273/20/5.7/3.65*1000</f>
        <v>670.01235173265104</v>
      </c>
      <c r="S273">
        <f t="shared" ref="S273:S281" si="195">R273*2.65</f>
        <v>1775.5327320915253</v>
      </c>
      <c r="T273">
        <v>122</v>
      </c>
      <c r="U273">
        <v>0.107</v>
      </c>
      <c r="V273">
        <v>0</v>
      </c>
    </row>
    <row r="274" spans="1:28" x14ac:dyDescent="0.25">
      <c r="A274" t="s">
        <v>56</v>
      </c>
      <c r="B274" t="s">
        <v>57</v>
      </c>
      <c r="C274">
        <v>3</v>
      </c>
      <c r="D274">
        <v>2</v>
      </c>
      <c r="E274">
        <f t="shared" si="181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P274">
        <f t="shared" si="192"/>
        <v>57.798855044593147</v>
      </c>
      <c r="Q274">
        <f t="shared" si="193"/>
        <v>724.25189217385025</v>
      </c>
      <c r="R274">
        <f t="shared" si="194"/>
        <v>1740.5717187547471</v>
      </c>
      <c r="S274">
        <f t="shared" si="195"/>
        <v>4612.5150547000794</v>
      </c>
      <c r="T274">
        <v>122</v>
      </c>
      <c r="U274">
        <v>0.107</v>
      </c>
      <c r="V274">
        <v>0</v>
      </c>
    </row>
    <row r="275" spans="1:28" x14ac:dyDescent="0.25">
      <c r="A275" t="s">
        <v>56</v>
      </c>
      <c r="B275" t="s">
        <v>57</v>
      </c>
      <c r="C275">
        <v>4</v>
      </c>
      <c r="D275">
        <v>2</v>
      </c>
      <c r="E275">
        <f t="shared" si="181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P275">
        <f t="shared" si="192"/>
        <v>70.167309303645197</v>
      </c>
      <c r="Q275">
        <f t="shared" si="193"/>
        <v>1321.167738131739</v>
      </c>
      <c r="R275">
        <f t="shared" si="194"/>
        <v>3175.1207357167482</v>
      </c>
      <c r="S275">
        <f t="shared" si="195"/>
        <v>8414.0699496493817</v>
      </c>
      <c r="T275">
        <v>122</v>
      </c>
      <c r="U275">
        <v>0.107</v>
      </c>
      <c r="V275">
        <v>0</v>
      </c>
    </row>
    <row r="276" spans="1:28" x14ac:dyDescent="0.25">
      <c r="A276" t="s">
        <v>56</v>
      </c>
      <c r="B276" t="s">
        <v>57</v>
      </c>
      <c r="C276">
        <v>5</v>
      </c>
      <c r="D276">
        <v>2</v>
      </c>
      <c r="E276">
        <f t="shared" si="181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P276">
        <f t="shared" si="192"/>
        <v>80.152960874917795</v>
      </c>
      <c r="Q276">
        <f t="shared" si="193"/>
        <v>1995.6789455852456</v>
      </c>
      <c r="R276">
        <f t="shared" si="194"/>
        <v>4796.1522364461562</v>
      </c>
      <c r="S276">
        <f t="shared" si="195"/>
        <v>12709.803426582313</v>
      </c>
      <c r="T276">
        <v>122</v>
      </c>
      <c r="U276">
        <v>0.107</v>
      </c>
      <c r="V276">
        <v>0</v>
      </c>
    </row>
    <row r="277" spans="1:28" x14ac:dyDescent="0.25">
      <c r="A277" t="s">
        <v>56</v>
      </c>
      <c r="B277" t="s">
        <v>57</v>
      </c>
      <c r="C277">
        <v>6</v>
      </c>
      <c r="D277">
        <v>2</v>
      </c>
      <c r="E277">
        <f t="shared" si="181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P277">
        <f t="shared" si="192"/>
        <v>88.21486054438391</v>
      </c>
      <c r="Q277">
        <f t="shared" si="193"/>
        <v>2686.083069958217</v>
      </c>
      <c r="R277">
        <f t="shared" si="194"/>
        <v>6455.3786829084756</v>
      </c>
      <c r="S277">
        <f t="shared" si="195"/>
        <v>17106.753509707461</v>
      </c>
      <c r="T277">
        <v>122</v>
      </c>
      <c r="U277">
        <v>0.107</v>
      </c>
      <c r="V277">
        <v>0</v>
      </c>
    </row>
    <row r="278" spans="1:28" x14ac:dyDescent="0.25">
      <c r="A278" t="s">
        <v>56</v>
      </c>
      <c r="B278" t="s">
        <v>57</v>
      </c>
      <c r="C278">
        <v>7</v>
      </c>
      <c r="D278">
        <v>2</v>
      </c>
      <c r="E278">
        <f t="shared" si="181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P278">
        <f t="shared" si="192"/>
        <v>94.723622222742279</v>
      </c>
      <c r="Q278">
        <f t="shared" si="193"/>
        <v>3349.351518115423</v>
      </c>
      <c r="R278">
        <f t="shared" si="194"/>
        <v>8049.3908149853951</v>
      </c>
      <c r="S278">
        <f t="shared" si="195"/>
        <v>21330.885659711297</v>
      </c>
      <c r="T278">
        <v>122</v>
      </c>
      <c r="U278">
        <v>0.107</v>
      </c>
      <c r="V278">
        <v>0</v>
      </c>
    </row>
    <row r="279" spans="1:28" x14ac:dyDescent="0.25">
      <c r="A279" t="s">
        <v>56</v>
      </c>
      <c r="B279" t="s">
        <v>57</v>
      </c>
      <c r="C279">
        <v>8</v>
      </c>
      <c r="D279">
        <v>2</v>
      </c>
      <c r="E279">
        <f t="shared" si="181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P279">
        <f t="shared" si="192"/>
        <v>99.978460452262411</v>
      </c>
      <c r="Q279">
        <f t="shared" si="193"/>
        <v>3959.5878935679457</v>
      </c>
      <c r="R279">
        <f t="shared" si="194"/>
        <v>9515.9526401536805</v>
      </c>
      <c r="S279">
        <f t="shared" si="195"/>
        <v>25217.274496407252</v>
      </c>
      <c r="T279">
        <v>122</v>
      </c>
      <c r="U279">
        <v>0.107</v>
      </c>
      <c r="V279">
        <v>0</v>
      </c>
    </row>
    <row r="280" spans="1:28" x14ac:dyDescent="0.25">
      <c r="A280" t="s">
        <v>56</v>
      </c>
      <c r="B280" t="s">
        <v>57</v>
      </c>
      <c r="C280">
        <v>9</v>
      </c>
      <c r="D280">
        <v>2</v>
      </c>
      <c r="E280">
        <f t="shared" si="181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P280">
        <f t="shared" si="192"/>
        <v>104.22094561042094</v>
      </c>
      <c r="Q280">
        <f t="shared" si="193"/>
        <v>4504.0223547646438</v>
      </c>
      <c r="R280">
        <f t="shared" si="194"/>
        <v>10824.374801164729</v>
      </c>
      <c r="S280">
        <f t="shared" si="195"/>
        <v>28684.593223086533</v>
      </c>
      <c r="T280">
        <v>122</v>
      </c>
      <c r="U280">
        <v>0.107</v>
      </c>
      <c r="V280">
        <v>0</v>
      </c>
      <c r="Z280" s="3" t="s">
        <v>517</v>
      </c>
      <c r="AA280" s="3" t="s">
        <v>517</v>
      </c>
    </row>
    <row r="281" spans="1:28" x14ac:dyDescent="0.25">
      <c r="A281" t="s">
        <v>56</v>
      </c>
      <c r="B281" t="s">
        <v>57</v>
      </c>
      <c r="C281">
        <v>10</v>
      </c>
      <c r="D281">
        <v>2</v>
      </c>
      <c r="E281">
        <f t="shared" si="181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P281">
        <f t="shared" si="192"/>
        <v>107.64610915134294</v>
      </c>
      <c r="Q281">
        <f t="shared" si="193"/>
        <v>4978.9166181902556</v>
      </c>
      <c r="R281">
        <f t="shared" si="194"/>
        <v>11965.673199207537</v>
      </c>
      <c r="S281">
        <f t="shared" si="195"/>
        <v>31709.03397789997</v>
      </c>
      <c r="T281">
        <v>122</v>
      </c>
      <c r="U281">
        <v>0.107</v>
      </c>
      <c r="V281">
        <v>0</v>
      </c>
      <c r="X281" t="s">
        <v>514</v>
      </c>
      <c r="Y281" t="s">
        <v>511</v>
      </c>
      <c r="Z281" t="s">
        <v>512</v>
      </c>
      <c r="AA281" t="s">
        <v>513</v>
      </c>
    </row>
    <row r="282" spans="1:28" x14ac:dyDescent="0.25">
      <c r="A282" t="s">
        <v>58</v>
      </c>
      <c r="B282" t="s">
        <v>59</v>
      </c>
      <c r="C282">
        <v>1</v>
      </c>
      <c r="D282">
        <v>3</v>
      </c>
      <c r="E282">
        <f t="shared" si="181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P282" s="3">
        <f>T282*(1-EXP(-U282*(E282)))</f>
        <v>161.90511271394621</v>
      </c>
      <c r="Q282" s="3">
        <f t="shared" ref="Q282" si="196">L282*(P282^M282)</f>
        <v>89314.850985500641</v>
      </c>
      <c r="R282" s="3">
        <f t="shared" ref="R282" si="197">Q282/20/5.7/3.65*1000</f>
        <v>214647.56305095079</v>
      </c>
      <c r="S282" s="3">
        <f t="shared" ref="S282" si="198">R282*2.65</f>
        <v>568816.04208501952</v>
      </c>
      <c r="T282">
        <f>$AB$283*100</f>
        <v>208.40700000000004</v>
      </c>
      <c r="U282">
        <v>0.5</v>
      </c>
      <c r="V282">
        <v>0</v>
      </c>
      <c r="W282" t="s">
        <v>442</v>
      </c>
      <c r="X282">
        <f>AVERAGE(550,88)*0.453592</f>
        <v>144.69584800000001</v>
      </c>
      <c r="Y282">
        <f>AVERAGE(180,285)*0.45392</f>
        <v>105.5364</v>
      </c>
      <c r="Z282">
        <f>610*0.453592</f>
        <v>276.69112000000001</v>
      </c>
      <c r="AA282">
        <f>300*0.453592</f>
        <v>136.07759999999999</v>
      </c>
      <c r="AB282">
        <f>AVERAGE(X282:AA282)</f>
        <v>165.75024199999999</v>
      </c>
    </row>
    <row r="283" spans="1:28" x14ac:dyDescent="0.25">
      <c r="A283" t="s">
        <v>58</v>
      </c>
      <c r="B283" t="s">
        <v>59</v>
      </c>
      <c r="C283">
        <v>2</v>
      </c>
      <c r="D283">
        <v>3</v>
      </c>
      <c r="E283">
        <f t="shared" si="181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P283" s="3">
        <f t="shared" ref="P283:P291" si="199">T283*(1-EXP(-U283*(E283)))</f>
        <v>198.03102644265863</v>
      </c>
      <c r="Q283" s="3">
        <f t="shared" ref="Q283:Q291" si="200">L283*(P283^M283)</f>
        <v>160174.89061800367</v>
      </c>
      <c r="R283" s="3">
        <f t="shared" ref="R283:R291" si="201">Q283/20/5.7/3.65*1000</f>
        <v>384943.26031724026</v>
      </c>
      <c r="S283" s="3">
        <f t="shared" ref="S283:S291" si="202">R283*2.65</f>
        <v>1020099.6398406867</v>
      </c>
      <c r="T283">
        <f t="shared" ref="T283:T291" si="203">$AB$283*100</f>
        <v>208.40700000000004</v>
      </c>
      <c r="U283">
        <v>0.5</v>
      </c>
      <c r="V283">
        <v>0</v>
      </c>
      <c r="W283" t="s">
        <v>443</v>
      </c>
      <c r="X283">
        <f>AVERAGE(7.5, 10)*0.3048</f>
        <v>2.6670000000000003</v>
      </c>
      <c r="Y283">
        <f>5.5*0.3048</f>
        <v>1.6764000000000001</v>
      </c>
      <c r="Z283">
        <f>7.6*0.3048</f>
        <v>2.3164799999999999</v>
      </c>
      <c r="AA283">
        <f>5.5*0.3048</f>
        <v>1.6764000000000001</v>
      </c>
      <c r="AB283">
        <f>AVERAGE(X283:AA283)</f>
        <v>2.0840700000000005</v>
      </c>
    </row>
    <row r="284" spans="1:28" x14ac:dyDescent="0.25">
      <c r="A284" t="s">
        <v>58</v>
      </c>
      <c r="B284" t="s">
        <v>59</v>
      </c>
      <c r="C284">
        <v>3</v>
      </c>
      <c r="D284">
        <v>3</v>
      </c>
      <c r="E284">
        <f t="shared" si="181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P284" s="3">
        <f t="shared" si="199"/>
        <v>206.09180735845459</v>
      </c>
      <c r="Q284" s="3">
        <f t="shared" si="200"/>
        <v>179822.55134623504</v>
      </c>
      <c r="R284" s="3">
        <f t="shared" si="201"/>
        <v>432161.86336514069</v>
      </c>
      <c r="S284" s="3">
        <f t="shared" si="202"/>
        <v>1145228.9379176227</v>
      </c>
      <c r="T284">
        <f t="shared" si="203"/>
        <v>208.40700000000004</v>
      </c>
      <c r="U284">
        <v>0.5</v>
      </c>
      <c r="V284">
        <v>0</v>
      </c>
      <c r="W284" t="s">
        <v>447</v>
      </c>
      <c r="X284">
        <v>30</v>
      </c>
      <c r="Y284">
        <v>30</v>
      </c>
    </row>
    <row r="285" spans="1:28" x14ac:dyDescent="0.25">
      <c r="A285" t="s">
        <v>58</v>
      </c>
      <c r="B285" t="s">
        <v>59</v>
      </c>
      <c r="C285">
        <v>4</v>
      </c>
      <c r="D285">
        <v>3</v>
      </c>
      <c r="E285">
        <f t="shared" si="181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P285" s="3">
        <f t="shared" si="199"/>
        <v>207.89041069511754</v>
      </c>
      <c r="Q285" s="3">
        <f t="shared" si="200"/>
        <v>184411.48720093153</v>
      </c>
      <c r="R285" s="3">
        <f t="shared" si="201"/>
        <v>443190.30810125335</v>
      </c>
      <c r="S285" s="3">
        <f t="shared" si="202"/>
        <v>1174454.3164683213</v>
      </c>
      <c r="T285">
        <f t="shared" si="203"/>
        <v>208.40700000000004</v>
      </c>
      <c r="U285">
        <v>0.5</v>
      </c>
      <c r="V285">
        <v>0</v>
      </c>
      <c r="W285" t="s">
        <v>444</v>
      </c>
      <c r="X285">
        <f>35*0.453592</f>
        <v>15.875719999999999</v>
      </c>
      <c r="Y285">
        <f>24*0.453592</f>
        <v>10.886208</v>
      </c>
    </row>
    <row r="286" spans="1:28" x14ac:dyDescent="0.25">
      <c r="A286" t="s">
        <v>58</v>
      </c>
      <c r="B286" t="s">
        <v>59</v>
      </c>
      <c r="C286">
        <v>5</v>
      </c>
      <c r="D286">
        <v>3</v>
      </c>
      <c r="E286">
        <f t="shared" si="181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P286" s="3">
        <f t="shared" si="199"/>
        <v>208.29173334567065</v>
      </c>
      <c r="Q286" s="3">
        <f t="shared" si="200"/>
        <v>185445.77494766185</v>
      </c>
      <c r="R286" s="3">
        <f t="shared" si="201"/>
        <v>445675.97920610878</v>
      </c>
      <c r="S286" s="3">
        <f t="shared" si="202"/>
        <v>1181041.3448961882</v>
      </c>
      <c r="T286">
        <f t="shared" si="203"/>
        <v>208.40700000000004</v>
      </c>
      <c r="U286">
        <v>0.5</v>
      </c>
      <c r="V286">
        <v>0</v>
      </c>
      <c r="W286" t="s">
        <v>445</v>
      </c>
    </row>
    <row r="287" spans="1:28" x14ac:dyDescent="0.25">
      <c r="A287" t="s">
        <v>58</v>
      </c>
      <c r="B287" t="s">
        <v>59</v>
      </c>
      <c r="C287">
        <v>6</v>
      </c>
      <c r="D287">
        <v>3</v>
      </c>
      <c r="E287">
        <f t="shared" si="181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P287" s="3">
        <f t="shared" si="199"/>
        <v>208.38128053295975</v>
      </c>
      <c r="Q287" s="3">
        <f t="shared" si="200"/>
        <v>185677.07312783782</v>
      </c>
      <c r="R287" s="3">
        <f t="shared" si="201"/>
        <v>446231.85082393134</v>
      </c>
      <c r="S287" s="3">
        <f t="shared" si="202"/>
        <v>1182514.4046834181</v>
      </c>
      <c r="T287">
        <f t="shared" si="203"/>
        <v>208.40700000000004</v>
      </c>
      <c r="U287">
        <v>0.5</v>
      </c>
      <c r="V287">
        <v>0</v>
      </c>
      <c r="W287" t="s">
        <v>441</v>
      </c>
    </row>
    <row r="288" spans="1:28" x14ac:dyDescent="0.25">
      <c r="A288" t="s">
        <v>58</v>
      </c>
      <c r="B288" t="s">
        <v>59</v>
      </c>
      <c r="C288">
        <v>7</v>
      </c>
      <c r="D288">
        <v>3</v>
      </c>
      <c r="E288">
        <f t="shared" si="181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P288" s="3">
        <f t="shared" si="199"/>
        <v>208.40126121120042</v>
      </c>
      <c r="Q288" s="3">
        <f t="shared" si="200"/>
        <v>185728.70850609665</v>
      </c>
      <c r="R288" s="3">
        <f t="shared" si="201"/>
        <v>446355.94449915079</v>
      </c>
      <c r="S288" s="3">
        <f t="shared" si="202"/>
        <v>1182843.2529227496</v>
      </c>
      <c r="T288">
        <f t="shared" si="203"/>
        <v>208.40700000000004</v>
      </c>
      <c r="U288">
        <v>0.5</v>
      </c>
      <c r="V288">
        <v>0</v>
      </c>
      <c r="W288" t="s">
        <v>279</v>
      </c>
      <c r="X288" s="5" t="s">
        <v>515</v>
      </c>
      <c r="Y288" s="5" t="s">
        <v>516</v>
      </c>
      <c r="Z288" s="5" t="s">
        <v>518</v>
      </c>
    </row>
    <row r="289" spans="1:25" x14ac:dyDescent="0.25">
      <c r="A289" t="s">
        <v>58</v>
      </c>
      <c r="B289" t="s">
        <v>59</v>
      </c>
      <c r="C289">
        <v>8</v>
      </c>
      <c r="D289">
        <v>3</v>
      </c>
      <c r="E289">
        <f t="shared" si="181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P289" s="3">
        <f t="shared" si="199"/>
        <v>208.40571950313611</v>
      </c>
      <c r="Q289" s="3">
        <f t="shared" si="200"/>
        <v>185740.23119995178</v>
      </c>
      <c r="R289" s="3">
        <f t="shared" si="201"/>
        <v>446383.63662569522</v>
      </c>
      <c r="S289" s="3">
        <f t="shared" si="202"/>
        <v>1182916.6370580923</v>
      </c>
      <c r="T289">
        <f t="shared" si="203"/>
        <v>208.40700000000004</v>
      </c>
      <c r="U289">
        <v>0.5</v>
      </c>
      <c r="V289">
        <v>0</v>
      </c>
      <c r="W289" t="s">
        <v>448</v>
      </c>
      <c r="X289">
        <v>11</v>
      </c>
      <c r="Y289">
        <v>10</v>
      </c>
    </row>
    <row r="290" spans="1:25" x14ac:dyDescent="0.25">
      <c r="A290" t="s">
        <v>58</v>
      </c>
      <c r="B290" t="s">
        <v>59</v>
      </c>
      <c r="C290">
        <v>9</v>
      </c>
      <c r="D290">
        <v>3</v>
      </c>
      <c r="E290">
        <f t="shared" si="181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P290" s="3">
        <f t="shared" si="199"/>
        <v>208.40671428252972</v>
      </c>
      <c r="Q290" s="3">
        <f t="shared" si="200"/>
        <v>185742.80232438823</v>
      </c>
      <c r="R290" s="3">
        <f t="shared" si="201"/>
        <v>446389.81572792178</v>
      </c>
      <c r="S290" s="3">
        <f t="shared" si="202"/>
        <v>1182933.0116789928</v>
      </c>
      <c r="T290">
        <f t="shared" si="203"/>
        <v>208.40700000000004</v>
      </c>
      <c r="U290">
        <v>0.5</v>
      </c>
      <c r="V290">
        <v>0</v>
      </c>
      <c r="W290" t="s">
        <v>449</v>
      </c>
      <c r="Y290">
        <v>5</v>
      </c>
    </row>
    <row r="291" spans="1:25" x14ac:dyDescent="0.25">
      <c r="A291" t="s">
        <v>58</v>
      </c>
      <c r="B291" t="s">
        <v>59</v>
      </c>
      <c r="C291">
        <v>10</v>
      </c>
      <c r="D291">
        <v>3</v>
      </c>
      <c r="E291">
        <f t="shared" si="181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P291" s="3">
        <f t="shared" si="199"/>
        <v>208.40693624781514</v>
      </c>
      <c r="Q291" s="3">
        <f t="shared" si="200"/>
        <v>185743.37602297723</v>
      </c>
      <c r="R291" s="3">
        <f t="shared" si="201"/>
        <v>446391.19447963766</v>
      </c>
      <c r="S291" s="3">
        <f t="shared" si="202"/>
        <v>1182936.6653710399</v>
      </c>
      <c r="T291">
        <f t="shared" si="203"/>
        <v>208.40700000000004</v>
      </c>
      <c r="U291">
        <v>0.5</v>
      </c>
      <c r="V291">
        <v>0</v>
      </c>
      <c r="W291" t="s">
        <v>450</v>
      </c>
      <c r="X291">
        <f>3/52</f>
        <v>5.7692307692307696E-2</v>
      </c>
      <c r="Y291">
        <f>6/52</f>
        <v>0.11538461538461539</v>
      </c>
    </row>
    <row r="292" spans="1:25" x14ac:dyDescent="0.25">
      <c r="A292" t="s">
        <v>60</v>
      </c>
      <c r="B292" t="s">
        <v>61</v>
      </c>
      <c r="C292">
        <v>1</v>
      </c>
      <c r="D292">
        <v>2</v>
      </c>
      <c r="E292">
        <f t="shared" si="181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1.24E-2</v>
      </c>
      <c r="M292">
        <v>3.2</v>
      </c>
      <c r="N292">
        <v>20.58566939</v>
      </c>
      <c r="P292">
        <f>59.9*(1-EXP(-0.17*(E292)))</f>
        <v>17.264957666519681</v>
      </c>
      <c r="Q292">
        <f t="shared" ref="Q292" si="204">L292*(P292^M292)</f>
        <v>112.81097224050215</v>
      </c>
      <c r="R292">
        <f t="shared" ref="R292" si="205">Q292/20/5.7/3.65*1000</f>
        <v>271.11504984499436</v>
      </c>
      <c r="S292">
        <f t="shared" ref="S292" si="206">R292*2.65</f>
        <v>718.45488208923507</v>
      </c>
      <c r="T292">
        <v>59.9</v>
      </c>
      <c r="U292">
        <v>0.17</v>
      </c>
      <c r="V292">
        <v>0</v>
      </c>
      <c r="X292" t="s">
        <v>206</v>
      </c>
    </row>
    <row r="293" spans="1:25" x14ac:dyDescent="0.25">
      <c r="A293" t="s">
        <v>60</v>
      </c>
      <c r="B293" t="s">
        <v>61</v>
      </c>
      <c r="C293">
        <v>2</v>
      </c>
      <c r="D293">
        <v>2</v>
      </c>
      <c r="E293">
        <f t="shared" si="181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1.24E-2</v>
      </c>
      <c r="M293">
        <v>3.2</v>
      </c>
      <c r="N293">
        <v>26.966869200000001</v>
      </c>
      <c r="P293">
        <f t="shared" ref="P293:P301" si="207">59.9*(1-EXP(-0.17*(E293)))</f>
        <v>29.553642157301187</v>
      </c>
      <c r="Q293">
        <f t="shared" ref="Q293:Q301" si="208">L293*(P293^M293)</f>
        <v>630.05276044964933</v>
      </c>
      <c r="R293">
        <f t="shared" ref="R293:R301" si="209">Q293/20/5.7/3.65*1000</f>
        <v>1514.1859179275398</v>
      </c>
      <c r="S293">
        <f t="shared" ref="S293:S301" si="210">R293*2.65</f>
        <v>4012.5926825079805</v>
      </c>
      <c r="T293">
        <v>59.9</v>
      </c>
      <c r="U293">
        <v>0.17</v>
      </c>
      <c r="V293">
        <v>0</v>
      </c>
    </row>
    <row r="294" spans="1:25" x14ac:dyDescent="0.25">
      <c r="A294" t="s">
        <v>60</v>
      </c>
      <c r="B294" t="s">
        <v>61</v>
      </c>
      <c r="C294">
        <v>3</v>
      </c>
      <c r="D294">
        <v>2</v>
      </c>
      <c r="E294">
        <f t="shared" si="181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1.24E-2</v>
      </c>
      <c r="M294">
        <v>3.2</v>
      </c>
      <c r="N294">
        <v>29.76376634</v>
      </c>
      <c r="P294">
        <f t="shared" si="207"/>
        <v>38.300363083632604</v>
      </c>
      <c r="Q294">
        <f t="shared" si="208"/>
        <v>1444.3449807438262</v>
      </c>
      <c r="R294">
        <f t="shared" si="209"/>
        <v>3471.1487160389961</v>
      </c>
      <c r="S294">
        <f t="shared" si="210"/>
        <v>9198.5440975033398</v>
      </c>
      <c r="T294">
        <v>59.9</v>
      </c>
      <c r="U294">
        <v>0.17</v>
      </c>
      <c r="V294">
        <v>0</v>
      </c>
    </row>
    <row r="295" spans="1:25" x14ac:dyDescent="0.25">
      <c r="A295" t="s">
        <v>60</v>
      </c>
      <c r="B295" t="s">
        <v>61</v>
      </c>
      <c r="C295">
        <v>4</v>
      </c>
      <c r="D295">
        <v>2</v>
      </c>
      <c r="E295">
        <f t="shared" si="181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1.24E-2</v>
      </c>
      <c r="M295">
        <v>3.2</v>
      </c>
      <c r="N295">
        <v>32.71181739</v>
      </c>
      <c r="P295">
        <f t="shared" si="207"/>
        <v>44.526019460482004</v>
      </c>
      <c r="Q295">
        <f t="shared" si="208"/>
        <v>2338.7622478785088</v>
      </c>
      <c r="R295">
        <f t="shared" si="209"/>
        <v>5620.6735108832218</v>
      </c>
      <c r="S295">
        <f t="shared" si="210"/>
        <v>14894.784803840537</v>
      </c>
      <c r="T295">
        <v>59.9</v>
      </c>
      <c r="U295">
        <v>0.17</v>
      </c>
      <c r="V295">
        <v>0</v>
      </c>
    </row>
    <row r="296" spans="1:25" x14ac:dyDescent="0.25">
      <c r="A296" t="s">
        <v>60</v>
      </c>
      <c r="B296" t="s">
        <v>61</v>
      </c>
      <c r="C296">
        <v>5</v>
      </c>
      <c r="D296">
        <v>2</v>
      </c>
      <c r="E296">
        <f t="shared" si="181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1.24E-2</v>
      </c>
      <c r="M296">
        <v>3.2</v>
      </c>
      <c r="N296">
        <v>35.147648340000003</v>
      </c>
      <c r="P296">
        <f t="shared" si="207"/>
        <v>48.957256909241195</v>
      </c>
      <c r="Q296">
        <f t="shared" si="208"/>
        <v>3168.3731836991446</v>
      </c>
      <c r="R296">
        <f t="shared" si="209"/>
        <v>7614.4512946386549</v>
      </c>
      <c r="S296">
        <f t="shared" si="210"/>
        <v>20178.295930792436</v>
      </c>
      <c r="T296">
        <v>59.9</v>
      </c>
      <c r="U296">
        <v>0.17</v>
      </c>
      <c r="V296">
        <v>0</v>
      </c>
    </row>
    <row r="297" spans="1:25" x14ac:dyDescent="0.25">
      <c r="A297" t="s">
        <v>60</v>
      </c>
      <c r="B297" t="s">
        <v>61</v>
      </c>
      <c r="C297">
        <v>6</v>
      </c>
      <c r="D297">
        <v>2</v>
      </c>
      <c r="E297">
        <f t="shared" si="181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1.24E-2</v>
      </c>
      <c r="M297">
        <v>3.2</v>
      </c>
      <c r="N297">
        <v>36.285258810000002</v>
      </c>
      <c r="P297">
        <f t="shared" si="207"/>
        <v>52.111280218382284</v>
      </c>
      <c r="Q297">
        <f t="shared" si="208"/>
        <v>3869.0403727461671</v>
      </c>
      <c r="R297">
        <f t="shared" si="209"/>
        <v>9298.3426405819919</v>
      </c>
      <c r="S297">
        <f t="shared" si="210"/>
        <v>24640.607997542276</v>
      </c>
      <c r="T297">
        <v>59.9</v>
      </c>
      <c r="U297">
        <v>0.17</v>
      </c>
      <c r="V297">
        <v>0</v>
      </c>
    </row>
    <row r="298" spans="1:25" x14ac:dyDescent="0.25">
      <c r="A298" t="s">
        <v>60</v>
      </c>
      <c r="B298" t="s">
        <v>61</v>
      </c>
      <c r="C298">
        <v>7</v>
      </c>
      <c r="D298">
        <v>2</v>
      </c>
      <c r="E298">
        <f t="shared" si="181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1.24E-2</v>
      </c>
      <c r="M298">
        <v>3.2</v>
      </c>
      <c r="N298">
        <v>38.211926839999997</v>
      </c>
      <c r="P298">
        <f t="shared" si="207"/>
        <v>54.356220407130436</v>
      </c>
      <c r="Q298">
        <f t="shared" si="208"/>
        <v>4428.1190491805937</v>
      </c>
      <c r="R298">
        <f t="shared" si="209"/>
        <v>10641.958781976915</v>
      </c>
      <c r="S298">
        <f t="shared" si="210"/>
        <v>28201.190772238824</v>
      </c>
      <c r="T298">
        <v>59.9</v>
      </c>
      <c r="U298">
        <v>0.17</v>
      </c>
      <c r="V298">
        <v>0</v>
      </c>
    </row>
    <row r="299" spans="1:25" x14ac:dyDescent="0.25">
      <c r="A299" t="s">
        <v>60</v>
      </c>
      <c r="B299" t="s">
        <v>61</v>
      </c>
      <c r="C299">
        <v>8</v>
      </c>
      <c r="D299">
        <v>2</v>
      </c>
      <c r="E299">
        <f t="shared" si="181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1.24E-2</v>
      </c>
      <c r="M299">
        <v>3.2</v>
      </c>
      <c r="N299">
        <v>39.944639459999998</v>
      </c>
      <c r="P299">
        <f t="shared" si="207"/>
        <v>55.954102209858462</v>
      </c>
      <c r="Q299">
        <f t="shared" si="208"/>
        <v>4858.2948320605747</v>
      </c>
      <c r="R299">
        <f t="shared" si="209"/>
        <v>11675.786666812244</v>
      </c>
      <c r="S299">
        <f t="shared" si="210"/>
        <v>30940.834667052448</v>
      </c>
      <c r="T299">
        <v>59.9</v>
      </c>
      <c r="U299">
        <v>0.17</v>
      </c>
      <c r="V299">
        <v>0</v>
      </c>
    </row>
    <row r="300" spans="1:25" x14ac:dyDescent="0.25">
      <c r="A300" t="s">
        <v>60</v>
      </c>
      <c r="B300" t="s">
        <v>61</v>
      </c>
      <c r="C300">
        <v>9</v>
      </c>
      <c r="D300">
        <v>2</v>
      </c>
      <c r="E300">
        <f t="shared" si="181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1.24E-2</v>
      </c>
      <c r="M300">
        <v>3.2</v>
      </c>
      <c r="N300">
        <v>40.375415799999999</v>
      </c>
      <c r="P300">
        <f t="shared" si="207"/>
        <v>57.091427056322686</v>
      </c>
      <c r="Q300">
        <f t="shared" si="208"/>
        <v>5181.4171851236815</v>
      </c>
      <c r="R300">
        <f t="shared" si="209"/>
        <v>12452.336421830525</v>
      </c>
      <c r="S300">
        <f t="shared" si="210"/>
        <v>32998.691517850893</v>
      </c>
      <c r="T300">
        <v>59.9</v>
      </c>
      <c r="U300">
        <v>0.17</v>
      </c>
      <c r="V300">
        <v>0</v>
      </c>
    </row>
    <row r="301" spans="1:25" x14ac:dyDescent="0.25">
      <c r="A301" t="s">
        <v>60</v>
      </c>
      <c r="B301" t="s">
        <v>61</v>
      </c>
      <c r="C301">
        <v>10</v>
      </c>
      <c r="D301">
        <v>2</v>
      </c>
      <c r="E301">
        <f t="shared" si="181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1.24E-2</v>
      </c>
      <c r="M301">
        <v>3.2</v>
      </c>
      <c r="N301">
        <v>41.169731259999999</v>
      </c>
      <c r="P301">
        <f t="shared" si="207"/>
        <v>57.90094112937647</v>
      </c>
      <c r="Q301">
        <f t="shared" si="208"/>
        <v>5420.2045735432685</v>
      </c>
      <c r="R301">
        <f t="shared" si="209"/>
        <v>13026.206617503649</v>
      </c>
      <c r="S301">
        <f t="shared" si="210"/>
        <v>34519.447536384665</v>
      </c>
      <c r="T301">
        <v>59.9</v>
      </c>
      <c r="U301">
        <v>0.17</v>
      </c>
      <c r="V301">
        <v>0</v>
      </c>
    </row>
    <row r="302" spans="1:25" x14ac:dyDescent="0.25">
      <c r="A302" t="s">
        <v>62</v>
      </c>
      <c r="B302" t="s">
        <v>63</v>
      </c>
      <c r="C302">
        <v>1</v>
      </c>
      <c r="D302">
        <v>2</v>
      </c>
      <c r="E302">
        <f t="shared" si="181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P302">
        <f>106*(1-EXP(-0.17*(E302)))</f>
        <v>30.552345787163375</v>
      </c>
      <c r="Q302">
        <f t="shared" ref="Q302" si="211">L302*(P302^M302)</f>
        <v>427.78439799613642</v>
      </c>
      <c r="R302">
        <f t="shared" ref="R302" si="212">Q302/20/5.7/3.65*1000</f>
        <v>1028.0807450039329</v>
      </c>
      <c r="S302">
        <f t="shared" ref="S302" si="213">R302*2.65</f>
        <v>2724.413974260422</v>
      </c>
      <c r="T302">
        <v>106</v>
      </c>
      <c r="U302">
        <v>0.17</v>
      </c>
      <c r="V302">
        <v>0</v>
      </c>
      <c r="X302" t="s">
        <v>210</v>
      </c>
    </row>
    <row r="303" spans="1:25" x14ac:dyDescent="0.25">
      <c r="A303" t="s">
        <v>62</v>
      </c>
      <c r="B303" t="s">
        <v>63</v>
      </c>
      <c r="C303">
        <v>2</v>
      </c>
      <c r="D303">
        <v>2</v>
      </c>
      <c r="E303">
        <f t="shared" si="181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P303">
        <f t="shared" ref="P303:P311" si="214">106*(1-EXP(-0.17*(E303)))</f>
        <v>52.298598809247508</v>
      </c>
      <c r="Q303">
        <f t="shared" ref="Q303:Q311" si="215">L303*(P303^M303)</f>
        <v>2145.6625397832663</v>
      </c>
      <c r="R303">
        <f t="shared" ref="R303:R311" si="216">Q303/20/5.7/3.65*1000</f>
        <v>5156.6030756627415</v>
      </c>
      <c r="S303">
        <f t="shared" ref="S303:S311" si="217">R303*2.65</f>
        <v>13664.998150506264</v>
      </c>
      <c r="T303">
        <v>106</v>
      </c>
      <c r="U303">
        <v>0.17</v>
      </c>
      <c r="V303">
        <v>0</v>
      </c>
    </row>
    <row r="304" spans="1:25" x14ac:dyDescent="0.25">
      <c r="A304" t="s">
        <v>62</v>
      </c>
      <c r="B304" t="s">
        <v>63</v>
      </c>
      <c r="C304">
        <v>3</v>
      </c>
      <c r="D304">
        <v>2</v>
      </c>
      <c r="E304">
        <f t="shared" si="181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P304">
        <f t="shared" si="214"/>
        <v>67.776936341653695</v>
      </c>
      <c r="Q304">
        <f t="shared" si="215"/>
        <v>4670.2170051160647</v>
      </c>
      <c r="R304">
        <f t="shared" si="216"/>
        <v>11223.785160096286</v>
      </c>
      <c r="S304">
        <f t="shared" si="217"/>
        <v>29743.030674255155</v>
      </c>
      <c r="T304">
        <v>106</v>
      </c>
      <c r="U304">
        <v>0.17</v>
      </c>
      <c r="V304">
        <v>0</v>
      </c>
    </row>
    <row r="305" spans="1:24" x14ac:dyDescent="0.25">
      <c r="A305" t="s">
        <v>62</v>
      </c>
      <c r="B305" t="s">
        <v>63</v>
      </c>
      <c r="C305">
        <v>4</v>
      </c>
      <c r="D305">
        <v>2</v>
      </c>
      <c r="E305">
        <f t="shared" si="181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P305">
        <f t="shared" si="214"/>
        <v>78.79395764292309</v>
      </c>
      <c r="Q305">
        <f t="shared" si="215"/>
        <v>7337.8698250436855</v>
      </c>
      <c r="R305">
        <f t="shared" si="216"/>
        <v>17634.871004671197</v>
      </c>
      <c r="S305">
        <f t="shared" si="217"/>
        <v>46732.40816237867</v>
      </c>
      <c r="T305">
        <v>106</v>
      </c>
      <c r="U305">
        <v>0.17</v>
      </c>
      <c r="V305">
        <v>0</v>
      </c>
    </row>
    <row r="306" spans="1:24" x14ac:dyDescent="0.25">
      <c r="A306" t="s">
        <v>62</v>
      </c>
      <c r="B306" t="s">
        <v>63</v>
      </c>
      <c r="C306">
        <v>5</v>
      </c>
      <c r="D306">
        <v>2</v>
      </c>
      <c r="E306">
        <f t="shared" si="181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P306">
        <f t="shared" si="214"/>
        <v>86.635546450410132</v>
      </c>
      <c r="Q306">
        <f t="shared" si="215"/>
        <v>9753.9295879223046</v>
      </c>
      <c r="R306">
        <f t="shared" si="216"/>
        <v>23441.3111942377</v>
      </c>
      <c r="S306">
        <f t="shared" si="217"/>
        <v>62119.474664729903</v>
      </c>
      <c r="T306">
        <v>106</v>
      </c>
      <c r="U306">
        <v>0.17</v>
      </c>
      <c r="V306">
        <v>0</v>
      </c>
    </row>
    <row r="307" spans="1:24" x14ac:dyDescent="0.25">
      <c r="A307" t="s">
        <v>62</v>
      </c>
      <c r="B307" t="s">
        <v>63</v>
      </c>
      <c r="C307">
        <v>6</v>
      </c>
      <c r="D307">
        <v>2</v>
      </c>
      <c r="E307">
        <f t="shared" si="181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P307">
        <f t="shared" si="214"/>
        <v>92.216956646886857</v>
      </c>
      <c r="Q307">
        <f t="shared" si="215"/>
        <v>11763.149471421755</v>
      </c>
      <c r="R307">
        <f t="shared" si="216"/>
        <v>28270.005939489918</v>
      </c>
      <c r="S307">
        <f t="shared" si="217"/>
        <v>74915.515739648283</v>
      </c>
      <c r="T307">
        <v>106</v>
      </c>
      <c r="U307">
        <v>0.17</v>
      </c>
      <c r="V307">
        <v>0</v>
      </c>
    </row>
    <row r="308" spans="1:24" x14ac:dyDescent="0.25">
      <c r="A308" t="s">
        <v>62</v>
      </c>
      <c r="B308" t="s">
        <v>63</v>
      </c>
      <c r="C308">
        <v>7</v>
      </c>
      <c r="D308">
        <v>2</v>
      </c>
      <c r="E308">
        <f t="shared" si="181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P308">
        <f t="shared" si="214"/>
        <v>96.189638783903618</v>
      </c>
      <c r="Q308">
        <f t="shared" si="215"/>
        <v>13349.842458351146</v>
      </c>
      <c r="R308">
        <f t="shared" si="216"/>
        <v>32083.255127015491</v>
      </c>
      <c r="S308">
        <f t="shared" si="217"/>
        <v>85020.626086591044</v>
      </c>
      <c r="T308">
        <v>106</v>
      </c>
      <c r="U308">
        <v>0.17</v>
      </c>
      <c r="V308">
        <v>0</v>
      </c>
    </row>
    <row r="309" spans="1:24" x14ac:dyDescent="0.25">
      <c r="A309" t="s">
        <v>62</v>
      </c>
      <c r="B309" t="s">
        <v>63</v>
      </c>
      <c r="C309">
        <v>8</v>
      </c>
      <c r="D309">
        <v>2</v>
      </c>
      <c r="E309">
        <f t="shared" si="181"/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P309">
        <f t="shared" si="214"/>
        <v>99.017276030801298</v>
      </c>
      <c r="Q309">
        <f t="shared" si="215"/>
        <v>14562.105836726927</v>
      </c>
      <c r="R309">
        <f t="shared" si="216"/>
        <v>34996.649451398531</v>
      </c>
      <c r="S309">
        <f t="shared" si="217"/>
        <v>92741.121046206099</v>
      </c>
      <c r="T309">
        <v>106</v>
      </c>
      <c r="U309">
        <v>0.17</v>
      </c>
      <c r="V309">
        <v>0</v>
      </c>
    </row>
    <row r="310" spans="1:24" x14ac:dyDescent="0.25">
      <c r="A310" t="s">
        <v>62</v>
      </c>
      <c r="B310" t="s">
        <v>63</v>
      </c>
      <c r="C310">
        <v>9</v>
      </c>
      <c r="D310">
        <v>2</v>
      </c>
      <c r="E310">
        <f t="shared" si="181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P310">
        <f t="shared" si="214"/>
        <v>101.02990430668122</v>
      </c>
      <c r="Q310">
        <f t="shared" si="215"/>
        <v>15468.246487307668</v>
      </c>
      <c r="R310">
        <f t="shared" si="216"/>
        <v>37174.3486837483</v>
      </c>
      <c r="S310">
        <f t="shared" si="217"/>
        <v>98512.024011932997</v>
      </c>
      <c r="T310">
        <v>106</v>
      </c>
      <c r="U310">
        <v>0.17</v>
      </c>
      <c r="V310">
        <v>0</v>
      </c>
    </row>
    <row r="311" spans="1:24" x14ac:dyDescent="0.25">
      <c r="A311" t="s">
        <v>62</v>
      </c>
      <c r="B311" t="s">
        <v>63</v>
      </c>
      <c r="C311">
        <v>10</v>
      </c>
      <c r="D311">
        <v>2</v>
      </c>
      <c r="E311">
        <f t="shared" si="181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P311">
        <f t="shared" si="214"/>
        <v>102.46243338420544</v>
      </c>
      <c r="Q311">
        <f t="shared" si="215"/>
        <v>16135.605092024631</v>
      </c>
      <c r="R311">
        <f t="shared" si="216"/>
        <v>38778.190560020739</v>
      </c>
      <c r="S311">
        <f t="shared" si="217"/>
        <v>102762.20498405496</v>
      </c>
      <c r="T311">
        <v>106</v>
      </c>
      <c r="U311">
        <v>0.17</v>
      </c>
      <c r="V311">
        <v>0</v>
      </c>
    </row>
    <row r="312" spans="1:24" x14ac:dyDescent="0.25">
      <c r="A312" t="s">
        <v>64</v>
      </c>
      <c r="B312" t="s">
        <v>65</v>
      </c>
      <c r="C312">
        <v>1</v>
      </c>
      <c r="D312">
        <v>7</v>
      </c>
      <c r="E312">
        <f t="shared" si="181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P312">
        <f>280*(1-EXP(-0.116*(E312)))</f>
        <v>155.68861302014159</v>
      </c>
      <c r="Q312">
        <f t="shared" ref="Q312" si="218">L312*(P312^M312)</f>
        <v>20378.129079572347</v>
      </c>
      <c r="R312">
        <f t="shared" ref="R312" si="219">Q312/20/5.7/3.65*1000</f>
        <v>48974.114586811695</v>
      </c>
      <c r="S312">
        <f t="shared" ref="S312" si="220">R312*2.65</f>
        <v>129781.40365505099</v>
      </c>
      <c r="T312">
        <v>280</v>
      </c>
      <c r="U312">
        <v>0.11600000000000001</v>
      </c>
      <c r="V312">
        <v>0</v>
      </c>
      <c r="X312" t="s">
        <v>209</v>
      </c>
    </row>
    <row r="313" spans="1:24" x14ac:dyDescent="0.25">
      <c r="A313" t="s">
        <v>64</v>
      </c>
      <c r="B313" t="s">
        <v>65</v>
      </c>
      <c r="C313">
        <v>2</v>
      </c>
      <c r="D313">
        <v>7</v>
      </c>
      <c r="E313">
        <f t="shared" si="181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P313">
        <f t="shared" ref="P313:P321" si="221">280*(1-EXP(-0.116*(E313)))</f>
        <v>224.80956809694248</v>
      </c>
      <c r="Q313">
        <f t="shared" ref="Q313:Q331" si="222">L313*(P313^M313)</f>
        <v>61353.329181622066</v>
      </c>
      <c r="R313">
        <f t="shared" ref="R313:R331" si="223">Q313/20/5.7/3.65*1000</f>
        <v>147448.52002312441</v>
      </c>
      <c r="S313">
        <f t="shared" ref="S313:S331" si="224">R313*2.65</f>
        <v>390738.57806127967</v>
      </c>
      <c r="T313">
        <v>280</v>
      </c>
      <c r="U313">
        <v>0.11600000000000001</v>
      </c>
      <c r="V313">
        <v>0</v>
      </c>
    </row>
    <row r="314" spans="1:24" x14ac:dyDescent="0.25">
      <c r="A314" t="s">
        <v>64</v>
      </c>
      <c r="B314" t="s">
        <v>65</v>
      </c>
      <c r="C314">
        <v>3</v>
      </c>
      <c r="D314">
        <v>7</v>
      </c>
      <c r="E314">
        <f t="shared" si="181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P314">
        <f t="shared" si="221"/>
        <v>255.49714593611961</v>
      </c>
      <c r="Q314">
        <f t="shared" si="222"/>
        <v>90064.142671856898</v>
      </c>
      <c r="R314">
        <f t="shared" si="223"/>
        <v>216448.31211693559</v>
      </c>
      <c r="S314">
        <f t="shared" si="224"/>
        <v>573588.0271098793</v>
      </c>
      <c r="T314">
        <v>280</v>
      </c>
      <c r="U314">
        <v>0.11600000000000001</v>
      </c>
      <c r="V314">
        <v>0</v>
      </c>
    </row>
    <row r="315" spans="1:24" x14ac:dyDescent="0.25">
      <c r="A315" t="s">
        <v>64</v>
      </c>
      <c r="B315" t="s">
        <v>65</v>
      </c>
      <c r="C315">
        <v>4</v>
      </c>
      <c r="D315">
        <v>7</v>
      </c>
      <c r="E315">
        <f t="shared" si="181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P315">
        <f t="shared" si="221"/>
        <v>269.12148652269275</v>
      </c>
      <c r="Q315">
        <f t="shared" si="222"/>
        <v>105254.06528389525</v>
      </c>
      <c r="R315">
        <f t="shared" si="223"/>
        <v>252953.77381373526</v>
      </c>
      <c r="S315">
        <f t="shared" si="224"/>
        <v>670327.50060639845</v>
      </c>
      <c r="T315">
        <v>280</v>
      </c>
      <c r="U315">
        <v>0.11600000000000001</v>
      </c>
      <c r="V315">
        <v>0</v>
      </c>
    </row>
    <row r="316" spans="1:24" x14ac:dyDescent="0.25">
      <c r="A316" t="s">
        <v>64</v>
      </c>
      <c r="B316" t="s">
        <v>65</v>
      </c>
      <c r="C316">
        <v>5</v>
      </c>
      <c r="D316">
        <v>7</v>
      </c>
      <c r="E316">
        <f t="shared" si="181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P316">
        <f t="shared" si="221"/>
        <v>275.17027464770302</v>
      </c>
      <c r="Q316">
        <f t="shared" si="222"/>
        <v>112511.86192027108</v>
      </c>
      <c r="R316">
        <f t="shared" si="223"/>
        <v>270396.20745078364</v>
      </c>
      <c r="S316">
        <f t="shared" si="224"/>
        <v>716549.94974457659</v>
      </c>
      <c r="T316">
        <v>280</v>
      </c>
      <c r="U316">
        <v>0.11600000000000001</v>
      </c>
      <c r="V316">
        <v>0</v>
      </c>
    </row>
    <row r="317" spans="1:24" x14ac:dyDescent="0.25">
      <c r="A317" t="s">
        <v>64</v>
      </c>
      <c r="B317" t="s">
        <v>65</v>
      </c>
      <c r="C317">
        <v>6</v>
      </c>
      <c r="D317">
        <v>7</v>
      </c>
      <c r="E317">
        <f t="shared" si="181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P317">
        <f t="shared" si="221"/>
        <v>277.85575050972921</v>
      </c>
      <c r="Q317">
        <f t="shared" si="222"/>
        <v>115838.23401710109</v>
      </c>
      <c r="R317">
        <f t="shared" si="223"/>
        <v>278390.37254770752</v>
      </c>
      <c r="S317">
        <f t="shared" si="224"/>
        <v>737734.48725142493</v>
      </c>
      <c r="T317">
        <v>280</v>
      </c>
      <c r="U317">
        <v>0.11600000000000001</v>
      </c>
      <c r="V317">
        <v>0</v>
      </c>
    </row>
    <row r="318" spans="1:24" x14ac:dyDescent="0.25">
      <c r="A318" t="s">
        <v>64</v>
      </c>
      <c r="B318" t="s">
        <v>65</v>
      </c>
      <c r="C318">
        <v>7</v>
      </c>
      <c r="D318">
        <v>7</v>
      </c>
      <c r="E318">
        <f t="shared" si="181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P318">
        <f t="shared" si="221"/>
        <v>279.04801918511993</v>
      </c>
      <c r="Q318">
        <f t="shared" si="222"/>
        <v>117335.81437704373</v>
      </c>
      <c r="R318">
        <f t="shared" si="223"/>
        <v>281989.46017073718</v>
      </c>
      <c r="S318">
        <f t="shared" si="224"/>
        <v>747272.06945245352</v>
      </c>
      <c r="T318">
        <v>280</v>
      </c>
      <c r="U318">
        <v>0.11600000000000001</v>
      </c>
      <c r="V318">
        <v>0</v>
      </c>
    </row>
    <row r="319" spans="1:24" x14ac:dyDescent="0.25">
      <c r="A319" t="s">
        <v>64</v>
      </c>
      <c r="B319" t="s">
        <v>65</v>
      </c>
      <c r="C319">
        <v>8</v>
      </c>
      <c r="D319">
        <v>7</v>
      </c>
      <c r="E319">
        <f t="shared" si="181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P319">
        <f t="shared" si="221"/>
        <v>279.57734980187161</v>
      </c>
      <c r="Q319">
        <f t="shared" si="222"/>
        <v>118004.81030881433</v>
      </c>
      <c r="R319">
        <f t="shared" si="223"/>
        <v>283597.23698345188</v>
      </c>
      <c r="S319">
        <f t="shared" si="224"/>
        <v>751532.6780061475</v>
      </c>
      <c r="T319">
        <v>280</v>
      </c>
      <c r="U319">
        <v>0.11600000000000001</v>
      </c>
      <c r="V319">
        <v>0</v>
      </c>
    </row>
    <row r="320" spans="1:24" x14ac:dyDescent="0.25">
      <c r="A320" t="s">
        <v>64</v>
      </c>
      <c r="B320" t="s">
        <v>65</v>
      </c>
      <c r="C320">
        <v>9</v>
      </c>
      <c r="D320">
        <v>7</v>
      </c>
      <c r="E320">
        <f t="shared" si="181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P320">
        <f t="shared" si="221"/>
        <v>279.8123563130834</v>
      </c>
      <c r="Q320">
        <f t="shared" si="222"/>
        <v>118302.63718369848</v>
      </c>
      <c r="R320">
        <f t="shared" si="223"/>
        <v>284312.99491395935</v>
      </c>
      <c r="S320">
        <f t="shared" si="224"/>
        <v>753429.4365219922</v>
      </c>
      <c r="T320">
        <v>280</v>
      </c>
      <c r="U320">
        <v>0.11600000000000001</v>
      </c>
      <c r="V320">
        <v>0</v>
      </c>
    </row>
    <row r="321" spans="1:36" x14ac:dyDescent="0.25">
      <c r="A321" t="s">
        <v>64</v>
      </c>
      <c r="B321" t="s">
        <v>65</v>
      </c>
      <c r="C321">
        <v>10</v>
      </c>
      <c r="D321">
        <v>7</v>
      </c>
      <c r="E321">
        <f t="shared" si="181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P321">
        <f t="shared" si="221"/>
        <v>279.91669197507639</v>
      </c>
      <c r="Q321">
        <f t="shared" si="222"/>
        <v>118435.02362145261</v>
      </c>
      <c r="R321">
        <f t="shared" si="223"/>
        <v>284631.15506237105</v>
      </c>
      <c r="S321">
        <f t="shared" si="224"/>
        <v>754272.56091528328</v>
      </c>
      <c r="T321">
        <v>280</v>
      </c>
      <c r="U321">
        <v>0.11600000000000001</v>
      </c>
      <c r="V321">
        <v>0</v>
      </c>
      <c r="AJ321" t="s">
        <v>457</v>
      </c>
    </row>
    <row r="322" spans="1:36" x14ac:dyDescent="0.25">
      <c r="A322" t="s">
        <v>66</v>
      </c>
      <c r="B322" t="s">
        <v>67</v>
      </c>
      <c r="C322">
        <v>1</v>
      </c>
      <c r="D322">
        <v>7</v>
      </c>
      <c r="E322">
        <f t="shared" si="181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P322" s="3">
        <f t="shared" ref="P322:P331" si="225">T322*(1-EXP(-U322*(E322-V322)))</f>
        <v>190.34915827040234</v>
      </c>
      <c r="Q322" s="3">
        <f t="shared" si="222"/>
        <v>75753.177550342138</v>
      </c>
      <c r="R322" s="3">
        <f t="shared" si="223"/>
        <v>182055.22122168262</v>
      </c>
      <c r="S322" s="3">
        <f t="shared" si="224"/>
        <v>482446.33623745892</v>
      </c>
      <c r="T322">
        <f>$AJ$324</f>
        <v>309.24444444444441</v>
      </c>
      <c r="U322">
        <f>$AJ$325</f>
        <v>0.13655555555555554</v>
      </c>
      <c r="V322">
        <v>0</v>
      </c>
      <c r="X322" t="s">
        <v>384</v>
      </c>
      <c r="Y322" t="s">
        <v>385</v>
      </c>
      <c r="Z322" t="s">
        <v>386</v>
      </c>
      <c r="AA322" t="s">
        <v>387</v>
      </c>
      <c r="AB322" t="s">
        <v>388</v>
      </c>
      <c r="AC322" t="s">
        <v>389</v>
      </c>
      <c r="AD322" t="s">
        <v>390</v>
      </c>
      <c r="AE322" t="s">
        <v>391</v>
      </c>
      <c r="AF322" t="s">
        <v>392</v>
      </c>
      <c r="AG322" t="s">
        <v>393</v>
      </c>
    </row>
    <row r="323" spans="1:36" x14ac:dyDescent="0.25">
      <c r="A323" t="s">
        <v>66</v>
      </c>
      <c r="B323" t="s">
        <v>67</v>
      </c>
      <c r="C323">
        <v>2</v>
      </c>
      <c r="D323">
        <v>7</v>
      </c>
      <c r="E323">
        <f t="shared" ref="E323:E386" si="226">C323*D323</f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P323" s="3">
        <f t="shared" si="225"/>
        <v>256.84427503747037</v>
      </c>
      <c r="Q323" s="3">
        <f t="shared" si="222"/>
        <v>194135.25529926375</v>
      </c>
      <c r="R323" s="3">
        <f t="shared" si="223"/>
        <v>466559.13313930243</v>
      </c>
      <c r="S323" s="3">
        <f t="shared" si="224"/>
        <v>1236381.7028191513</v>
      </c>
      <c r="T323">
        <f t="shared" ref="T323:T331" si="227">$AJ$324</f>
        <v>309.24444444444441</v>
      </c>
      <c r="U323">
        <f t="shared" ref="U323:U331" si="228">$AJ$325</f>
        <v>0.13655555555555554</v>
      </c>
      <c r="V323">
        <v>1</v>
      </c>
      <c r="W323" t="s">
        <v>257</v>
      </c>
      <c r="X323">
        <v>420</v>
      </c>
      <c r="Y323">
        <v>430</v>
      </c>
      <c r="Z323">
        <v>445</v>
      </c>
      <c r="AA323">
        <v>653</v>
      </c>
      <c r="AB323">
        <v>200</v>
      </c>
      <c r="AC323">
        <v>350</v>
      </c>
      <c r="AD323">
        <v>275</v>
      </c>
      <c r="AF323">
        <v>190</v>
      </c>
      <c r="AG323">
        <v>300</v>
      </c>
      <c r="AJ323">
        <f>AVERAGE(X323:AG323)</f>
        <v>362.55555555555554</v>
      </c>
    </row>
    <row r="324" spans="1:36" x14ac:dyDescent="0.25">
      <c r="A324" t="s">
        <v>66</v>
      </c>
      <c r="B324" t="s">
        <v>67</v>
      </c>
      <c r="C324">
        <v>3</v>
      </c>
      <c r="D324">
        <v>7</v>
      </c>
      <c r="E324">
        <f t="shared" si="226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P324" s="3">
        <f t="shared" si="225"/>
        <v>286.15036021085893</v>
      </c>
      <c r="Q324" s="3">
        <f t="shared" si="222"/>
        <v>272579.99151432054</v>
      </c>
      <c r="R324" s="3">
        <f t="shared" si="223"/>
        <v>655082.89236798976</v>
      </c>
      <c r="S324" s="3">
        <f t="shared" si="224"/>
        <v>1735969.6647751727</v>
      </c>
      <c r="T324">
        <f t="shared" si="227"/>
        <v>309.24444444444441</v>
      </c>
      <c r="U324">
        <f t="shared" si="228"/>
        <v>0.13655555555555554</v>
      </c>
      <c r="V324">
        <v>2</v>
      </c>
      <c r="W324" t="s">
        <v>243</v>
      </c>
      <c r="X324">
        <v>373</v>
      </c>
      <c r="Y324">
        <v>329</v>
      </c>
      <c r="Z324">
        <v>321</v>
      </c>
      <c r="AA324">
        <v>660</v>
      </c>
      <c r="AB324">
        <v>124</v>
      </c>
      <c r="AC324">
        <v>304</v>
      </c>
      <c r="AD324">
        <v>179.2</v>
      </c>
      <c r="AE324">
        <v>337</v>
      </c>
      <c r="AF324">
        <v>156</v>
      </c>
      <c r="AJ324">
        <f t="shared" ref="AJ324:AJ325" si="229">AVERAGE(X324:AG324)</f>
        <v>309.24444444444441</v>
      </c>
    </row>
    <row r="325" spans="1:36" x14ac:dyDescent="0.25">
      <c r="A325" t="s">
        <v>66</v>
      </c>
      <c r="B325" t="s">
        <v>67</v>
      </c>
      <c r="C325">
        <v>4</v>
      </c>
      <c r="D325">
        <v>7</v>
      </c>
      <c r="E325">
        <f t="shared" si="226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P325" s="3">
        <f t="shared" si="225"/>
        <v>299.06629554485403</v>
      </c>
      <c r="Q325" s="3">
        <f t="shared" si="222"/>
        <v>313124.40229506715</v>
      </c>
      <c r="R325" s="3">
        <f t="shared" si="223"/>
        <v>752521.99542193499</v>
      </c>
      <c r="S325" s="3">
        <f t="shared" si="224"/>
        <v>1994183.2878681277</v>
      </c>
      <c r="T325">
        <f t="shared" si="227"/>
        <v>309.24444444444441</v>
      </c>
      <c r="U325">
        <f t="shared" si="228"/>
        <v>0.13655555555555554</v>
      </c>
      <c r="V325">
        <v>3</v>
      </c>
      <c r="W325" t="s">
        <v>244</v>
      </c>
      <c r="X325">
        <v>0.04</v>
      </c>
      <c r="Y325">
        <v>0.1</v>
      </c>
      <c r="Z325">
        <v>0.1</v>
      </c>
      <c r="AA325">
        <v>7.0999999999999994E-2</v>
      </c>
      <c r="AB325">
        <v>0.2</v>
      </c>
      <c r="AC325">
        <v>0.1</v>
      </c>
      <c r="AD325">
        <v>0.2</v>
      </c>
      <c r="AE325">
        <v>0.17799999999999999</v>
      </c>
      <c r="AF325">
        <v>0.24</v>
      </c>
      <c r="AJ325">
        <f t="shared" si="229"/>
        <v>0.13655555555555554</v>
      </c>
    </row>
    <row r="326" spans="1:36" x14ac:dyDescent="0.25">
      <c r="A326" t="s">
        <v>66</v>
      </c>
      <c r="B326" t="s">
        <v>67</v>
      </c>
      <c r="C326">
        <v>5</v>
      </c>
      <c r="D326">
        <v>7</v>
      </c>
      <c r="E326">
        <f t="shared" si="226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P326" s="3">
        <f t="shared" si="225"/>
        <v>304.75867596908847</v>
      </c>
      <c r="Q326" s="3">
        <f t="shared" si="222"/>
        <v>332228.83883435238</v>
      </c>
      <c r="R326" s="3">
        <f t="shared" si="223"/>
        <v>798435.08491793415</v>
      </c>
      <c r="S326" s="3">
        <f t="shared" si="224"/>
        <v>2115852.9750325256</v>
      </c>
      <c r="T326">
        <f t="shared" si="227"/>
        <v>309.24444444444441</v>
      </c>
      <c r="U326">
        <f t="shared" si="228"/>
        <v>0.13655555555555554</v>
      </c>
      <c r="V326">
        <v>4</v>
      </c>
      <c r="W326" t="s">
        <v>285</v>
      </c>
    </row>
    <row r="327" spans="1:36" x14ac:dyDescent="0.25">
      <c r="A327" t="s">
        <v>66</v>
      </c>
      <c r="B327" t="s">
        <v>67</v>
      </c>
      <c r="C327">
        <v>6</v>
      </c>
      <c r="D327">
        <v>7</v>
      </c>
      <c r="E327">
        <f t="shared" si="226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P327" s="3">
        <f t="shared" si="225"/>
        <v>307.26745245768865</v>
      </c>
      <c r="Q327" s="3">
        <f t="shared" si="222"/>
        <v>340895.13319316495</v>
      </c>
      <c r="R327" s="3">
        <f t="shared" si="223"/>
        <v>819262.51668628922</v>
      </c>
      <c r="S327" s="3">
        <f t="shared" si="224"/>
        <v>2171045.6692186664</v>
      </c>
      <c r="T327">
        <f t="shared" si="227"/>
        <v>309.24444444444441</v>
      </c>
      <c r="U327">
        <f t="shared" si="228"/>
        <v>0.13655555555555554</v>
      </c>
      <c r="V327">
        <v>5</v>
      </c>
      <c r="W327" t="s">
        <v>246</v>
      </c>
      <c r="X327" t="s">
        <v>258</v>
      </c>
      <c r="Y327" t="s">
        <v>258</v>
      </c>
      <c r="Z327" t="s">
        <v>258</v>
      </c>
      <c r="AA327" t="s">
        <v>258</v>
      </c>
      <c r="AB327" t="s">
        <v>258</v>
      </c>
      <c r="AC327" t="s">
        <v>258</v>
      </c>
      <c r="AD327" t="s">
        <v>258</v>
      </c>
      <c r="AE327" t="s">
        <v>492</v>
      </c>
      <c r="AF327" t="s">
        <v>494</v>
      </c>
    </row>
    <row r="328" spans="1:36" x14ac:dyDescent="0.25">
      <c r="A328" t="s">
        <v>66</v>
      </c>
      <c r="B328" t="s">
        <v>67</v>
      </c>
      <c r="C328">
        <v>7</v>
      </c>
      <c r="D328">
        <v>7</v>
      </c>
      <c r="E328">
        <f t="shared" si="226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P328" s="3">
        <f t="shared" si="225"/>
        <v>308.37313391266616</v>
      </c>
      <c r="Q328" s="3">
        <f t="shared" si="222"/>
        <v>344763.02418619045</v>
      </c>
      <c r="R328" s="3">
        <f t="shared" si="223"/>
        <v>828558.09705885698</v>
      </c>
      <c r="S328" s="3">
        <f t="shared" si="224"/>
        <v>2195678.9572059708</v>
      </c>
      <c r="T328">
        <f t="shared" si="227"/>
        <v>309.24444444444441</v>
      </c>
      <c r="U328">
        <f t="shared" si="228"/>
        <v>0.13655555555555554</v>
      </c>
      <c r="V328">
        <v>6</v>
      </c>
      <c r="W328" t="s">
        <v>279</v>
      </c>
      <c r="X328" s="5" t="s">
        <v>484</v>
      </c>
      <c r="Y328" s="5" t="s">
        <v>485</v>
      </c>
      <c r="Z328" s="5" t="s">
        <v>486</v>
      </c>
      <c r="AA328" s="5" t="s">
        <v>487</v>
      </c>
      <c r="AB328" s="5" t="s">
        <v>488</v>
      </c>
      <c r="AC328" s="5" t="s">
        <v>489</v>
      </c>
      <c r="AD328" s="5" t="s">
        <v>490</v>
      </c>
      <c r="AE328" s="5" t="s">
        <v>491</v>
      </c>
      <c r="AF328" s="5" t="s">
        <v>493</v>
      </c>
      <c r="AG328" s="5" t="s">
        <v>495</v>
      </c>
    </row>
    <row r="329" spans="1:36" x14ac:dyDescent="0.25">
      <c r="A329" t="s">
        <v>66</v>
      </c>
      <c r="B329" t="s">
        <v>67</v>
      </c>
      <c r="C329">
        <v>8</v>
      </c>
      <c r="D329">
        <v>7</v>
      </c>
      <c r="E329">
        <f t="shared" si="226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P329" s="3">
        <f t="shared" si="225"/>
        <v>308.86043578488807</v>
      </c>
      <c r="Q329" s="3">
        <f t="shared" si="222"/>
        <v>346477.15773133357</v>
      </c>
      <c r="R329" s="3">
        <f t="shared" si="223"/>
        <v>832677.62011856178</v>
      </c>
      <c r="S329" s="3">
        <f t="shared" si="224"/>
        <v>2206595.6933141886</v>
      </c>
      <c r="T329">
        <f t="shared" si="227"/>
        <v>309.24444444444441</v>
      </c>
      <c r="U329">
        <f t="shared" si="228"/>
        <v>0.13655555555555554</v>
      </c>
      <c r="V329">
        <v>7</v>
      </c>
    </row>
    <row r="330" spans="1:36" x14ac:dyDescent="0.25">
      <c r="A330" t="s">
        <v>66</v>
      </c>
      <c r="B330" t="s">
        <v>67</v>
      </c>
      <c r="C330">
        <v>9</v>
      </c>
      <c r="D330">
        <v>7</v>
      </c>
      <c r="E330">
        <f t="shared" si="226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P330" s="3">
        <f t="shared" si="225"/>
        <v>309.07520208453246</v>
      </c>
      <c r="Q330" s="3">
        <f t="shared" si="222"/>
        <v>347234.46066853148</v>
      </c>
      <c r="R330" s="3">
        <f t="shared" si="223"/>
        <v>834497.62237089989</v>
      </c>
      <c r="S330" s="3">
        <f t="shared" si="224"/>
        <v>2211418.6992828846</v>
      </c>
      <c r="T330">
        <f t="shared" si="227"/>
        <v>309.24444444444441</v>
      </c>
      <c r="U330">
        <f t="shared" si="228"/>
        <v>0.13655555555555554</v>
      </c>
      <c r="V330">
        <v>8</v>
      </c>
    </row>
    <row r="331" spans="1:36" x14ac:dyDescent="0.25">
      <c r="A331" t="s">
        <v>66</v>
      </c>
      <c r="B331" t="s">
        <v>67</v>
      </c>
      <c r="C331">
        <v>10</v>
      </c>
      <c r="D331">
        <v>7</v>
      </c>
      <c r="E331">
        <f t="shared" si="226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P331" s="3">
        <f t="shared" si="225"/>
        <v>309.16985504215944</v>
      </c>
      <c r="Q331" s="3">
        <f t="shared" si="222"/>
        <v>347568.58119228948</v>
      </c>
      <c r="R331" s="3">
        <f t="shared" si="223"/>
        <v>835300.60368250287</v>
      </c>
      <c r="S331" s="3">
        <f t="shared" si="224"/>
        <v>2213546.5997586325</v>
      </c>
      <c r="T331">
        <f t="shared" si="227"/>
        <v>309.24444444444441</v>
      </c>
      <c r="U331">
        <f t="shared" si="228"/>
        <v>0.13655555555555554</v>
      </c>
      <c r="V331">
        <v>9</v>
      </c>
    </row>
    <row r="332" spans="1:36" x14ac:dyDescent="0.25">
      <c r="A332" t="s">
        <v>68</v>
      </c>
      <c r="B332" t="s">
        <v>69</v>
      </c>
      <c r="C332">
        <v>1</v>
      </c>
      <c r="D332">
        <v>2</v>
      </c>
      <c r="E332">
        <f t="shared" si="226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P332">
        <f>31.4*(1-EXP(-0.19*(E332+0.8)))</f>
        <v>12.954731404433961</v>
      </c>
      <c r="Q332">
        <f t="shared" ref="Q332" si="230">L332*(P332^M332)</f>
        <v>16.853081877749126</v>
      </c>
      <c r="R332">
        <f t="shared" ref="R332" si="231">Q332/20/5.7/3.65*1000</f>
        <v>40.502479879233661</v>
      </c>
      <c r="S332">
        <f t="shared" ref="S332" si="232">R332*2.65</f>
        <v>107.3315716799692</v>
      </c>
      <c r="T332">
        <v>31.4</v>
      </c>
      <c r="U332">
        <v>0.19</v>
      </c>
      <c r="V332">
        <v>-0.8</v>
      </c>
      <c r="X332" t="s">
        <v>208</v>
      </c>
    </row>
    <row r="333" spans="1:36" x14ac:dyDescent="0.25">
      <c r="A333" t="s">
        <v>68</v>
      </c>
      <c r="B333" t="s">
        <v>69</v>
      </c>
      <c r="C333">
        <v>2</v>
      </c>
      <c r="D333">
        <v>2</v>
      </c>
      <c r="E333">
        <f t="shared" si="226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P333">
        <f t="shared" ref="P333:P341" si="233">31.4*(1-EXP(-0.19*(E333+0.8)))</f>
        <v>18.785992624935794</v>
      </c>
      <c r="Q333">
        <f t="shared" ref="Q333:Q341" si="234">L333*(P333^M333)</f>
        <v>53.338046744098072</v>
      </c>
      <c r="R333">
        <f t="shared" ref="R333:R341" si="235">Q333/20/5.7/3.65*1000</f>
        <v>128.18564466257646</v>
      </c>
      <c r="S333">
        <f t="shared" ref="S333:S341" si="236">R333*2.65</f>
        <v>339.69195835582764</v>
      </c>
      <c r="T333">
        <v>31.4</v>
      </c>
      <c r="U333">
        <v>0.19</v>
      </c>
      <c r="V333">
        <v>-0.8</v>
      </c>
    </row>
    <row r="334" spans="1:36" x14ac:dyDescent="0.25">
      <c r="A334" t="s">
        <v>68</v>
      </c>
      <c r="B334" t="s">
        <v>69</v>
      </c>
      <c r="C334">
        <v>3</v>
      </c>
      <c r="D334">
        <v>2</v>
      </c>
      <c r="E334">
        <f t="shared" si="226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P334">
        <f t="shared" si="233"/>
        <v>22.773767140673542</v>
      </c>
      <c r="Q334">
        <f t="shared" si="234"/>
        <v>96.872245124489154</v>
      </c>
      <c r="R334">
        <f t="shared" si="235"/>
        <v>232.81000991225466</v>
      </c>
      <c r="S334">
        <f t="shared" si="236"/>
        <v>616.94652626747484</v>
      </c>
      <c r="T334">
        <v>31.4</v>
      </c>
      <c r="U334">
        <v>0.19</v>
      </c>
      <c r="V334">
        <v>-0.8</v>
      </c>
    </row>
    <row r="335" spans="1:36" x14ac:dyDescent="0.25">
      <c r="A335" t="s">
        <v>68</v>
      </c>
      <c r="B335" t="s">
        <v>69</v>
      </c>
      <c r="C335">
        <v>4</v>
      </c>
      <c r="D335">
        <v>2</v>
      </c>
      <c r="E335">
        <f t="shared" si="226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P335">
        <f t="shared" si="233"/>
        <v>25.500852240627079</v>
      </c>
      <c r="Q335">
        <f t="shared" si="234"/>
        <v>137.5532336427658</v>
      </c>
      <c r="R335">
        <f t="shared" si="235"/>
        <v>330.57734593310693</v>
      </c>
      <c r="S335">
        <f t="shared" si="236"/>
        <v>876.02996672273332</v>
      </c>
      <c r="T335">
        <v>31.4</v>
      </c>
      <c r="U335">
        <v>0.19</v>
      </c>
      <c r="V335">
        <v>-0.8</v>
      </c>
    </row>
    <row r="336" spans="1:36" x14ac:dyDescent="0.25">
      <c r="A336" t="s">
        <v>68</v>
      </c>
      <c r="B336" t="s">
        <v>69</v>
      </c>
      <c r="C336">
        <v>5</v>
      </c>
      <c r="D336">
        <v>2</v>
      </c>
      <c r="E336">
        <f t="shared" si="226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P336">
        <f t="shared" si="233"/>
        <v>27.365800500123324</v>
      </c>
      <c r="Q336">
        <f t="shared" si="234"/>
        <v>171.19715208220546</v>
      </c>
      <c r="R336">
        <f t="shared" si="235"/>
        <v>411.43271348763631</v>
      </c>
      <c r="S336">
        <f t="shared" si="236"/>
        <v>1090.2966907422363</v>
      </c>
      <c r="T336">
        <v>31.4</v>
      </c>
      <c r="U336">
        <v>0.19</v>
      </c>
      <c r="V336">
        <v>-0.8</v>
      </c>
    </row>
    <row r="337" spans="1:30" x14ac:dyDescent="0.25">
      <c r="A337" t="s">
        <v>68</v>
      </c>
      <c r="B337" t="s">
        <v>69</v>
      </c>
      <c r="C337">
        <v>6</v>
      </c>
      <c r="D337">
        <v>2</v>
      </c>
      <c r="E337">
        <f t="shared" si="226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P337">
        <f t="shared" si="233"/>
        <v>28.641166644970554</v>
      </c>
      <c r="Q337">
        <f t="shared" si="234"/>
        <v>197.16164515638485</v>
      </c>
      <c r="R337">
        <f t="shared" si="235"/>
        <v>473.83236038544783</v>
      </c>
      <c r="S337">
        <f t="shared" si="236"/>
        <v>1255.6557550214368</v>
      </c>
      <c r="T337">
        <v>31.4</v>
      </c>
      <c r="U337">
        <v>0.19</v>
      </c>
      <c r="V337">
        <v>-0.8</v>
      </c>
    </row>
    <row r="338" spans="1:30" x14ac:dyDescent="0.25">
      <c r="A338" t="s">
        <v>68</v>
      </c>
      <c r="B338" t="s">
        <v>69</v>
      </c>
      <c r="C338">
        <v>7</v>
      </c>
      <c r="D338">
        <v>2</v>
      </c>
      <c r="E338">
        <f t="shared" si="226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P338">
        <f t="shared" si="233"/>
        <v>29.513340334047513</v>
      </c>
      <c r="Q338">
        <f t="shared" si="234"/>
        <v>216.3755499949242</v>
      </c>
      <c r="R338">
        <f t="shared" si="235"/>
        <v>520.00853159078156</v>
      </c>
      <c r="S338">
        <f t="shared" si="236"/>
        <v>1378.0226087155711</v>
      </c>
      <c r="T338">
        <v>31.4</v>
      </c>
      <c r="U338">
        <v>0.19</v>
      </c>
      <c r="V338">
        <v>-0.8</v>
      </c>
    </row>
    <row r="339" spans="1:30" x14ac:dyDescent="0.25">
      <c r="A339" t="s">
        <v>68</v>
      </c>
      <c r="B339" t="s">
        <v>69</v>
      </c>
      <c r="C339">
        <v>8</v>
      </c>
      <c r="D339">
        <v>2</v>
      </c>
      <c r="E339">
        <f t="shared" si="226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P339">
        <f t="shared" si="233"/>
        <v>30.109786262137618</v>
      </c>
      <c r="Q339">
        <f t="shared" si="234"/>
        <v>230.22105276450003</v>
      </c>
      <c r="R339">
        <f t="shared" si="235"/>
        <v>553.28299150324449</v>
      </c>
      <c r="S339">
        <f t="shared" si="236"/>
        <v>1466.1999274835978</v>
      </c>
      <c r="T339">
        <v>31.4</v>
      </c>
      <c r="U339">
        <v>0.19</v>
      </c>
      <c r="V339">
        <v>-0.8</v>
      </c>
    </row>
    <row r="340" spans="1:30" x14ac:dyDescent="0.25">
      <c r="A340" t="s">
        <v>68</v>
      </c>
      <c r="B340" t="s">
        <v>69</v>
      </c>
      <c r="C340">
        <v>9</v>
      </c>
      <c r="D340">
        <v>2</v>
      </c>
      <c r="E340">
        <f t="shared" si="226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P340">
        <f t="shared" si="233"/>
        <v>30.51767261504029</v>
      </c>
      <c r="Q340">
        <f t="shared" si="234"/>
        <v>240.02728929089074</v>
      </c>
      <c r="R340">
        <f t="shared" si="235"/>
        <v>576.85001031216234</v>
      </c>
      <c r="S340">
        <f t="shared" si="236"/>
        <v>1528.6525273272302</v>
      </c>
      <c r="T340">
        <v>31.4</v>
      </c>
      <c r="U340">
        <v>0.19</v>
      </c>
      <c r="V340">
        <v>-0.8</v>
      </c>
    </row>
    <row r="341" spans="1:30" x14ac:dyDescent="0.25">
      <c r="A341" t="s">
        <v>68</v>
      </c>
      <c r="B341" t="s">
        <v>69</v>
      </c>
      <c r="C341">
        <v>10</v>
      </c>
      <c r="D341">
        <v>2</v>
      </c>
      <c r="E341">
        <f t="shared" si="226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P341">
        <f t="shared" si="233"/>
        <v>30.796610351134802</v>
      </c>
      <c r="Q341">
        <f t="shared" si="234"/>
        <v>246.89386414200465</v>
      </c>
      <c r="R341">
        <f t="shared" si="235"/>
        <v>593.35223297766072</v>
      </c>
      <c r="S341">
        <f t="shared" si="236"/>
        <v>1572.3834173908008</v>
      </c>
      <c r="T341">
        <v>31.4</v>
      </c>
      <c r="U341">
        <v>0.19</v>
      </c>
      <c r="V341">
        <v>-0.8</v>
      </c>
    </row>
    <row r="342" spans="1:30" x14ac:dyDescent="0.25">
      <c r="A342" t="s">
        <v>70</v>
      </c>
      <c r="B342" t="s">
        <v>71</v>
      </c>
      <c r="C342">
        <v>1</v>
      </c>
      <c r="D342">
        <v>8</v>
      </c>
      <c r="E342">
        <f t="shared" si="226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3">
        <v>2E-3</v>
      </c>
      <c r="M342" s="3">
        <v>3</v>
      </c>
      <c r="N342">
        <v>53.322391670000002</v>
      </c>
      <c r="P342">
        <f>T342*(1-EXP(-U342*(E342+V342)))</f>
        <v>89.301231321361854</v>
      </c>
      <c r="Q342">
        <f t="shared" ref="Q342" si="237">L342*(P342^M342)</f>
        <v>1424.3028297716794</v>
      </c>
      <c r="R342">
        <f t="shared" ref="R342" si="238">Q342/20/5.7/3.65*1000</f>
        <v>3422.9820470359991</v>
      </c>
      <c r="S342">
        <f t="shared" ref="S342" si="239">R342*2.65</f>
        <v>9070.9024246453973</v>
      </c>
      <c r="T342">
        <f>$AB$344*100</f>
        <v>114.3</v>
      </c>
      <c r="U342">
        <v>0.19</v>
      </c>
      <c r="V342">
        <v>0</v>
      </c>
      <c r="X342" t="s">
        <v>402</v>
      </c>
      <c r="Y342" t="s">
        <v>403</v>
      </c>
      <c r="Z342" t="s">
        <v>404</v>
      </c>
      <c r="AA342" t="s">
        <v>405</v>
      </c>
      <c r="AB342" t="s">
        <v>406</v>
      </c>
    </row>
    <row r="343" spans="1:30" x14ac:dyDescent="0.25">
      <c r="A343" t="s">
        <v>70</v>
      </c>
      <c r="B343" t="s">
        <v>71</v>
      </c>
      <c r="C343">
        <v>2</v>
      </c>
      <c r="D343">
        <v>8</v>
      </c>
      <c r="E343">
        <f t="shared" si="226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3">
        <v>2E-3</v>
      </c>
      <c r="M343" s="3">
        <v>3</v>
      </c>
      <c r="N343">
        <v>107.3627072</v>
      </c>
      <c r="P343">
        <f t="shared" ref="P343:P351" si="240">T343*(1-EXP(-U343*(E343+V343)))</f>
        <v>108.83247213081313</v>
      </c>
      <c r="Q343">
        <f t="shared" ref="Q343:Q351" si="241">L343*(P343^M343)</f>
        <v>2578.1339538074772</v>
      </c>
      <c r="R343">
        <f t="shared" ref="R343:R351" si="242">Q343/20/5.7/3.65*1000</f>
        <v>6195.9479783885527</v>
      </c>
      <c r="S343">
        <f t="shared" ref="S343:S351" si="243">R343*2.65</f>
        <v>16419.262142729665</v>
      </c>
      <c r="T343">
        <f t="shared" ref="T343:T351" si="244">$AB$344*100</f>
        <v>114.3</v>
      </c>
      <c r="U343">
        <v>0.19</v>
      </c>
      <c r="V343">
        <v>0</v>
      </c>
      <c r="W343" t="s">
        <v>442</v>
      </c>
      <c r="X343">
        <f>325*0.453592</f>
        <v>147.41739999999999</v>
      </c>
      <c r="Y343">
        <f>100*0.453592</f>
        <v>45.359200000000001</v>
      </c>
      <c r="Z343">
        <f>2200*0.453592</f>
        <v>997.90239999999994</v>
      </c>
      <c r="AA343">
        <f>205*0.453592</f>
        <v>92.986360000000005</v>
      </c>
      <c r="AB343">
        <f>125*0.453592</f>
        <v>56.698999999999998</v>
      </c>
      <c r="AD343">
        <f>AVERAGE(X343:AB343)</f>
        <v>268.07287200000002</v>
      </c>
    </row>
    <row r="344" spans="1:30" x14ac:dyDescent="0.25">
      <c r="A344" t="s">
        <v>70</v>
      </c>
      <c r="B344" t="s">
        <v>71</v>
      </c>
      <c r="C344">
        <v>3</v>
      </c>
      <c r="D344">
        <v>8</v>
      </c>
      <c r="E344">
        <f t="shared" si="226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3">
        <v>2E-3</v>
      </c>
      <c r="M344" s="3">
        <v>3</v>
      </c>
      <c r="N344">
        <v>134.1311675</v>
      </c>
      <c r="P344">
        <f t="shared" si="240"/>
        <v>113.10418666276631</v>
      </c>
      <c r="Q344">
        <f t="shared" si="241"/>
        <v>2893.7835188385952</v>
      </c>
      <c r="R344">
        <f t="shared" si="242"/>
        <v>6954.5386177327455</v>
      </c>
      <c r="S344">
        <f t="shared" si="243"/>
        <v>18429.527336991774</v>
      </c>
      <c r="T344">
        <f t="shared" si="244"/>
        <v>114.3</v>
      </c>
      <c r="U344">
        <v>0.19</v>
      </c>
      <c r="V344">
        <v>0</v>
      </c>
      <c r="W344" t="s">
        <v>443</v>
      </c>
      <c r="X344">
        <f>3.5*0.3048</f>
        <v>1.0668</v>
      </c>
      <c r="Y344">
        <f>2.15*0.3048</f>
        <v>0.65532000000000001</v>
      </c>
      <c r="Z344">
        <f>5*0.3048</f>
        <v>1.524</v>
      </c>
      <c r="AA344">
        <f>3*0.3048</f>
        <v>0.9144000000000001</v>
      </c>
      <c r="AB344">
        <f>45/12*0.3048</f>
        <v>1.143</v>
      </c>
      <c r="AD344">
        <f>AVERAGE(X344:AB344)</f>
        <v>1.0607039999999999</v>
      </c>
    </row>
    <row r="345" spans="1:30" x14ac:dyDescent="0.25">
      <c r="A345" t="s">
        <v>70</v>
      </c>
      <c r="B345" t="s">
        <v>71</v>
      </c>
      <c r="C345">
        <v>4</v>
      </c>
      <c r="D345">
        <v>8</v>
      </c>
      <c r="E345">
        <f t="shared" si="226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3">
        <v>2E-3</v>
      </c>
      <c r="M345" s="3">
        <v>3</v>
      </c>
      <c r="N345">
        <v>147.5685182</v>
      </c>
      <c r="P345">
        <f t="shared" si="240"/>
        <v>114.038461408571</v>
      </c>
      <c r="Q345">
        <f t="shared" si="241"/>
        <v>2966.0880787360079</v>
      </c>
      <c r="R345">
        <f t="shared" si="242"/>
        <v>7128.3058849699773</v>
      </c>
      <c r="S345">
        <f t="shared" si="243"/>
        <v>18890.010595170439</v>
      </c>
      <c r="T345">
        <f t="shared" si="244"/>
        <v>114.3</v>
      </c>
      <c r="U345">
        <v>0.19</v>
      </c>
      <c r="V345">
        <v>0</v>
      </c>
      <c r="W345" t="s">
        <v>447</v>
      </c>
      <c r="X345">
        <v>60</v>
      </c>
    </row>
    <row r="346" spans="1:30" x14ac:dyDescent="0.25">
      <c r="A346" t="s">
        <v>70</v>
      </c>
      <c r="B346" t="s">
        <v>71</v>
      </c>
      <c r="C346">
        <v>5</v>
      </c>
      <c r="D346">
        <v>8</v>
      </c>
      <c r="E346">
        <f t="shared" si="226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3">
        <v>2E-3</v>
      </c>
      <c r="M346" s="3">
        <v>3</v>
      </c>
      <c r="N346">
        <v>161.4254301</v>
      </c>
      <c r="P346">
        <f t="shared" si="240"/>
        <v>114.24279840115774</v>
      </c>
      <c r="Q346">
        <f t="shared" si="241"/>
        <v>2982.0607992826299</v>
      </c>
      <c r="R346">
        <f t="shared" si="242"/>
        <v>7166.6926202418408</v>
      </c>
      <c r="S346">
        <f t="shared" si="243"/>
        <v>18991.735443640879</v>
      </c>
      <c r="T346">
        <f t="shared" si="244"/>
        <v>114.3</v>
      </c>
      <c r="U346">
        <v>0.19</v>
      </c>
      <c r="V346">
        <v>0</v>
      </c>
      <c r="W346" t="s">
        <v>449</v>
      </c>
    </row>
    <row r="347" spans="1:30" x14ac:dyDescent="0.25">
      <c r="A347" t="s">
        <v>70</v>
      </c>
      <c r="B347" t="s">
        <v>71</v>
      </c>
      <c r="C347">
        <v>6</v>
      </c>
      <c r="D347">
        <v>8</v>
      </c>
      <c r="E347">
        <f t="shared" si="226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3">
        <v>2E-3</v>
      </c>
      <c r="M347" s="3">
        <v>3</v>
      </c>
      <c r="N347">
        <v>170.3228407</v>
      </c>
      <c r="P347">
        <f t="shared" si="240"/>
        <v>114.28748933038052</v>
      </c>
      <c r="Q347">
        <f t="shared" si="241"/>
        <v>2985.5618482265209</v>
      </c>
      <c r="R347">
        <f t="shared" si="242"/>
        <v>7175.106580693393</v>
      </c>
      <c r="S347">
        <f t="shared" si="243"/>
        <v>19014.03243883749</v>
      </c>
      <c r="T347">
        <f t="shared" si="244"/>
        <v>114.3</v>
      </c>
      <c r="U347">
        <v>0.19</v>
      </c>
      <c r="V347">
        <v>0</v>
      </c>
    </row>
    <row r="348" spans="1:30" x14ac:dyDescent="0.25">
      <c r="A348" t="s">
        <v>70</v>
      </c>
      <c r="B348" t="s">
        <v>71</v>
      </c>
      <c r="C348">
        <v>7</v>
      </c>
      <c r="D348">
        <v>8</v>
      </c>
      <c r="E348">
        <f t="shared" si="226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3">
        <v>2E-3</v>
      </c>
      <c r="M348" s="3">
        <v>3</v>
      </c>
      <c r="N348">
        <v>183.45654730000001</v>
      </c>
      <c r="P348">
        <f t="shared" si="240"/>
        <v>114.29726376784048</v>
      </c>
      <c r="Q348">
        <f t="shared" si="241"/>
        <v>2986.3279342684064</v>
      </c>
      <c r="R348">
        <f t="shared" si="242"/>
        <v>7176.9476911040774</v>
      </c>
      <c r="S348">
        <f t="shared" si="243"/>
        <v>19018.911381425805</v>
      </c>
      <c r="T348">
        <f t="shared" si="244"/>
        <v>114.3</v>
      </c>
      <c r="U348">
        <v>0.19</v>
      </c>
      <c r="V348">
        <v>0</v>
      </c>
      <c r="W348" t="s">
        <v>279</v>
      </c>
      <c r="X348" s="5" t="s">
        <v>531</v>
      </c>
      <c r="Y348" s="5" t="s">
        <v>532</v>
      </c>
      <c r="AA348" s="5" t="s">
        <v>534</v>
      </c>
      <c r="AB348" t="s">
        <v>533</v>
      </c>
    </row>
    <row r="349" spans="1:30" x14ac:dyDescent="0.25">
      <c r="A349" t="s">
        <v>70</v>
      </c>
      <c r="B349" t="s">
        <v>71</v>
      </c>
      <c r="C349">
        <v>8</v>
      </c>
      <c r="D349">
        <v>8</v>
      </c>
      <c r="E349">
        <f t="shared" si="226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3">
        <v>2E-3</v>
      </c>
      <c r="M349" s="3">
        <v>3</v>
      </c>
      <c r="N349">
        <v>194.93589650000001</v>
      </c>
      <c r="P349">
        <f t="shared" si="240"/>
        <v>114.29940155350126</v>
      </c>
      <c r="Q349">
        <f t="shared" si="241"/>
        <v>2986.495503855821</v>
      </c>
      <c r="R349">
        <f t="shared" si="242"/>
        <v>7177.3504058058652</v>
      </c>
      <c r="S349">
        <f t="shared" si="243"/>
        <v>19019.978575385543</v>
      </c>
      <c r="T349">
        <f t="shared" si="244"/>
        <v>114.3</v>
      </c>
      <c r="U349">
        <v>0.19</v>
      </c>
      <c r="V349">
        <v>0</v>
      </c>
    </row>
    <row r="350" spans="1:30" x14ac:dyDescent="0.25">
      <c r="A350" t="s">
        <v>70</v>
      </c>
      <c r="B350" t="s">
        <v>71</v>
      </c>
      <c r="C350">
        <v>9</v>
      </c>
      <c r="D350">
        <v>8</v>
      </c>
      <c r="E350">
        <f t="shared" si="226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3">
        <v>2E-3</v>
      </c>
      <c r="M350" s="3">
        <v>3</v>
      </c>
      <c r="N350">
        <v>205.2001631</v>
      </c>
      <c r="P350">
        <f t="shared" si="240"/>
        <v>114.29986911263701</v>
      </c>
      <c r="Q350">
        <f t="shared" si="241"/>
        <v>2986.5321541518792</v>
      </c>
      <c r="R350">
        <f t="shared" si="242"/>
        <v>7177.4384863058849</v>
      </c>
      <c r="S350">
        <f t="shared" si="243"/>
        <v>19020.211988710595</v>
      </c>
      <c r="T350">
        <f t="shared" si="244"/>
        <v>114.3</v>
      </c>
      <c r="U350">
        <v>0.19</v>
      </c>
      <c r="V350">
        <v>0</v>
      </c>
    </row>
    <row r="351" spans="1:30" x14ac:dyDescent="0.25">
      <c r="A351" t="s">
        <v>70</v>
      </c>
      <c r="B351" t="s">
        <v>71</v>
      </c>
      <c r="C351">
        <v>10</v>
      </c>
      <c r="D351">
        <v>8</v>
      </c>
      <c r="E351">
        <f t="shared" si="226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3">
        <v>2E-3</v>
      </c>
      <c r="M351" s="3">
        <v>3</v>
      </c>
      <c r="N351">
        <v>217.4624772</v>
      </c>
      <c r="P351">
        <f t="shared" si="240"/>
        <v>114.29997137337786</v>
      </c>
      <c r="Q351">
        <f t="shared" si="241"/>
        <v>2986.5401700472498</v>
      </c>
      <c r="R351">
        <f t="shared" si="242"/>
        <v>7177.4577506542901</v>
      </c>
      <c r="S351">
        <f t="shared" si="243"/>
        <v>19020.263039233869</v>
      </c>
      <c r="T351">
        <f t="shared" si="244"/>
        <v>114.3</v>
      </c>
      <c r="U351">
        <v>0.19</v>
      </c>
      <c r="V351">
        <v>0</v>
      </c>
    </row>
    <row r="352" spans="1:30" x14ac:dyDescent="0.25">
      <c r="A352" t="s">
        <v>72</v>
      </c>
      <c r="B352" t="s">
        <v>73</v>
      </c>
      <c r="C352">
        <v>1</v>
      </c>
      <c r="D352">
        <v>2</v>
      </c>
      <c r="E352">
        <f t="shared" si="226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P352">
        <f>60.2*(1-EXP(-0.19*(E352)))</f>
        <v>19.031543165416181</v>
      </c>
      <c r="Q352">
        <f t="shared" ref="Q352" si="245">L352*(P352^M352)</f>
        <v>89.611833907615278</v>
      </c>
      <c r="R352">
        <f t="shared" ref="R352" si="246">Q352/20/5.7/3.65*1000</f>
        <v>215.36129273639818</v>
      </c>
      <c r="S352">
        <f t="shared" ref="S352" si="247">R352*2.65</f>
        <v>570.70742575145516</v>
      </c>
      <c r="T352">
        <v>60.2</v>
      </c>
      <c r="U352">
        <v>0.19</v>
      </c>
      <c r="V352">
        <v>0</v>
      </c>
      <c r="X352" t="s">
        <v>211</v>
      </c>
    </row>
    <row r="353" spans="1:26" x14ac:dyDescent="0.25">
      <c r="A353" t="s">
        <v>72</v>
      </c>
      <c r="B353" t="s">
        <v>73</v>
      </c>
      <c r="C353">
        <v>2</v>
      </c>
      <c r="D353">
        <v>2</v>
      </c>
      <c r="E353">
        <f t="shared" si="226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P353">
        <f t="shared" ref="P353:P361" si="248">60.2*(1-EXP(-0.19*(E353)))</f>
        <v>32.046481094003468</v>
      </c>
      <c r="Q353">
        <f t="shared" ref="Q353:Q361" si="249">L353*(P353^M353)</f>
        <v>427.84296656974954</v>
      </c>
      <c r="R353">
        <f t="shared" ref="R353:R361" si="250">Q353/20/5.7/3.65*1000</f>
        <v>1028.2215010087707</v>
      </c>
      <c r="S353">
        <f t="shared" ref="S353:S361" si="251">R353*2.65</f>
        <v>2724.7869776732423</v>
      </c>
      <c r="T353">
        <v>60.2</v>
      </c>
      <c r="U353">
        <v>0.19</v>
      </c>
      <c r="V353">
        <v>0</v>
      </c>
    </row>
    <row r="354" spans="1:26" x14ac:dyDescent="0.25">
      <c r="A354" t="s">
        <v>72</v>
      </c>
      <c r="B354" t="s">
        <v>73</v>
      </c>
      <c r="C354">
        <v>3</v>
      </c>
      <c r="D354">
        <v>2</v>
      </c>
      <c r="E354">
        <f t="shared" si="226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P354">
        <f t="shared" si="248"/>
        <v>40.946894886658512</v>
      </c>
      <c r="Q354">
        <f t="shared" si="249"/>
        <v>892.49598935225401</v>
      </c>
      <c r="R354">
        <f t="shared" si="250"/>
        <v>2144.9074485754722</v>
      </c>
      <c r="S354">
        <f t="shared" si="251"/>
        <v>5684.0047387250015</v>
      </c>
      <c r="T354">
        <v>60.2</v>
      </c>
      <c r="U354">
        <v>0.19</v>
      </c>
      <c r="V354">
        <v>0</v>
      </c>
    </row>
    <row r="355" spans="1:26" x14ac:dyDescent="0.25">
      <c r="A355" t="s">
        <v>72</v>
      </c>
      <c r="B355" t="s">
        <v>73</v>
      </c>
      <c r="C355">
        <v>4</v>
      </c>
      <c r="D355">
        <v>2</v>
      </c>
      <c r="E355">
        <f t="shared" si="226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P355">
        <f t="shared" si="248"/>
        <v>47.033544405476675</v>
      </c>
      <c r="Q355">
        <f t="shared" si="249"/>
        <v>1352.5909471082523</v>
      </c>
      <c r="R355">
        <f t="shared" si="250"/>
        <v>3250.6391422933243</v>
      </c>
      <c r="S355">
        <f t="shared" si="251"/>
        <v>8614.1937270773087</v>
      </c>
      <c r="T355">
        <v>60.2</v>
      </c>
      <c r="U355">
        <v>0.19</v>
      </c>
      <c r="V355">
        <v>0</v>
      </c>
    </row>
    <row r="356" spans="1:26" x14ac:dyDescent="0.25">
      <c r="A356" t="s">
        <v>72</v>
      </c>
      <c r="B356" t="s">
        <v>73</v>
      </c>
      <c r="C356">
        <v>5</v>
      </c>
      <c r="D356">
        <v>2</v>
      </c>
      <c r="E356">
        <f t="shared" si="226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P356">
        <f t="shared" si="248"/>
        <v>51.195969122797372</v>
      </c>
      <c r="Q356">
        <f t="shared" si="249"/>
        <v>1744.4183950364686</v>
      </c>
      <c r="R356">
        <f t="shared" si="250"/>
        <v>4192.3056838175162</v>
      </c>
      <c r="S356">
        <f t="shared" si="251"/>
        <v>11109.610062116417</v>
      </c>
      <c r="T356">
        <v>60.2</v>
      </c>
      <c r="U356">
        <v>0.19</v>
      </c>
      <c r="V356">
        <v>0</v>
      </c>
    </row>
    <row r="357" spans="1:26" x14ac:dyDescent="0.25">
      <c r="A357" t="s">
        <v>72</v>
      </c>
      <c r="B357" t="s">
        <v>73</v>
      </c>
      <c r="C357">
        <v>6</v>
      </c>
      <c r="D357">
        <v>2</v>
      </c>
      <c r="E357">
        <f t="shared" si="226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P357">
        <f t="shared" si="248"/>
        <v>54.04249075572465</v>
      </c>
      <c r="Q357">
        <f t="shared" si="249"/>
        <v>2051.8680220091942</v>
      </c>
      <c r="R357">
        <f t="shared" si="250"/>
        <v>4931.1896707743199</v>
      </c>
      <c r="S357">
        <f t="shared" si="251"/>
        <v>13067.652627551948</v>
      </c>
      <c r="T357">
        <v>60.2</v>
      </c>
      <c r="U357">
        <v>0.19</v>
      </c>
      <c r="V357">
        <v>0</v>
      </c>
    </row>
    <row r="358" spans="1:26" x14ac:dyDescent="0.25">
      <c r="A358" t="s">
        <v>72</v>
      </c>
      <c r="B358" t="s">
        <v>73</v>
      </c>
      <c r="C358">
        <v>7</v>
      </c>
      <c r="D358">
        <v>2</v>
      </c>
      <c r="E358">
        <f t="shared" si="226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P358">
        <f t="shared" si="248"/>
        <v>55.98911705097175</v>
      </c>
      <c r="Q358">
        <f t="shared" si="249"/>
        <v>2281.67723045515</v>
      </c>
      <c r="R358">
        <f t="shared" si="250"/>
        <v>5483.4828898225187</v>
      </c>
      <c r="S358">
        <f t="shared" si="251"/>
        <v>14531.229658029673</v>
      </c>
      <c r="T358">
        <v>60.2</v>
      </c>
      <c r="U358">
        <v>0.19</v>
      </c>
      <c r="V358">
        <v>0</v>
      </c>
    </row>
    <row r="359" spans="1:26" x14ac:dyDescent="0.25">
      <c r="A359" t="s">
        <v>72</v>
      </c>
      <c r="B359" t="s">
        <v>73</v>
      </c>
      <c r="C359">
        <v>8</v>
      </c>
      <c r="D359">
        <v>2</v>
      </c>
      <c r="E359">
        <f t="shared" si="226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P359">
        <f t="shared" si="248"/>
        <v>57.320339652449263</v>
      </c>
      <c r="Q359">
        <f t="shared" si="249"/>
        <v>2448.3281037301608</v>
      </c>
      <c r="R359">
        <f t="shared" si="250"/>
        <v>5883.9896749102645</v>
      </c>
      <c r="S359">
        <f t="shared" si="251"/>
        <v>15592.5726385122</v>
      </c>
      <c r="T359">
        <v>60.2</v>
      </c>
      <c r="U359">
        <v>0.19</v>
      </c>
      <c r="V359">
        <v>0</v>
      </c>
    </row>
    <row r="360" spans="1:26" x14ac:dyDescent="0.25">
      <c r="A360" t="s">
        <v>72</v>
      </c>
      <c r="B360" t="s">
        <v>73</v>
      </c>
      <c r="C360">
        <v>9</v>
      </c>
      <c r="D360">
        <v>2</v>
      </c>
      <c r="E360">
        <f t="shared" si="226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P360">
        <f t="shared" si="248"/>
        <v>58.230711416671014</v>
      </c>
      <c r="Q360">
        <f t="shared" si="249"/>
        <v>2566.8449758529418</v>
      </c>
      <c r="R360">
        <f t="shared" si="250"/>
        <v>6168.8175338931551</v>
      </c>
      <c r="S360">
        <f t="shared" si="251"/>
        <v>16347.36646481686</v>
      </c>
      <c r="T360">
        <v>60.2</v>
      </c>
      <c r="U360">
        <v>0.19</v>
      </c>
      <c r="V360">
        <v>0</v>
      </c>
    </row>
    <row r="361" spans="1:26" x14ac:dyDescent="0.25">
      <c r="A361" t="s">
        <v>72</v>
      </c>
      <c r="B361" t="s">
        <v>73</v>
      </c>
      <c r="C361">
        <v>10</v>
      </c>
      <c r="D361">
        <v>2</v>
      </c>
      <c r="E361">
        <f t="shared" si="226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P361">
        <f t="shared" si="248"/>
        <v>58.853279534258832</v>
      </c>
      <c r="Q361">
        <f t="shared" si="249"/>
        <v>2650.0578686173258</v>
      </c>
      <c r="R361">
        <f t="shared" si="250"/>
        <v>6368.8004532980667</v>
      </c>
      <c r="S361">
        <f t="shared" si="251"/>
        <v>16877.321201239876</v>
      </c>
      <c r="T361">
        <v>60.2</v>
      </c>
      <c r="U361">
        <v>0.19</v>
      </c>
      <c r="V361">
        <v>0</v>
      </c>
      <c r="X361" t="s">
        <v>454</v>
      </c>
    </row>
    <row r="362" spans="1:26" x14ac:dyDescent="0.25">
      <c r="A362" t="s">
        <v>74</v>
      </c>
      <c r="B362" t="s">
        <v>75</v>
      </c>
      <c r="C362">
        <v>1</v>
      </c>
      <c r="D362">
        <v>9</v>
      </c>
      <c r="E362">
        <f t="shared" si="226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3">
        <v>1.7000000000000001E-2</v>
      </c>
      <c r="M362">
        <v>3</v>
      </c>
      <c r="N362">
        <v>1465.5893920000001</v>
      </c>
      <c r="P362" s="3">
        <f>T362*(1-EXP(-U362*(E362)))</f>
        <v>1417.9064450384276</v>
      </c>
      <c r="Q362" s="3">
        <f t="shared" ref="Q362" si="252">L362*(P362^M362)</f>
        <v>48460919.603417419</v>
      </c>
      <c r="R362" s="3">
        <f t="shared" ref="R362" si="253">Q362/20/5.7/3.65*1000</f>
        <v>116464598.9027095</v>
      </c>
      <c r="S362" s="3">
        <f t="shared" ref="S362" si="254">R362*2.65</f>
        <v>308631187.09218013</v>
      </c>
      <c r="T362">
        <f>$X$363*100</f>
        <v>1584.96</v>
      </c>
      <c r="U362" s="3">
        <v>0.25</v>
      </c>
      <c r="V362">
        <v>0</v>
      </c>
      <c r="W362" t="s">
        <v>442</v>
      </c>
      <c r="X362">
        <f>70*907.185</f>
        <v>63502.95</v>
      </c>
      <c r="Y362">
        <f>X362*0.001</f>
        <v>63.502949999999998</v>
      </c>
      <c r="Z362">
        <f>Q362*0.000001</f>
        <v>48.460919603417416</v>
      </c>
    </row>
    <row r="363" spans="1:26" x14ac:dyDescent="0.25">
      <c r="A363" t="s">
        <v>74</v>
      </c>
      <c r="B363" t="s">
        <v>75</v>
      </c>
      <c r="C363">
        <v>2</v>
      </c>
      <c r="D363">
        <v>9</v>
      </c>
      <c r="E363">
        <f t="shared" si="226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3">
        <v>1.7000000000000001E-2</v>
      </c>
      <c r="M363">
        <v>3</v>
      </c>
      <c r="N363">
        <v>1542.0432000000001</v>
      </c>
      <c r="P363" s="3">
        <f t="shared" ref="P363:P371" si="255">T363*(1-EXP(-U363*(E363)))</f>
        <v>1567.3526848467475</v>
      </c>
      <c r="Q363" s="3">
        <f t="shared" ref="Q363:Q371" si="256">L363*(P363^M363)</f>
        <v>65455948.114194192</v>
      </c>
      <c r="R363" s="3">
        <f t="shared" ref="R363:R371" si="257">Q363/20/5.7/3.65*1000</f>
        <v>157308214.64598462</v>
      </c>
      <c r="S363" s="3">
        <f t="shared" ref="S363:S371" si="258">R363*2.65</f>
        <v>416866768.81185925</v>
      </c>
      <c r="T363">
        <f t="shared" ref="T363:T371" si="259">$X$363*100</f>
        <v>1584.96</v>
      </c>
      <c r="U363" s="3">
        <v>0.25</v>
      </c>
      <c r="V363">
        <v>0</v>
      </c>
      <c r="W363" t="s">
        <v>443</v>
      </c>
      <c r="X363">
        <f>52*0.3048</f>
        <v>15.849600000000001</v>
      </c>
      <c r="Z363">
        <f t="shared" ref="Z363:Z365" si="260">Q363*0.000001</f>
        <v>65.455948114194186</v>
      </c>
    </row>
    <row r="364" spans="1:26" x14ac:dyDescent="0.25">
      <c r="A364" t="s">
        <v>74</v>
      </c>
      <c r="B364" t="s">
        <v>75</v>
      </c>
      <c r="C364">
        <v>3</v>
      </c>
      <c r="D364">
        <v>9</v>
      </c>
      <c r="E364">
        <f t="shared" si="226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3">
        <v>1.7000000000000001E-2</v>
      </c>
      <c r="M364">
        <v>3</v>
      </c>
      <c r="N364">
        <v>1544.863059</v>
      </c>
      <c r="P364" s="3">
        <f t="shared" si="255"/>
        <v>1583.1042026362309</v>
      </c>
      <c r="Q364" s="3">
        <f t="shared" si="256"/>
        <v>67449296.887868449</v>
      </c>
      <c r="R364" s="3">
        <f t="shared" si="257"/>
        <v>162098766.85380542</v>
      </c>
      <c r="S364" s="3">
        <f t="shared" si="258"/>
        <v>429561732.16258436</v>
      </c>
      <c r="T364">
        <f t="shared" si="259"/>
        <v>1584.96</v>
      </c>
      <c r="U364" s="3">
        <v>0.25</v>
      </c>
      <c r="V364">
        <v>0</v>
      </c>
      <c r="W364" t="s">
        <v>447</v>
      </c>
      <c r="X364">
        <v>70</v>
      </c>
      <c r="Z364">
        <f t="shared" si="260"/>
        <v>67.449296887868442</v>
      </c>
    </row>
    <row r="365" spans="1:26" x14ac:dyDescent="0.25">
      <c r="A365" t="s">
        <v>74</v>
      </c>
      <c r="B365" t="s">
        <v>75</v>
      </c>
      <c r="C365">
        <v>4</v>
      </c>
      <c r="D365">
        <v>9</v>
      </c>
      <c r="E365">
        <f t="shared" si="226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3">
        <v>1.7000000000000001E-2</v>
      </c>
      <c r="M365">
        <v>3</v>
      </c>
      <c r="N365">
        <v>1544.9670639999999</v>
      </c>
      <c r="P365" s="3">
        <f t="shared" si="255"/>
        <v>1584.7644003969149</v>
      </c>
      <c r="Q365" s="3">
        <f t="shared" si="256"/>
        <v>67661721.271844134</v>
      </c>
      <c r="R365" s="3">
        <f t="shared" si="257"/>
        <v>162609279.6727809</v>
      </c>
      <c r="S365" s="3">
        <f t="shared" si="258"/>
        <v>430914591.13286936</v>
      </c>
      <c r="T365">
        <f t="shared" si="259"/>
        <v>1584.96</v>
      </c>
      <c r="U365" s="3">
        <v>0.25</v>
      </c>
      <c r="V365">
        <v>0</v>
      </c>
      <c r="W365" t="s">
        <v>444</v>
      </c>
      <c r="X365">
        <f>(AVERAGE(4000,6000))*0.453592</f>
        <v>2267.96</v>
      </c>
      <c r="Z365">
        <f t="shared" si="260"/>
        <v>67.661721271844129</v>
      </c>
    </row>
    <row r="366" spans="1:26" x14ac:dyDescent="0.25">
      <c r="A366" t="s">
        <v>74</v>
      </c>
      <c r="B366" t="s">
        <v>75</v>
      </c>
      <c r="C366">
        <v>5</v>
      </c>
      <c r="D366">
        <v>9</v>
      </c>
      <c r="E366">
        <f t="shared" si="226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3">
        <v>1.7000000000000001E-2</v>
      </c>
      <c r="M366">
        <v>3</v>
      </c>
      <c r="N366">
        <v>1544.9709</v>
      </c>
      <c r="P366" s="3">
        <f t="shared" si="255"/>
        <v>1584.9393839535103</v>
      </c>
      <c r="Q366" s="3">
        <f t="shared" si="256"/>
        <v>67684136.583491653</v>
      </c>
      <c r="R366" s="3">
        <f t="shared" si="257"/>
        <v>162663149.68395016</v>
      </c>
      <c r="S366" s="3">
        <f t="shared" si="258"/>
        <v>431057346.6624679</v>
      </c>
      <c r="T366">
        <f t="shared" si="259"/>
        <v>1584.96</v>
      </c>
      <c r="U366" s="3">
        <v>0.25</v>
      </c>
      <c r="V366">
        <v>0</v>
      </c>
      <c r="W366" t="s">
        <v>445</v>
      </c>
      <c r="X366">
        <f>14*0.3048</f>
        <v>4.2671999999999999</v>
      </c>
    </row>
    <row r="367" spans="1:26" x14ac:dyDescent="0.25">
      <c r="A367" t="s">
        <v>74</v>
      </c>
      <c r="B367" t="s">
        <v>75</v>
      </c>
      <c r="C367">
        <v>6</v>
      </c>
      <c r="D367">
        <v>9</v>
      </c>
      <c r="E367">
        <f t="shared" si="226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3">
        <v>1.7000000000000001E-2</v>
      </c>
      <c r="M367">
        <v>3</v>
      </c>
      <c r="N367">
        <v>1544.971041</v>
      </c>
      <c r="P367" s="3">
        <f t="shared" si="255"/>
        <v>1584.9578270846864</v>
      </c>
      <c r="Q367" s="3">
        <f t="shared" si="256"/>
        <v>67686499.428307354</v>
      </c>
      <c r="R367" s="3">
        <f t="shared" si="257"/>
        <v>162668828.23433635</v>
      </c>
      <c r="S367" s="3">
        <f t="shared" si="258"/>
        <v>431072394.82099128</v>
      </c>
      <c r="T367">
        <f t="shared" si="259"/>
        <v>1584.96</v>
      </c>
      <c r="U367" s="3">
        <v>0.25</v>
      </c>
      <c r="V367">
        <v>0</v>
      </c>
      <c r="W367" t="s">
        <v>441</v>
      </c>
      <c r="X367">
        <f>4000*0.453592</f>
        <v>1814.3679999999999</v>
      </c>
    </row>
    <row r="368" spans="1:26" x14ac:dyDescent="0.25">
      <c r="A368" t="s">
        <v>74</v>
      </c>
      <c r="B368" t="s">
        <v>75</v>
      </c>
      <c r="C368">
        <v>7</v>
      </c>
      <c r="D368">
        <v>9</v>
      </c>
      <c r="E368">
        <f t="shared" si="226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3">
        <v>1.7000000000000001E-2</v>
      </c>
      <c r="M368">
        <v>3</v>
      </c>
      <c r="N368">
        <v>1544.971047</v>
      </c>
      <c r="P368" s="3">
        <f t="shared" si="255"/>
        <v>1584.9597709764109</v>
      </c>
      <c r="Q368" s="3">
        <f t="shared" si="256"/>
        <v>67686748.473522097</v>
      </c>
      <c r="R368" s="3">
        <f t="shared" si="257"/>
        <v>162669426.75684234</v>
      </c>
      <c r="S368" s="3">
        <f t="shared" si="258"/>
        <v>431073980.9056322</v>
      </c>
      <c r="T368">
        <f t="shared" si="259"/>
        <v>1584.96</v>
      </c>
      <c r="U368" s="3">
        <v>0.25</v>
      </c>
      <c r="V368">
        <v>0</v>
      </c>
      <c r="W368" t="s">
        <v>279</v>
      </c>
      <c r="X368" s="5" t="s">
        <v>455</v>
      </c>
    </row>
    <row r="369" spans="1:33" x14ac:dyDescent="0.25">
      <c r="A369" t="s">
        <v>74</v>
      </c>
      <c r="B369" t="s">
        <v>75</v>
      </c>
      <c r="C369">
        <v>8</v>
      </c>
      <c r="D369">
        <v>9</v>
      </c>
      <c r="E369">
        <f t="shared" si="226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3">
        <v>1.7000000000000001E-2</v>
      </c>
      <c r="M369">
        <v>3</v>
      </c>
      <c r="N369">
        <v>1544.971047</v>
      </c>
      <c r="P369" s="3">
        <f t="shared" si="255"/>
        <v>1584.9599758610914</v>
      </c>
      <c r="Q369" s="3">
        <f t="shared" si="256"/>
        <v>67686774.722730204</v>
      </c>
      <c r="R369" s="3">
        <f t="shared" si="257"/>
        <v>162669489.84073585</v>
      </c>
      <c r="S369" s="3">
        <f t="shared" si="258"/>
        <v>431074148.07795</v>
      </c>
      <c r="T369">
        <f t="shared" si="259"/>
        <v>1584.96</v>
      </c>
      <c r="U369" s="3">
        <v>0.25</v>
      </c>
      <c r="V369">
        <v>0</v>
      </c>
      <c r="W369" t="s">
        <v>448</v>
      </c>
      <c r="X369">
        <v>12</v>
      </c>
    </row>
    <row r="370" spans="1:33" x14ac:dyDescent="0.25">
      <c r="A370" t="s">
        <v>74</v>
      </c>
      <c r="B370" t="s">
        <v>75</v>
      </c>
      <c r="C370">
        <v>9</v>
      </c>
      <c r="D370">
        <v>9</v>
      </c>
      <c r="E370">
        <f t="shared" si="226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3">
        <v>1.7000000000000001E-2</v>
      </c>
      <c r="M370">
        <v>3</v>
      </c>
      <c r="N370">
        <v>1544.971047</v>
      </c>
      <c r="P370" s="3">
        <f t="shared" si="255"/>
        <v>1584.9599974557777</v>
      </c>
      <c r="Q370" s="3">
        <f t="shared" si="256"/>
        <v>67686777.489376783</v>
      </c>
      <c r="R370" s="3">
        <f t="shared" si="257"/>
        <v>162669496.48973033</v>
      </c>
      <c r="S370" s="3">
        <f t="shared" si="258"/>
        <v>431074165.69778538</v>
      </c>
      <c r="T370">
        <f t="shared" si="259"/>
        <v>1584.96</v>
      </c>
      <c r="U370" s="3">
        <v>0.25</v>
      </c>
      <c r="V370">
        <v>0</v>
      </c>
      <c r="W370" t="s">
        <v>449</v>
      </c>
      <c r="X370">
        <v>10</v>
      </c>
    </row>
    <row r="371" spans="1:33" x14ac:dyDescent="0.25">
      <c r="A371" t="s">
        <v>74</v>
      </c>
      <c r="B371" t="s">
        <v>75</v>
      </c>
      <c r="C371">
        <v>10</v>
      </c>
      <c r="D371">
        <v>9</v>
      </c>
      <c r="E371">
        <f t="shared" si="226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3">
        <v>1.7000000000000001E-2</v>
      </c>
      <c r="M371">
        <v>3</v>
      </c>
      <c r="N371">
        <v>1544.971047</v>
      </c>
      <c r="P371" s="3">
        <f t="shared" si="255"/>
        <v>1584.959999731841</v>
      </c>
      <c r="Q371" s="3">
        <f t="shared" si="256"/>
        <v>67686777.780979186</v>
      </c>
      <c r="R371" s="3">
        <f t="shared" si="257"/>
        <v>162669497.19052917</v>
      </c>
      <c r="S371" s="3">
        <f t="shared" si="258"/>
        <v>431074167.55490226</v>
      </c>
      <c r="T371">
        <f t="shared" si="259"/>
        <v>1584.96</v>
      </c>
      <c r="U371" s="3">
        <v>0.25</v>
      </c>
      <c r="V371">
        <v>0</v>
      </c>
      <c r="W371" t="s">
        <v>450</v>
      </c>
    </row>
    <row r="372" spans="1:33" x14ac:dyDescent="0.25">
      <c r="A372" t="s">
        <v>76</v>
      </c>
      <c r="B372" s="3" t="s">
        <v>77</v>
      </c>
      <c r="C372">
        <v>1</v>
      </c>
      <c r="D372">
        <v>2</v>
      </c>
      <c r="E372">
        <f t="shared" si="226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1.35E-2</v>
      </c>
      <c r="M372">
        <v>3</v>
      </c>
      <c r="N372">
        <v>15.782353730000001</v>
      </c>
      <c r="P372">
        <f>136*(1-EXP(-0.2*(E372)))</f>
        <v>44.83647373915305</v>
      </c>
      <c r="Q372">
        <f t="shared" ref="Q372" si="261">L372*(P372^M372)</f>
        <v>1216.8249786763251</v>
      </c>
      <c r="R372">
        <f t="shared" ref="R372" si="262">Q372/20/5.7/3.65*1000</f>
        <v>2924.3570744444251</v>
      </c>
      <c r="S372">
        <f t="shared" ref="S372" si="263">R372*2.65</f>
        <v>7749.5462472777263</v>
      </c>
      <c r="T372">
        <v>136</v>
      </c>
      <c r="U372">
        <v>0.2</v>
      </c>
      <c r="V372">
        <v>0</v>
      </c>
    </row>
    <row r="373" spans="1:33" x14ac:dyDescent="0.25">
      <c r="A373" t="s">
        <v>76</v>
      </c>
      <c r="B373" s="3" t="s">
        <v>77</v>
      </c>
      <c r="C373">
        <v>2</v>
      </c>
      <c r="D373">
        <v>2</v>
      </c>
      <c r="E373">
        <f t="shared" si="226"/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1.35E-2</v>
      </c>
      <c r="M373">
        <v>3</v>
      </c>
      <c r="N373">
        <v>22.0428712</v>
      </c>
      <c r="P373">
        <f t="shared" ref="P373:P381" si="264">136*(1-EXP(-0.2*(E373)))</f>
        <v>74.891260880057871</v>
      </c>
      <c r="Q373">
        <f t="shared" ref="Q373:Q381" si="265">L373*(P373^M373)</f>
        <v>5670.5762678764968</v>
      </c>
      <c r="R373">
        <f t="shared" ref="R373:R381" si="266">Q373/20/5.7/3.65*1000</f>
        <v>13627.917010037245</v>
      </c>
      <c r="S373">
        <f t="shared" ref="S373:S381" si="267">R373*2.65</f>
        <v>36113.980076598695</v>
      </c>
      <c r="T373">
        <v>136</v>
      </c>
      <c r="U373">
        <v>0.2</v>
      </c>
      <c r="V373">
        <v>0</v>
      </c>
    </row>
    <row r="374" spans="1:33" x14ac:dyDescent="0.25">
      <c r="A374" t="s">
        <v>76</v>
      </c>
      <c r="B374" s="3" t="s">
        <v>77</v>
      </c>
      <c r="C374">
        <v>3</v>
      </c>
      <c r="D374">
        <v>2</v>
      </c>
      <c r="E374">
        <f t="shared" si="226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1.35E-2</v>
      </c>
      <c r="M374">
        <v>3</v>
      </c>
      <c r="N374">
        <v>28.262336659999999</v>
      </c>
      <c r="P374">
        <f t="shared" si="264"/>
        <v>95.03758717994053</v>
      </c>
      <c r="Q374">
        <f t="shared" si="265"/>
        <v>11588.306520557882</v>
      </c>
      <c r="R374">
        <f t="shared" si="266"/>
        <v>27849.811392833173</v>
      </c>
      <c r="S374">
        <f t="shared" si="267"/>
        <v>73802.000191007901</v>
      </c>
      <c r="T374">
        <v>136</v>
      </c>
      <c r="U374">
        <v>0.2</v>
      </c>
      <c r="V374">
        <v>0</v>
      </c>
    </row>
    <row r="375" spans="1:33" x14ac:dyDescent="0.25">
      <c r="A375" t="s">
        <v>76</v>
      </c>
      <c r="B375" s="3" t="s">
        <v>77</v>
      </c>
      <c r="C375">
        <v>4</v>
      </c>
      <c r="D375">
        <v>2</v>
      </c>
      <c r="E375">
        <f t="shared" si="226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1.35E-2</v>
      </c>
      <c r="M375">
        <v>3</v>
      </c>
      <c r="N375">
        <v>32.51414389</v>
      </c>
      <c r="P375">
        <f t="shared" si="264"/>
        <v>108.54207355272688</v>
      </c>
      <c r="Q375">
        <f t="shared" si="265"/>
        <v>17263.47063256989</v>
      </c>
      <c r="R375">
        <f t="shared" si="266"/>
        <v>41488.754223912256</v>
      </c>
      <c r="S375">
        <f t="shared" si="267"/>
        <v>109945.19869336748</v>
      </c>
      <c r="T375">
        <v>136</v>
      </c>
      <c r="U375">
        <v>0.2</v>
      </c>
      <c r="V375">
        <v>0</v>
      </c>
    </row>
    <row r="376" spans="1:33" x14ac:dyDescent="0.25">
      <c r="A376" t="s">
        <v>76</v>
      </c>
      <c r="B376" s="3" t="s">
        <v>77</v>
      </c>
      <c r="C376">
        <v>5</v>
      </c>
      <c r="D376">
        <v>2</v>
      </c>
      <c r="E376">
        <f t="shared" si="226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1.35E-2</v>
      </c>
      <c r="M376">
        <v>3</v>
      </c>
      <c r="N376">
        <v>36.288772530000003</v>
      </c>
      <c r="P376">
        <f t="shared" si="264"/>
        <v>117.59440147982068</v>
      </c>
      <c r="Q376">
        <f t="shared" si="265"/>
        <v>21952.991364567482</v>
      </c>
      <c r="R376">
        <f t="shared" si="266"/>
        <v>52758.931421695466</v>
      </c>
      <c r="S376">
        <f t="shared" si="267"/>
        <v>139811.16826749299</v>
      </c>
      <c r="T376">
        <v>136</v>
      </c>
      <c r="U376">
        <v>0.2</v>
      </c>
      <c r="V376">
        <v>0</v>
      </c>
    </row>
    <row r="377" spans="1:33" x14ac:dyDescent="0.25">
      <c r="A377" t="s">
        <v>76</v>
      </c>
      <c r="B377" s="3" t="s">
        <v>77</v>
      </c>
      <c r="C377">
        <v>6</v>
      </c>
      <c r="D377">
        <v>2</v>
      </c>
      <c r="E377">
        <f t="shared" si="226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1.35E-2</v>
      </c>
      <c r="M377">
        <v>3</v>
      </c>
      <c r="N377">
        <v>39.347356869999999</v>
      </c>
      <c r="P377">
        <f t="shared" si="264"/>
        <v>123.6623583526399</v>
      </c>
      <c r="Q377">
        <f t="shared" si="265"/>
        <v>25529.737090035233</v>
      </c>
      <c r="R377">
        <f t="shared" si="266"/>
        <v>61354.811559805894</v>
      </c>
      <c r="S377">
        <f t="shared" si="267"/>
        <v>162590.25063348562</v>
      </c>
      <c r="T377">
        <v>136</v>
      </c>
      <c r="U377">
        <v>0.2</v>
      </c>
      <c r="V377">
        <v>0</v>
      </c>
    </row>
    <row r="378" spans="1:33" x14ac:dyDescent="0.25">
      <c r="A378" t="s">
        <v>76</v>
      </c>
      <c r="B378" s="3" t="s">
        <v>77</v>
      </c>
      <c r="C378">
        <v>7</v>
      </c>
      <c r="D378">
        <v>2</v>
      </c>
      <c r="E378">
        <f t="shared" si="226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1.35E-2</v>
      </c>
      <c r="M378">
        <v>3</v>
      </c>
      <c r="N378">
        <v>41.240527700000001</v>
      </c>
      <c r="P378">
        <f t="shared" si="264"/>
        <v>127.72983148297035</v>
      </c>
      <c r="Q378">
        <f t="shared" si="265"/>
        <v>28132.659259456639</v>
      </c>
      <c r="R378">
        <f t="shared" si="266"/>
        <v>67610.332274589382</v>
      </c>
      <c r="S378">
        <f t="shared" si="267"/>
        <v>179167.38052766185</v>
      </c>
      <c r="T378">
        <v>136</v>
      </c>
      <c r="U378">
        <v>0.2</v>
      </c>
      <c r="V378">
        <v>0</v>
      </c>
    </row>
    <row r="379" spans="1:33" x14ac:dyDescent="0.25">
      <c r="A379" t="s">
        <v>76</v>
      </c>
      <c r="B379" s="3" t="s">
        <v>77</v>
      </c>
      <c r="C379">
        <v>8</v>
      </c>
      <c r="D379">
        <v>2</v>
      </c>
      <c r="E379">
        <f t="shared" si="226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1.35E-2</v>
      </c>
      <c r="M379">
        <v>3</v>
      </c>
      <c r="N379">
        <v>42.275504699999999</v>
      </c>
      <c r="P379">
        <f t="shared" si="264"/>
        <v>130.45634025894219</v>
      </c>
      <c r="Q379">
        <f t="shared" si="265"/>
        <v>29972.939790618715</v>
      </c>
      <c r="R379">
        <f t="shared" si="266"/>
        <v>72033.020405236035</v>
      </c>
      <c r="S379">
        <f t="shared" si="267"/>
        <v>190887.50407387549</v>
      </c>
      <c r="T379">
        <v>136</v>
      </c>
      <c r="U379">
        <v>0.2</v>
      </c>
      <c r="V379">
        <v>0</v>
      </c>
      <c r="Z379" s="3" t="s">
        <v>547</v>
      </c>
    </row>
    <row r="380" spans="1:33" x14ac:dyDescent="0.25">
      <c r="A380" t="s">
        <v>76</v>
      </c>
      <c r="B380" s="3" t="s">
        <v>77</v>
      </c>
      <c r="C380">
        <v>9</v>
      </c>
      <c r="D380">
        <v>2</v>
      </c>
      <c r="E380">
        <f t="shared" si="226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1.35E-2</v>
      </c>
      <c r="M380">
        <v>3</v>
      </c>
      <c r="N380">
        <v>43.353048229999999</v>
      </c>
      <c r="P380">
        <f t="shared" si="264"/>
        <v>132.2839737471682</v>
      </c>
      <c r="Q380">
        <f t="shared" si="265"/>
        <v>31250.39173852326</v>
      </c>
      <c r="R380">
        <f t="shared" si="266"/>
        <v>75103.080361747794</v>
      </c>
      <c r="S380">
        <f t="shared" si="267"/>
        <v>199023.16295863164</v>
      </c>
      <c r="T380">
        <v>136</v>
      </c>
      <c r="U380">
        <v>0.2</v>
      </c>
      <c r="V380">
        <v>0</v>
      </c>
      <c r="Y380" t="s">
        <v>538</v>
      </c>
      <c r="Z380" s="7">
        <v>0.05</v>
      </c>
      <c r="AA380" s="7">
        <v>0.17</v>
      </c>
      <c r="AB380" s="7">
        <v>0.1</v>
      </c>
      <c r="AC380" s="7">
        <v>7.0000000000000007E-2</v>
      </c>
      <c r="AD380" s="7">
        <v>0.6</v>
      </c>
      <c r="AE380" s="7"/>
      <c r="AG380" s="7">
        <f>SUM(Z380:AE380)</f>
        <v>0.99</v>
      </c>
    </row>
    <row r="381" spans="1:33" x14ac:dyDescent="0.25">
      <c r="A381" t="s">
        <v>76</v>
      </c>
      <c r="B381" s="3" t="s">
        <v>77</v>
      </c>
      <c r="C381">
        <v>10</v>
      </c>
      <c r="D381">
        <v>2</v>
      </c>
      <c r="E381">
        <f t="shared" si="226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1.35E-2</v>
      </c>
      <c r="M381">
        <v>3</v>
      </c>
      <c r="N381">
        <v>45.599358580000001</v>
      </c>
      <c r="P381">
        <f t="shared" si="264"/>
        <v>133.50907311113215</v>
      </c>
      <c r="Q381">
        <f t="shared" si="265"/>
        <v>32126.699489423452</v>
      </c>
      <c r="R381">
        <f t="shared" si="266"/>
        <v>77209.083127669917</v>
      </c>
      <c r="S381">
        <f t="shared" si="267"/>
        <v>204604.07028832528</v>
      </c>
      <c r="T381">
        <v>136</v>
      </c>
      <c r="U381">
        <v>0.2</v>
      </c>
      <c r="V381">
        <v>0</v>
      </c>
      <c r="X381" t="s">
        <v>535</v>
      </c>
      <c r="Y381" t="s">
        <v>539</v>
      </c>
      <c r="Z381" t="s">
        <v>542</v>
      </c>
      <c r="AA381" t="s">
        <v>543</v>
      </c>
      <c r="AB381" t="s">
        <v>544</v>
      </c>
      <c r="AC381" t="s">
        <v>546</v>
      </c>
      <c r="AD381" t="s">
        <v>545</v>
      </c>
      <c r="AE381" t="s">
        <v>548</v>
      </c>
    </row>
    <row r="382" spans="1:33" x14ac:dyDescent="0.25">
      <c r="A382" t="s">
        <v>78</v>
      </c>
      <c r="B382" t="s">
        <v>79</v>
      </c>
      <c r="C382">
        <v>1</v>
      </c>
      <c r="D382">
        <v>2</v>
      </c>
      <c r="E382">
        <f t="shared" si="226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3">
        <v>6.5000000000000002E-2</v>
      </c>
      <c r="M382">
        <v>3</v>
      </c>
      <c r="N382">
        <v>61.181673609999997</v>
      </c>
      <c r="P382">
        <f>T382*(1-EXP(-U382*(E382)))</f>
        <v>18.334128220497057</v>
      </c>
      <c r="Q382">
        <f t="shared" ref="Q382" si="268">L382*(P382^M382)</f>
        <v>400.58450789581048</v>
      </c>
      <c r="R382">
        <f t="shared" ref="R382" si="269">Q382/20/5.7/3.65*1000</f>
        <v>962.7121074160309</v>
      </c>
      <c r="S382">
        <f t="shared" ref="S382" si="270">R382*2.65</f>
        <v>2551.1870846524816</v>
      </c>
      <c r="T382">
        <v>23.6</v>
      </c>
      <c r="U382">
        <v>0.75</v>
      </c>
      <c r="V382">
        <v>0</v>
      </c>
      <c r="W382" t="s">
        <v>537</v>
      </c>
      <c r="X382">
        <v>3200</v>
      </c>
      <c r="Y382">
        <f>4*0.453592*1000</f>
        <v>1814.3679999999999</v>
      </c>
      <c r="Z382">
        <f>453.5</f>
        <v>453.5</v>
      </c>
      <c r="AA382">
        <f>8*28.35</f>
        <v>226.8</v>
      </c>
      <c r="AB382">
        <f>2*0.453592*1000</f>
        <v>907.18399999999997</v>
      </c>
      <c r="AC382">
        <f>4.5*0.453952*1000</f>
        <v>2042.7840000000001</v>
      </c>
      <c r="AD382">
        <f>2*0.453592*1000</f>
        <v>907.18399999999997</v>
      </c>
    </row>
    <row r="383" spans="1:33" x14ac:dyDescent="0.25">
      <c r="A383" t="s">
        <v>78</v>
      </c>
      <c r="B383" t="s">
        <v>79</v>
      </c>
      <c r="C383">
        <v>2</v>
      </c>
      <c r="D383">
        <v>2</v>
      </c>
      <c r="E383">
        <f t="shared" si="226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3">
        <v>6.5000000000000002E-2</v>
      </c>
      <c r="M383">
        <v>3</v>
      </c>
      <c r="N383">
        <v>78.690349569999995</v>
      </c>
      <c r="P383">
        <f t="shared" ref="P383:P391" si="271">T383*(1-EXP(-U383*(E383)))</f>
        <v>22.425025186518411</v>
      </c>
      <c r="Q383">
        <f t="shared" ref="Q383:Q391" si="272">L383*(P383^M383)</f>
        <v>733.01384085176244</v>
      </c>
      <c r="R383">
        <f t="shared" ref="R383:R391" si="273">Q383/20/5.7/3.65*1000</f>
        <v>1761.6290335298302</v>
      </c>
      <c r="S383">
        <f t="shared" ref="S383:S391" si="274">R383*2.65</f>
        <v>4668.31693885405</v>
      </c>
      <c r="T383">
        <v>23.6</v>
      </c>
      <c r="U383">
        <v>0.75</v>
      </c>
      <c r="V383">
        <v>0</v>
      </c>
      <c r="W383" t="s">
        <v>536</v>
      </c>
      <c r="X383">
        <v>180</v>
      </c>
    </row>
    <row r="384" spans="1:33" x14ac:dyDescent="0.25">
      <c r="A384" t="s">
        <v>78</v>
      </c>
      <c r="B384" t="s">
        <v>79</v>
      </c>
      <c r="C384">
        <v>3</v>
      </c>
      <c r="D384">
        <v>2</v>
      </c>
      <c r="E384">
        <f t="shared" si="226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3">
        <v>6.5000000000000002E-2</v>
      </c>
      <c r="M384">
        <v>3</v>
      </c>
      <c r="N384">
        <v>81.954377719999997</v>
      </c>
      <c r="P384">
        <f t="shared" si="271"/>
        <v>23.337827681697483</v>
      </c>
      <c r="Q384">
        <f t="shared" si="272"/>
        <v>826.21798263751305</v>
      </c>
      <c r="R384">
        <f t="shared" si="273"/>
        <v>1985.6236064347825</v>
      </c>
      <c r="S384">
        <f t="shared" si="274"/>
        <v>5261.9025570521735</v>
      </c>
      <c r="T384">
        <v>23.6</v>
      </c>
      <c r="U384">
        <v>0.75</v>
      </c>
      <c r="V384">
        <v>0</v>
      </c>
      <c r="W384" t="s">
        <v>447</v>
      </c>
      <c r="Y384">
        <v>26</v>
      </c>
    </row>
    <row r="385" spans="1:32" x14ac:dyDescent="0.25">
      <c r="A385" t="s">
        <v>78</v>
      </c>
      <c r="B385" t="s">
        <v>79</v>
      </c>
      <c r="C385">
        <v>4</v>
      </c>
      <c r="D385">
        <v>2</v>
      </c>
      <c r="E385">
        <f t="shared" si="226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3">
        <v>6.5000000000000002E-2</v>
      </c>
      <c r="M385">
        <v>3</v>
      </c>
      <c r="N385">
        <v>82.563657669999998</v>
      </c>
      <c r="P385">
        <f t="shared" si="271"/>
        <v>23.541501448630676</v>
      </c>
      <c r="Q385">
        <f t="shared" si="272"/>
        <v>848.03901153410027</v>
      </c>
      <c r="R385">
        <f t="shared" si="273"/>
        <v>2038.0653966212451</v>
      </c>
      <c r="S385">
        <f t="shared" si="274"/>
        <v>5400.8733010462993</v>
      </c>
      <c r="T385">
        <v>23.6</v>
      </c>
      <c r="U385">
        <v>0.75</v>
      </c>
      <c r="V385">
        <v>0</v>
      </c>
      <c r="W385" s="5" t="s">
        <v>541</v>
      </c>
      <c r="Y385" s="5" t="s">
        <v>540</v>
      </c>
      <c r="AF385" t="s">
        <v>549</v>
      </c>
    </row>
    <row r="386" spans="1:32" x14ac:dyDescent="0.25">
      <c r="A386" t="s">
        <v>78</v>
      </c>
      <c r="B386" t="s">
        <v>79</v>
      </c>
      <c r="C386">
        <v>5</v>
      </c>
      <c r="D386">
        <v>2</v>
      </c>
      <c r="E386">
        <f t="shared" si="226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3">
        <v>6.5000000000000002E-2</v>
      </c>
      <c r="M386">
        <v>3</v>
      </c>
      <c r="N386">
        <v>82.675758979999998</v>
      </c>
      <c r="P386">
        <f t="shared" si="271"/>
        <v>23.586947208864515</v>
      </c>
      <c r="Q386">
        <f t="shared" si="272"/>
        <v>852.95979682542873</v>
      </c>
      <c r="R386">
        <f t="shared" si="273"/>
        <v>2049.8913646369351</v>
      </c>
      <c r="S386">
        <f t="shared" si="274"/>
        <v>5432.2121162878775</v>
      </c>
      <c r="T386">
        <v>23.6</v>
      </c>
      <c r="U386">
        <v>0.75</v>
      </c>
      <c r="V386">
        <v>0</v>
      </c>
      <c r="Z386" s="7">
        <f>Z382*Z380</f>
        <v>22.675000000000001</v>
      </c>
      <c r="AA386" s="7">
        <f t="shared" ref="AA386:AD386" si="275">AA382*AA380</f>
        <v>38.556000000000004</v>
      </c>
      <c r="AB386" s="7">
        <f t="shared" si="275"/>
        <v>90.718400000000003</v>
      </c>
      <c r="AC386" s="7">
        <f t="shared" si="275"/>
        <v>142.99488000000002</v>
      </c>
      <c r="AD386" s="7">
        <f t="shared" si="275"/>
        <v>544.31039999999996</v>
      </c>
      <c r="AE386" s="7"/>
      <c r="AF386" s="8">
        <f>SUM(Z386:AD386)</f>
        <v>839.25468000000001</v>
      </c>
    </row>
    <row r="387" spans="1:32" x14ac:dyDescent="0.25">
      <c r="A387" t="s">
        <v>78</v>
      </c>
      <c r="B387" t="s">
        <v>79</v>
      </c>
      <c r="C387">
        <v>6</v>
      </c>
      <c r="D387">
        <v>2</v>
      </c>
      <c r="E387">
        <f t="shared" ref="E387:E450" si="276">C387*D387</f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3">
        <v>6.5000000000000002E-2</v>
      </c>
      <c r="M387">
        <v>3</v>
      </c>
      <c r="N387">
        <v>82.696315999999996</v>
      </c>
      <c r="P387">
        <f t="shared" si="271"/>
        <v>23.597087528623558</v>
      </c>
      <c r="Q387">
        <f t="shared" si="272"/>
        <v>854.06036367353533</v>
      </c>
      <c r="R387">
        <f t="shared" si="273"/>
        <v>2052.5363222146971</v>
      </c>
      <c r="S387">
        <f t="shared" si="274"/>
        <v>5439.2212538689473</v>
      </c>
      <c r="T387">
        <v>23.6</v>
      </c>
      <c r="U387">
        <v>0.75</v>
      </c>
      <c r="V387">
        <v>0</v>
      </c>
      <c r="X387">
        <f>180/2.54</f>
        <v>70.866141732283467</v>
      </c>
    </row>
    <row r="388" spans="1:32" x14ac:dyDescent="0.25">
      <c r="A388" t="s">
        <v>78</v>
      </c>
      <c r="B388" t="s">
        <v>79</v>
      </c>
      <c r="C388">
        <v>7</v>
      </c>
      <c r="D388">
        <v>2</v>
      </c>
      <c r="E388">
        <f t="shared" si="276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3">
        <v>6.5000000000000002E-2</v>
      </c>
      <c r="M388">
        <v>3</v>
      </c>
      <c r="N388">
        <v>82.700882840000006</v>
      </c>
      <c r="P388">
        <f t="shared" si="271"/>
        <v>23.599350139795348</v>
      </c>
      <c r="Q388">
        <f t="shared" si="272"/>
        <v>854.30606244627211</v>
      </c>
      <c r="R388">
        <f t="shared" si="273"/>
        <v>2053.126802322211</v>
      </c>
      <c r="S388">
        <f t="shared" si="274"/>
        <v>5440.786026153859</v>
      </c>
      <c r="T388">
        <v>23.6</v>
      </c>
      <c r="U388">
        <v>0.75</v>
      </c>
      <c r="V388">
        <v>0</v>
      </c>
      <c r="X388">
        <f>AF386/X382</f>
        <v>0.2622670875</v>
      </c>
    </row>
    <row r="389" spans="1:32" x14ac:dyDescent="0.25">
      <c r="A389" t="s">
        <v>78</v>
      </c>
      <c r="B389" t="s">
        <v>79</v>
      </c>
      <c r="C389">
        <v>8</v>
      </c>
      <c r="D389">
        <v>2</v>
      </c>
      <c r="E389">
        <f t="shared" si="276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3">
        <v>6.5000000000000002E-2</v>
      </c>
      <c r="M389">
        <v>3</v>
      </c>
      <c r="N389">
        <v>82.701643930000003</v>
      </c>
      <c r="P389">
        <f t="shared" si="271"/>
        <v>23.599854996588462</v>
      </c>
      <c r="Q389">
        <f t="shared" si="272"/>
        <v>854.36089168224396</v>
      </c>
      <c r="R389">
        <f t="shared" si="273"/>
        <v>2053.2585716948906</v>
      </c>
      <c r="S389">
        <f t="shared" si="274"/>
        <v>5441.1352149914601</v>
      </c>
      <c r="T389">
        <v>23.6</v>
      </c>
      <c r="U389">
        <v>0.75</v>
      </c>
      <c r="V389">
        <v>0</v>
      </c>
      <c r="X389">
        <f>X387*X388</f>
        <v>18.585856594488188</v>
      </c>
    </row>
    <row r="390" spans="1:32" x14ac:dyDescent="0.25">
      <c r="A390" t="s">
        <v>78</v>
      </c>
      <c r="B390" t="s">
        <v>79</v>
      </c>
      <c r="C390">
        <v>9</v>
      </c>
      <c r="D390">
        <v>2</v>
      </c>
      <c r="E390">
        <f t="shared" si="276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3">
        <v>6.5000000000000002E-2</v>
      </c>
      <c r="M390">
        <v>3</v>
      </c>
      <c r="N390">
        <v>82.702405010000007</v>
      </c>
      <c r="P390">
        <f t="shared" si="271"/>
        <v>23.599967645365563</v>
      </c>
      <c r="Q390">
        <f t="shared" si="272"/>
        <v>854.37312605856425</v>
      </c>
      <c r="R390">
        <f t="shared" si="273"/>
        <v>2053.2879741854463</v>
      </c>
      <c r="S390">
        <f t="shared" si="274"/>
        <v>5441.2131315914321</v>
      </c>
      <c r="T390">
        <v>23.6</v>
      </c>
      <c r="U390">
        <v>0.75</v>
      </c>
      <c r="V390">
        <v>0</v>
      </c>
      <c r="X390" s="3">
        <f>X389/2*2.54</f>
        <v>23.604037875</v>
      </c>
      <c r="Y390" s="3" t="s">
        <v>550</v>
      </c>
    </row>
    <row r="391" spans="1:32" x14ac:dyDescent="0.25">
      <c r="A391" t="s">
        <v>78</v>
      </c>
      <c r="B391" t="s">
        <v>79</v>
      </c>
      <c r="C391">
        <v>10</v>
      </c>
      <c r="D391">
        <v>2</v>
      </c>
      <c r="E391">
        <f t="shared" si="276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3">
        <v>6.5000000000000002E-2</v>
      </c>
      <c r="M391">
        <v>3</v>
      </c>
      <c r="N391">
        <v>82.703166069999995</v>
      </c>
      <c r="P391">
        <f t="shared" si="271"/>
        <v>23.599992780705239</v>
      </c>
      <c r="Q391">
        <f t="shared" si="272"/>
        <v>854.37585593284996</v>
      </c>
      <c r="R391">
        <f t="shared" si="273"/>
        <v>2053.2945348061762</v>
      </c>
      <c r="S391">
        <f t="shared" si="274"/>
        <v>5441.2305172363667</v>
      </c>
      <c r="T391">
        <v>23.6</v>
      </c>
      <c r="U391">
        <v>0.75</v>
      </c>
      <c r="V391">
        <v>0</v>
      </c>
    </row>
    <row r="392" spans="1:32" x14ac:dyDescent="0.25">
      <c r="A392" t="s">
        <v>80</v>
      </c>
      <c r="B392" t="s">
        <v>81</v>
      </c>
      <c r="C392">
        <v>1</v>
      </c>
      <c r="D392">
        <v>2</v>
      </c>
      <c r="E392">
        <f t="shared" si="276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P392">
        <f>42.4*(1-EXP(-0.17*(E392)))</f>
        <v>12.22093831486535</v>
      </c>
      <c r="Q392">
        <f t="shared" ref="Q392" si="277">L392*(P392^M392)</f>
        <v>35.165384491845217</v>
      </c>
      <c r="R392">
        <f t="shared" ref="R392" si="278">Q392/20/5.7/3.65*1000</f>
        <v>84.511858908544141</v>
      </c>
      <c r="S392">
        <f t="shared" ref="S392" si="279">R392*2.65</f>
        <v>223.95642610764196</v>
      </c>
      <c r="T392">
        <v>42.4</v>
      </c>
      <c r="U392">
        <v>0.17</v>
      </c>
      <c r="V392">
        <v>0</v>
      </c>
      <c r="X392" t="s">
        <v>211</v>
      </c>
    </row>
    <row r="393" spans="1:32" x14ac:dyDescent="0.25">
      <c r="A393" t="s">
        <v>80</v>
      </c>
      <c r="B393" t="s">
        <v>81</v>
      </c>
      <c r="C393">
        <v>2</v>
      </c>
      <c r="D393">
        <v>2</v>
      </c>
      <c r="E393">
        <f t="shared" si="276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P393">
        <f t="shared" ref="P393:P401" si="280">42.4*(1-EXP(-0.17*(E393)))</f>
        <v>20.919439523699001</v>
      </c>
      <c r="Q393">
        <f t="shared" ref="Q393:Q411" si="281">L393*(P393^M393)</f>
        <v>186.12143725570363</v>
      </c>
      <c r="R393">
        <f t="shared" ref="R393:R411" si="282">Q393/20/5.7/3.65*1000</f>
        <v>447.29977711055909</v>
      </c>
      <c r="S393">
        <f t="shared" ref="S393:S411" si="283">R393*2.65</f>
        <v>1185.3444093429816</v>
      </c>
      <c r="T393">
        <v>42.4</v>
      </c>
      <c r="U393">
        <v>0.17</v>
      </c>
      <c r="V393">
        <v>0</v>
      </c>
    </row>
    <row r="394" spans="1:32" x14ac:dyDescent="0.25">
      <c r="A394" t="s">
        <v>80</v>
      </c>
      <c r="B394" t="s">
        <v>81</v>
      </c>
      <c r="C394">
        <v>3</v>
      </c>
      <c r="D394">
        <v>2</v>
      </c>
      <c r="E394">
        <f t="shared" si="276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P394">
        <f t="shared" si="280"/>
        <v>27.110774536661477</v>
      </c>
      <c r="Q394">
        <f t="shared" si="281"/>
        <v>415.7490134753287</v>
      </c>
      <c r="R394">
        <f t="shared" si="282"/>
        <v>999.1564851606073</v>
      </c>
      <c r="S394">
        <f t="shared" si="283"/>
        <v>2647.7646856756091</v>
      </c>
      <c r="T394">
        <v>42.4</v>
      </c>
      <c r="U394">
        <v>0.17</v>
      </c>
      <c r="V394">
        <v>0</v>
      </c>
    </row>
    <row r="395" spans="1:32" x14ac:dyDescent="0.25">
      <c r="A395" t="s">
        <v>80</v>
      </c>
      <c r="B395" t="s">
        <v>81</v>
      </c>
      <c r="C395">
        <v>4</v>
      </c>
      <c r="D395">
        <v>2</v>
      </c>
      <c r="E395">
        <f t="shared" si="276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P395">
        <f t="shared" si="280"/>
        <v>31.517583057169233</v>
      </c>
      <c r="Q395">
        <f t="shared" si="281"/>
        <v>663.1400651542092</v>
      </c>
      <c r="R395">
        <f t="shared" si="282"/>
        <v>1593.7035932569313</v>
      </c>
      <c r="S395">
        <f t="shared" si="283"/>
        <v>4223.3145221308678</v>
      </c>
      <c r="T395">
        <v>42.4</v>
      </c>
      <c r="U395">
        <v>0.17</v>
      </c>
      <c r="V395">
        <v>0</v>
      </c>
    </row>
    <row r="396" spans="1:32" x14ac:dyDescent="0.25">
      <c r="A396" t="s">
        <v>80</v>
      </c>
      <c r="B396" t="s">
        <v>81</v>
      </c>
      <c r="C396">
        <v>5</v>
      </c>
      <c r="D396">
        <v>2</v>
      </c>
      <c r="E396">
        <f t="shared" si="276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P396">
        <f t="shared" si="280"/>
        <v>34.654218580164056</v>
      </c>
      <c r="Q396">
        <f t="shared" si="281"/>
        <v>889.88769421479969</v>
      </c>
      <c r="R396">
        <f t="shared" si="282"/>
        <v>2138.6390151761589</v>
      </c>
      <c r="S396">
        <f t="shared" si="283"/>
        <v>5667.393390216821</v>
      </c>
      <c r="T396">
        <v>42.4</v>
      </c>
      <c r="U396">
        <v>0.17</v>
      </c>
      <c r="V396">
        <v>0</v>
      </c>
    </row>
    <row r="397" spans="1:32" x14ac:dyDescent="0.25">
      <c r="A397" t="s">
        <v>80</v>
      </c>
      <c r="B397" t="s">
        <v>81</v>
      </c>
      <c r="C397">
        <v>6</v>
      </c>
      <c r="D397">
        <v>2</v>
      </c>
      <c r="E397">
        <f t="shared" si="276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P397">
        <f t="shared" si="280"/>
        <v>36.88678265875474</v>
      </c>
      <c r="Q397">
        <f t="shared" si="281"/>
        <v>1079.9177194327967</v>
      </c>
      <c r="R397">
        <f t="shared" si="282"/>
        <v>2595.3321784013383</v>
      </c>
      <c r="S397">
        <f t="shared" si="283"/>
        <v>6877.6302727635466</v>
      </c>
      <c r="T397">
        <v>42.4</v>
      </c>
      <c r="U397">
        <v>0.17</v>
      </c>
      <c r="V397">
        <v>0</v>
      </c>
    </row>
    <row r="398" spans="1:32" x14ac:dyDescent="0.25">
      <c r="A398" t="s">
        <v>80</v>
      </c>
      <c r="B398" t="s">
        <v>81</v>
      </c>
      <c r="C398">
        <v>7</v>
      </c>
      <c r="D398">
        <v>2</v>
      </c>
      <c r="E398">
        <f t="shared" si="276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P398">
        <f t="shared" si="280"/>
        <v>38.475855513561449</v>
      </c>
      <c r="Q398">
        <f t="shared" si="281"/>
        <v>1230.764449250066</v>
      </c>
      <c r="R398">
        <f t="shared" si="282"/>
        <v>2957.8573642154915</v>
      </c>
      <c r="S398">
        <f t="shared" si="283"/>
        <v>7838.322015171052</v>
      </c>
      <c r="T398">
        <v>42.4</v>
      </c>
      <c r="U398">
        <v>0.17</v>
      </c>
      <c r="V398">
        <v>0</v>
      </c>
    </row>
    <row r="399" spans="1:32" x14ac:dyDescent="0.25">
      <c r="A399" t="s">
        <v>80</v>
      </c>
      <c r="B399" t="s">
        <v>81</v>
      </c>
      <c r="C399">
        <v>8</v>
      </c>
      <c r="D399">
        <v>2</v>
      </c>
      <c r="E399">
        <f t="shared" si="276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P399">
        <f t="shared" si="280"/>
        <v>39.606910412320516</v>
      </c>
      <c r="Q399">
        <f t="shared" si="281"/>
        <v>1346.4221690308948</v>
      </c>
      <c r="R399">
        <f t="shared" si="282"/>
        <v>3235.8139125952775</v>
      </c>
      <c r="S399">
        <f t="shared" si="283"/>
        <v>8574.9068683774858</v>
      </c>
      <c r="T399">
        <v>42.4</v>
      </c>
      <c r="U399">
        <v>0.17</v>
      </c>
      <c r="V399">
        <v>0</v>
      </c>
    </row>
    <row r="400" spans="1:32" x14ac:dyDescent="0.25">
      <c r="A400" t="s">
        <v>80</v>
      </c>
      <c r="B400" t="s">
        <v>81</v>
      </c>
      <c r="C400">
        <v>9</v>
      </c>
      <c r="D400">
        <v>2</v>
      </c>
      <c r="E400">
        <f t="shared" si="276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P400">
        <f t="shared" si="280"/>
        <v>40.411961722672487</v>
      </c>
      <c r="Q400">
        <f t="shared" si="281"/>
        <v>1433.0853330964405</v>
      </c>
      <c r="R400">
        <f t="shared" si="282"/>
        <v>3444.088760145255</v>
      </c>
      <c r="S400">
        <f t="shared" si="283"/>
        <v>9126.8352143849261</v>
      </c>
      <c r="T400">
        <v>42.4</v>
      </c>
      <c r="U400">
        <v>0.17</v>
      </c>
      <c r="V400">
        <v>0</v>
      </c>
    </row>
    <row r="401" spans="1:33" x14ac:dyDescent="0.25">
      <c r="A401" t="s">
        <v>80</v>
      </c>
      <c r="B401" t="s">
        <v>81</v>
      </c>
      <c r="C401">
        <v>10</v>
      </c>
      <c r="D401">
        <v>2</v>
      </c>
      <c r="E401">
        <f t="shared" si="276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P401">
        <f t="shared" si="280"/>
        <v>40.984973353682172</v>
      </c>
      <c r="Q401">
        <f t="shared" si="281"/>
        <v>1497.020322161912</v>
      </c>
      <c r="R401">
        <f t="shared" si="282"/>
        <v>3597.7417019031764</v>
      </c>
      <c r="S401">
        <f t="shared" si="283"/>
        <v>9534.0155100434167</v>
      </c>
      <c r="T401">
        <v>42.4</v>
      </c>
      <c r="U401">
        <v>0.17</v>
      </c>
      <c r="V401">
        <v>0</v>
      </c>
    </row>
    <row r="402" spans="1:33" x14ac:dyDescent="0.25">
      <c r="A402" t="s">
        <v>82</v>
      </c>
      <c r="B402" t="s">
        <v>83</v>
      </c>
      <c r="C402">
        <v>1</v>
      </c>
      <c r="D402">
        <v>2</v>
      </c>
      <c r="E402">
        <f t="shared" si="276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P402" s="3">
        <f t="shared" ref="P402:P411" si="284">T402*(1-EXP(-U402*(E402-V402)))</f>
        <v>30.428790426725772</v>
      </c>
      <c r="Q402" s="3">
        <f t="shared" si="281"/>
        <v>475.73355230166828</v>
      </c>
      <c r="R402" s="3">
        <f t="shared" si="282"/>
        <v>1143.3154345149444</v>
      </c>
      <c r="S402" s="3">
        <f t="shared" si="283"/>
        <v>3029.7859014646024</v>
      </c>
      <c r="T402">
        <f>$AG$404</f>
        <v>150.03333333333333</v>
      </c>
      <c r="U402">
        <f>$AG$405</f>
        <v>0.11333333333333334</v>
      </c>
      <c r="V402">
        <v>0</v>
      </c>
      <c r="X402" t="s">
        <v>394</v>
      </c>
      <c r="Y402" t="s">
        <v>395</v>
      </c>
      <c r="Z402" t="s">
        <v>396</v>
      </c>
      <c r="AA402" t="s">
        <v>397</v>
      </c>
      <c r="AB402" t="s">
        <v>398</v>
      </c>
      <c r="AC402" t="s">
        <v>399</v>
      </c>
      <c r="AD402" t="s">
        <v>400</v>
      </c>
      <c r="AE402" t="s">
        <v>401</v>
      </c>
    </row>
    <row r="403" spans="1:33" x14ac:dyDescent="0.25">
      <c r="A403" t="s">
        <v>82</v>
      </c>
      <c r="B403" t="s">
        <v>83</v>
      </c>
      <c r="C403">
        <v>2</v>
      </c>
      <c r="D403">
        <v>2</v>
      </c>
      <c r="E403">
        <f t="shared" si="276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P403" s="3">
        <f t="shared" si="284"/>
        <v>43.244059241516467</v>
      </c>
      <c r="Q403" s="3">
        <f t="shared" si="281"/>
        <v>1414.3381376978314</v>
      </c>
      <c r="R403" s="3">
        <f t="shared" si="282"/>
        <v>3399.0342170099289</v>
      </c>
      <c r="S403" s="3">
        <f t="shared" si="283"/>
        <v>9007.4406750763119</v>
      </c>
      <c r="T403">
        <f t="shared" ref="T403:T411" si="285">$AG$404</f>
        <v>150.03333333333333</v>
      </c>
      <c r="U403">
        <f t="shared" ref="U403:U411" si="286">$AG$405</f>
        <v>0.11333333333333334</v>
      </c>
      <c r="V403">
        <v>1</v>
      </c>
      <c r="W403" t="s">
        <v>257</v>
      </c>
      <c r="X403">
        <v>230</v>
      </c>
      <c r="AA403">
        <v>152</v>
      </c>
      <c r="AB403">
        <v>403</v>
      </c>
      <c r="AD403">
        <v>143</v>
      </c>
      <c r="AE403">
        <v>100</v>
      </c>
      <c r="AG403">
        <f>AVERAGE(X403:AE403)</f>
        <v>205.6</v>
      </c>
    </row>
    <row r="404" spans="1:33" x14ac:dyDescent="0.25">
      <c r="A404" t="s">
        <v>82</v>
      </c>
      <c r="B404" t="s">
        <v>83</v>
      </c>
      <c r="C404">
        <v>3</v>
      </c>
      <c r="D404">
        <v>2</v>
      </c>
      <c r="E404">
        <f t="shared" si="276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P404" s="3">
        <f t="shared" si="284"/>
        <v>54.686210356893454</v>
      </c>
      <c r="Q404" s="3">
        <f t="shared" si="281"/>
        <v>2928.2119927871449</v>
      </c>
      <c r="R404" s="3">
        <f t="shared" si="282"/>
        <v>7037.2794827857379</v>
      </c>
      <c r="S404" s="3">
        <f t="shared" si="283"/>
        <v>18648.790629382205</v>
      </c>
      <c r="T404">
        <f t="shared" si="285"/>
        <v>150.03333333333333</v>
      </c>
      <c r="U404">
        <f t="shared" si="286"/>
        <v>0.11333333333333334</v>
      </c>
      <c r="V404">
        <v>2</v>
      </c>
      <c r="W404" t="s">
        <v>243</v>
      </c>
      <c r="AB404">
        <v>236</v>
      </c>
      <c r="AD404">
        <v>144</v>
      </c>
      <c r="AE404">
        <v>70.099999999999994</v>
      </c>
      <c r="AG404">
        <f t="shared" ref="AG404:AG405" si="287">AVERAGE(X404:AE404)</f>
        <v>150.03333333333333</v>
      </c>
    </row>
    <row r="405" spans="1:33" x14ac:dyDescent="0.25">
      <c r="A405" t="s">
        <v>82</v>
      </c>
      <c r="B405" t="s">
        <v>83</v>
      </c>
      <c r="C405">
        <v>4</v>
      </c>
      <c r="D405">
        <v>2</v>
      </c>
      <c r="E405">
        <f t="shared" si="276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P405" s="3">
        <f t="shared" si="284"/>
        <v>64.902369224822863</v>
      </c>
      <c r="Q405" s="3">
        <f t="shared" si="281"/>
        <v>4979.5368821648708</v>
      </c>
      <c r="R405" s="3">
        <f t="shared" si="282"/>
        <v>11967.163860045352</v>
      </c>
      <c r="S405" s="3">
        <f t="shared" si="283"/>
        <v>31712.984229120182</v>
      </c>
      <c r="T405">
        <f t="shared" si="285"/>
        <v>150.03333333333333</v>
      </c>
      <c r="U405">
        <f t="shared" si="286"/>
        <v>0.11333333333333334</v>
      </c>
      <c r="V405">
        <v>3</v>
      </c>
      <c r="W405" t="s">
        <v>244</v>
      </c>
      <c r="AB405">
        <v>0.1</v>
      </c>
      <c r="AD405">
        <v>0.04</v>
      </c>
      <c r="AE405">
        <v>0.2</v>
      </c>
      <c r="AG405">
        <f t="shared" si="287"/>
        <v>0.11333333333333334</v>
      </c>
    </row>
    <row r="406" spans="1:33" x14ac:dyDescent="0.25">
      <c r="A406" t="s">
        <v>82</v>
      </c>
      <c r="B406" t="s">
        <v>83</v>
      </c>
      <c r="C406">
        <v>5</v>
      </c>
      <c r="D406">
        <v>2</v>
      </c>
      <c r="E406">
        <f t="shared" si="276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P406" s="3">
        <f t="shared" si="284"/>
        <v>74.023897245416052</v>
      </c>
      <c r="Q406" s="3">
        <f t="shared" si="281"/>
        <v>7485.7320844855512</v>
      </c>
      <c r="R406" s="3">
        <f t="shared" si="282"/>
        <v>17990.223707006851</v>
      </c>
      <c r="S406" s="3">
        <f t="shared" si="283"/>
        <v>47674.092823568157</v>
      </c>
      <c r="T406">
        <f t="shared" si="285"/>
        <v>150.03333333333333</v>
      </c>
      <c r="U406">
        <f t="shared" si="286"/>
        <v>0.11333333333333334</v>
      </c>
      <c r="V406">
        <v>4</v>
      </c>
      <c r="W406" t="s">
        <v>285</v>
      </c>
    </row>
    <row r="407" spans="1:33" x14ac:dyDescent="0.25">
      <c r="A407" t="s">
        <v>82</v>
      </c>
      <c r="B407" t="s">
        <v>83</v>
      </c>
      <c r="C407">
        <v>6</v>
      </c>
      <c r="D407">
        <v>2</v>
      </c>
      <c r="E407">
        <f t="shared" si="276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P407" s="3">
        <f t="shared" si="284"/>
        <v>82.168080837906487</v>
      </c>
      <c r="Q407" s="3">
        <f t="shared" si="281"/>
        <v>10345.726443339534</v>
      </c>
      <c r="R407" s="3">
        <f t="shared" si="282"/>
        <v>24863.557902762637</v>
      </c>
      <c r="S407" s="3">
        <f t="shared" si="283"/>
        <v>65888.42844232099</v>
      </c>
      <c r="T407">
        <f t="shared" si="285"/>
        <v>150.03333333333333</v>
      </c>
      <c r="U407">
        <f t="shared" si="286"/>
        <v>0.11333333333333334</v>
      </c>
      <c r="V407">
        <v>5</v>
      </c>
      <c r="W407" t="s">
        <v>246</v>
      </c>
      <c r="AB407" t="s">
        <v>258</v>
      </c>
      <c r="AD407" t="s">
        <v>483</v>
      </c>
      <c r="AE407" t="s">
        <v>258</v>
      </c>
    </row>
    <row r="408" spans="1:33" x14ac:dyDescent="0.25">
      <c r="A408" t="s">
        <v>82</v>
      </c>
      <c r="B408" t="s">
        <v>83</v>
      </c>
      <c r="C408">
        <v>7</v>
      </c>
      <c r="D408">
        <v>2</v>
      </c>
      <c r="E408">
        <f t="shared" si="276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P408" s="3">
        <f t="shared" si="284"/>
        <v>89.439639532726702</v>
      </c>
      <c r="Q408" s="3">
        <f t="shared" si="281"/>
        <v>13456.260024838362</v>
      </c>
      <c r="R408" s="3">
        <f t="shared" si="282"/>
        <v>32339.005106556982</v>
      </c>
      <c r="S408" s="3">
        <f t="shared" si="283"/>
        <v>85698.363532375995</v>
      </c>
      <c r="T408">
        <f t="shared" si="285"/>
        <v>150.03333333333333</v>
      </c>
      <c r="U408">
        <f t="shared" si="286"/>
        <v>0.11333333333333334</v>
      </c>
      <c r="V408">
        <v>6</v>
      </c>
      <c r="W408" t="s">
        <v>279</v>
      </c>
      <c r="X408" s="5" t="s">
        <v>478</v>
      </c>
      <c r="AA408" s="5" t="s">
        <v>479</v>
      </c>
      <c r="AB408" s="5" t="s">
        <v>481</v>
      </c>
      <c r="AD408" s="5" t="s">
        <v>482</v>
      </c>
      <c r="AE408" s="5" t="s">
        <v>480</v>
      </c>
    </row>
    <row r="409" spans="1:33" x14ac:dyDescent="0.25">
      <c r="A409" t="s">
        <v>82</v>
      </c>
      <c r="B409" t="s">
        <v>83</v>
      </c>
      <c r="C409">
        <v>8</v>
      </c>
      <c r="D409">
        <v>2</v>
      </c>
      <c r="E409">
        <f t="shared" si="276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P409" s="3">
        <f t="shared" si="284"/>
        <v>95.932072476032474</v>
      </c>
      <c r="Q409" s="3">
        <f t="shared" si="281"/>
        <v>16721.264219498746</v>
      </c>
      <c r="R409" s="3">
        <f t="shared" si="282"/>
        <v>40185.686660655476</v>
      </c>
      <c r="S409" s="3">
        <f t="shared" si="283"/>
        <v>106492.069650737</v>
      </c>
      <c r="T409">
        <f t="shared" si="285"/>
        <v>150.03333333333333</v>
      </c>
      <c r="U409">
        <f t="shared" si="286"/>
        <v>0.11333333333333334</v>
      </c>
      <c r="V409">
        <v>7</v>
      </c>
    </row>
    <row r="410" spans="1:33" x14ac:dyDescent="0.25">
      <c r="A410" t="s">
        <v>82</v>
      </c>
      <c r="B410" t="s">
        <v>83</v>
      </c>
      <c r="C410">
        <v>9</v>
      </c>
      <c r="D410">
        <v>2</v>
      </c>
      <c r="E410">
        <f t="shared" si="276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P410" s="3">
        <f t="shared" si="284"/>
        <v>101.72886066029736</v>
      </c>
      <c r="Q410" s="3">
        <f t="shared" si="281"/>
        <v>20056.641216152198</v>
      </c>
      <c r="R410" s="3">
        <f t="shared" si="282"/>
        <v>48201.49294917615</v>
      </c>
      <c r="S410" s="3">
        <f t="shared" si="283"/>
        <v>127733.9563153168</v>
      </c>
      <c r="T410">
        <f t="shared" si="285"/>
        <v>150.03333333333333</v>
      </c>
      <c r="U410">
        <f t="shared" si="286"/>
        <v>0.11333333333333334</v>
      </c>
      <c r="V410">
        <v>8</v>
      </c>
    </row>
    <row r="411" spans="1:33" x14ac:dyDescent="0.25">
      <c r="A411" t="s">
        <v>82</v>
      </c>
      <c r="B411" t="s">
        <v>83</v>
      </c>
      <c r="C411">
        <v>10</v>
      </c>
      <c r="D411">
        <v>2</v>
      </c>
      <c r="E411">
        <f t="shared" si="276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P411" s="3">
        <f t="shared" si="284"/>
        <v>106.9045403394968</v>
      </c>
      <c r="Q411" s="3">
        <f t="shared" si="281"/>
        <v>23392.105426918766</v>
      </c>
      <c r="R411" s="3">
        <f t="shared" si="282"/>
        <v>56217.508836622837</v>
      </c>
      <c r="S411" s="3">
        <f t="shared" si="283"/>
        <v>148976.39841705051</v>
      </c>
      <c r="T411">
        <f t="shared" si="285"/>
        <v>150.03333333333333</v>
      </c>
      <c r="U411">
        <f t="shared" si="286"/>
        <v>0.11333333333333334</v>
      </c>
      <c r="V411">
        <v>9</v>
      </c>
    </row>
    <row r="412" spans="1:33" x14ac:dyDescent="0.25">
      <c r="A412" t="s">
        <v>84</v>
      </c>
      <c r="B412" t="s">
        <v>85</v>
      </c>
      <c r="C412">
        <v>1</v>
      </c>
      <c r="D412">
        <v>1</v>
      </c>
      <c r="E412">
        <f t="shared" si="276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P412">
        <f>65.4*(1-EXP(-0.18*(E412)))</f>
        <v>10.773328173702811</v>
      </c>
      <c r="Q412">
        <f t="shared" ref="Q412" si="288">L412*(P412^M412)</f>
        <v>10.104691121020659</v>
      </c>
      <c r="R412">
        <f t="shared" ref="R412" si="289">Q412/20/5.7/3.65*1000</f>
        <v>24.28428531848272</v>
      </c>
      <c r="S412">
        <f t="shared" ref="S412" si="290">R412*2.65</f>
        <v>64.353356093979201</v>
      </c>
      <c r="T412">
        <v>65.400000000000006</v>
      </c>
      <c r="U412">
        <v>0.18</v>
      </c>
      <c r="V412">
        <v>0</v>
      </c>
      <c r="X412" t="s">
        <v>211</v>
      </c>
    </row>
    <row r="413" spans="1:33" x14ac:dyDescent="0.25">
      <c r="A413" t="s">
        <v>84</v>
      </c>
      <c r="B413" t="s">
        <v>85</v>
      </c>
      <c r="C413">
        <v>2</v>
      </c>
      <c r="D413">
        <v>1</v>
      </c>
      <c r="E413">
        <f t="shared" si="276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P413">
        <f t="shared" ref="P413:P421" si="291">65.4*(1-EXP(-0.18*(E413)))</f>
        <v>19.771968274954574</v>
      </c>
      <c r="Q413">
        <f t="shared" ref="Q413:Q431" si="292">L413*(P413^M413)</f>
        <v>55.320116515163534</v>
      </c>
      <c r="R413">
        <f t="shared" ref="R413:R431" si="293">Q413/20/5.7/3.65*1000</f>
        <v>132.94909039933557</v>
      </c>
      <c r="S413">
        <f t="shared" ref="S413:S431" si="294">R413*2.65</f>
        <v>352.31508955823926</v>
      </c>
      <c r="T413">
        <v>65.400000000000006</v>
      </c>
      <c r="U413">
        <v>0.18</v>
      </c>
      <c r="V413">
        <v>0</v>
      </c>
    </row>
    <row r="414" spans="1:33" x14ac:dyDescent="0.25">
      <c r="A414" t="s">
        <v>84</v>
      </c>
      <c r="B414" t="s">
        <v>85</v>
      </c>
      <c r="C414">
        <v>3</v>
      </c>
      <c r="D414">
        <v>1</v>
      </c>
      <c r="E414">
        <f t="shared" si="276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P414">
        <f t="shared" si="291"/>
        <v>27.288264294741079</v>
      </c>
      <c r="Q414">
        <f t="shared" si="292"/>
        <v>136.35651965689235</v>
      </c>
      <c r="R414">
        <f t="shared" si="293"/>
        <v>327.70132097306498</v>
      </c>
      <c r="S414">
        <f t="shared" si="294"/>
        <v>868.40850057862212</v>
      </c>
      <c r="T414">
        <v>65.400000000000006</v>
      </c>
      <c r="U414">
        <v>0.18</v>
      </c>
      <c r="V414">
        <v>0</v>
      </c>
    </row>
    <row r="415" spans="1:33" x14ac:dyDescent="0.25">
      <c r="A415" t="s">
        <v>84</v>
      </c>
      <c r="B415" t="s">
        <v>85</v>
      </c>
      <c r="C415">
        <v>4</v>
      </c>
      <c r="D415">
        <v>1</v>
      </c>
      <c r="E415">
        <f t="shared" si="276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P415">
        <f t="shared" si="291"/>
        <v>33.566402460217851</v>
      </c>
      <c r="Q415">
        <f t="shared" si="292"/>
        <v>243.48756422705969</v>
      </c>
      <c r="R415">
        <f t="shared" si="293"/>
        <v>585.16597987757677</v>
      </c>
      <c r="S415">
        <f t="shared" si="294"/>
        <v>1550.6898466755783</v>
      </c>
      <c r="T415">
        <v>65.400000000000006</v>
      </c>
      <c r="U415">
        <v>0.18</v>
      </c>
      <c r="V415">
        <v>0</v>
      </c>
    </row>
    <row r="416" spans="1:33" x14ac:dyDescent="0.25">
      <c r="A416" t="s">
        <v>84</v>
      </c>
      <c r="B416" t="s">
        <v>85</v>
      </c>
      <c r="C416">
        <v>5</v>
      </c>
      <c r="D416">
        <v>1</v>
      </c>
      <c r="E416">
        <f t="shared" si="276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P416">
        <f t="shared" si="291"/>
        <v>38.810344252964818</v>
      </c>
      <c r="Q416">
        <f t="shared" si="292"/>
        <v>365.59170918238988</v>
      </c>
      <c r="R416">
        <f t="shared" si="293"/>
        <v>878.61501846284534</v>
      </c>
      <c r="S416">
        <f t="shared" si="294"/>
        <v>2328.3297989265402</v>
      </c>
      <c r="T416">
        <v>65.400000000000006</v>
      </c>
      <c r="U416">
        <v>0.18</v>
      </c>
      <c r="V416">
        <v>0</v>
      </c>
    </row>
    <row r="417" spans="1:33" x14ac:dyDescent="0.25">
      <c r="A417" t="s">
        <v>84</v>
      </c>
      <c r="B417" t="s">
        <v>85</v>
      </c>
      <c r="C417">
        <v>6</v>
      </c>
      <c r="D417">
        <v>1</v>
      </c>
      <c r="E417">
        <f t="shared" si="276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P417">
        <f t="shared" si="291"/>
        <v>43.190452622820985</v>
      </c>
      <c r="Q417">
        <f t="shared" si="292"/>
        <v>493.20681311952842</v>
      </c>
      <c r="R417">
        <f t="shared" si="293"/>
        <v>1185.3083708712531</v>
      </c>
      <c r="S417">
        <f t="shared" si="294"/>
        <v>3141.0671828088207</v>
      </c>
      <c r="T417">
        <v>65.400000000000006</v>
      </c>
      <c r="U417">
        <v>0.18</v>
      </c>
      <c r="V417">
        <v>0</v>
      </c>
    </row>
    <row r="418" spans="1:33" x14ac:dyDescent="0.25">
      <c r="A418" t="s">
        <v>84</v>
      </c>
      <c r="B418" t="s">
        <v>85</v>
      </c>
      <c r="C418">
        <v>7</v>
      </c>
      <c r="D418">
        <v>1</v>
      </c>
      <c r="E418">
        <f t="shared" si="276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P418">
        <f t="shared" si="291"/>
        <v>46.849026666915016</v>
      </c>
      <c r="Q418">
        <f t="shared" si="292"/>
        <v>619.30552591043613</v>
      </c>
      <c r="R418">
        <f t="shared" si="293"/>
        <v>1488.3574282875177</v>
      </c>
      <c r="S418">
        <f t="shared" si="294"/>
        <v>3944.1471849619215</v>
      </c>
      <c r="T418">
        <v>65.400000000000006</v>
      </c>
      <c r="U418">
        <v>0.18</v>
      </c>
      <c r="V418">
        <v>0</v>
      </c>
    </row>
    <row r="419" spans="1:33" x14ac:dyDescent="0.25">
      <c r="A419" t="s">
        <v>84</v>
      </c>
      <c r="B419" t="s">
        <v>85</v>
      </c>
      <c r="C419">
        <v>8</v>
      </c>
      <c r="D419">
        <v>1</v>
      </c>
      <c r="E419">
        <f t="shared" si="276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P419">
        <f t="shared" si="291"/>
        <v>49.904924582189238</v>
      </c>
      <c r="Q419">
        <f t="shared" si="292"/>
        <v>739.1709363358284</v>
      </c>
      <c r="R419">
        <f t="shared" si="293"/>
        <v>1776.4261868200635</v>
      </c>
      <c r="S419">
        <f t="shared" si="294"/>
        <v>4707.5293950731684</v>
      </c>
      <c r="T419">
        <v>65.400000000000006</v>
      </c>
      <c r="U419">
        <v>0.18</v>
      </c>
      <c r="V419">
        <v>0</v>
      </c>
    </row>
    <row r="420" spans="1:33" x14ac:dyDescent="0.25">
      <c r="A420" t="s">
        <v>84</v>
      </c>
      <c r="B420" t="s">
        <v>85</v>
      </c>
      <c r="C420">
        <v>9</v>
      </c>
      <c r="D420">
        <v>1</v>
      </c>
      <c r="E420">
        <f t="shared" si="276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P420">
        <f t="shared" si="291"/>
        <v>52.457425079931603</v>
      </c>
      <c r="Q420">
        <f t="shared" si="292"/>
        <v>849.96856780960229</v>
      </c>
      <c r="R420">
        <f t="shared" si="293"/>
        <v>2042.7026383311756</v>
      </c>
      <c r="S420">
        <f t="shared" si="294"/>
        <v>5413.1619915776155</v>
      </c>
      <c r="T420">
        <v>65.400000000000006</v>
      </c>
      <c r="U420">
        <v>0.18</v>
      </c>
      <c r="V420">
        <v>0</v>
      </c>
    </row>
    <row r="421" spans="1:33" x14ac:dyDescent="0.25">
      <c r="A421" t="s">
        <v>84</v>
      </c>
      <c r="B421" t="s">
        <v>85</v>
      </c>
      <c r="C421">
        <v>10</v>
      </c>
      <c r="D421">
        <v>1</v>
      </c>
      <c r="E421">
        <f t="shared" si="276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P421">
        <f t="shared" si="291"/>
        <v>54.589452710308244</v>
      </c>
      <c r="Q421">
        <f t="shared" si="292"/>
        <v>950.27176421676768</v>
      </c>
      <c r="R421">
        <f t="shared" si="293"/>
        <v>2283.7581451977112</v>
      </c>
      <c r="S421">
        <f t="shared" si="294"/>
        <v>6051.9590847739346</v>
      </c>
      <c r="T421">
        <v>65.400000000000006</v>
      </c>
      <c r="U421">
        <v>0.18</v>
      </c>
      <c r="V421">
        <v>0</v>
      </c>
    </row>
    <row r="422" spans="1:33" x14ac:dyDescent="0.25">
      <c r="A422" s="3" t="s">
        <v>188</v>
      </c>
      <c r="B422" t="s">
        <v>198</v>
      </c>
      <c r="C422">
        <v>1</v>
      </c>
      <c r="D422">
        <v>3</v>
      </c>
      <c r="E422">
        <f t="shared" si="276"/>
        <v>3</v>
      </c>
      <c r="F422">
        <v>350</v>
      </c>
      <c r="G422">
        <v>927.5</v>
      </c>
      <c r="H422">
        <f>F422*3.65*5.7*20/1000</f>
        <v>145.63499999999999</v>
      </c>
      <c r="I422">
        <f>H422/1000</f>
        <v>0.14563499999999999</v>
      </c>
      <c r="J422">
        <f>I422/1000</f>
        <v>1.45635E-4</v>
      </c>
      <c r="K422">
        <f>I422*2.204</f>
        <v>0.32097954000000001</v>
      </c>
      <c r="L422" s="4">
        <v>1.2699999999999999E-2</v>
      </c>
      <c r="M422" s="4">
        <v>3.1</v>
      </c>
      <c r="N422">
        <f>(H422/L422)^(1/M422)</f>
        <v>20.39406896596369</v>
      </c>
      <c r="P422" s="3">
        <f t="shared" ref="P422:P431" si="295">T422*(1-EXP(-U422*(E422-V422)))</f>
        <v>50.405438298908479</v>
      </c>
      <c r="Q422" s="3">
        <f t="shared" si="292"/>
        <v>2407.0418820143009</v>
      </c>
      <c r="R422" s="3">
        <f t="shared" si="293"/>
        <v>5784.7678010437421</v>
      </c>
      <c r="S422" s="3">
        <f t="shared" si="294"/>
        <v>15329.634672765917</v>
      </c>
      <c r="T422">
        <f>$AG$424</f>
        <v>109.97499999999999</v>
      </c>
      <c r="U422">
        <f>$AG$425</f>
        <v>0.14750000000000002</v>
      </c>
      <c r="V422">
        <f>$AG$426</f>
        <v>-1.1566666666666667</v>
      </c>
      <c r="X422" t="s">
        <v>407</v>
      </c>
      <c r="Y422" t="s">
        <v>408</v>
      </c>
      <c r="Z422" t="s">
        <v>409</v>
      </c>
      <c r="AA422" t="s">
        <v>410</v>
      </c>
      <c r="AB422" t="s">
        <v>411</v>
      </c>
      <c r="AC422" t="s">
        <v>412</v>
      </c>
      <c r="AD422" t="s">
        <v>413</v>
      </c>
      <c r="AE422" t="s">
        <v>414</v>
      </c>
      <c r="AG422" t="s">
        <v>457</v>
      </c>
    </row>
    <row r="423" spans="1:33" x14ac:dyDescent="0.25">
      <c r="A423" s="3" t="s">
        <v>188</v>
      </c>
      <c r="B423" t="s">
        <v>198</v>
      </c>
      <c r="C423">
        <v>2</v>
      </c>
      <c r="D423">
        <v>3</v>
      </c>
      <c r="E423">
        <f t="shared" si="276"/>
        <v>6</v>
      </c>
      <c r="F423">
        <v>1200</v>
      </c>
      <c r="G423">
        <v>3180</v>
      </c>
      <c r="H423">
        <f t="shared" ref="H423:H431" si="296">F423*3.65*5.7*20/1000</f>
        <v>499.32</v>
      </c>
      <c r="I423">
        <f t="shared" ref="I423:J431" si="297">H423/1000</f>
        <v>0.49931999999999999</v>
      </c>
      <c r="J423">
        <f t="shared" si="297"/>
        <v>4.9932000000000004E-4</v>
      </c>
      <c r="K423">
        <f t="shared" ref="K423:K431" si="298">I423*2.204</f>
        <v>1.10050128</v>
      </c>
      <c r="L423" s="4">
        <v>1.2699999999999999E-2</v>
      </c>
      <c r="M423" s="4">
        <v>3.1</v>
      </c>
      <c r="N423">
        <f t="shared" ref="N423:N431" si="299">(H423/L423)^(1/M423)</f>
        <v>30.347369004339537</v>
      </c>
      <c r="P423" s="3">
        <f t="shared" si="295"/>
        <v>71.705825304169778</v>
      </c>
      <c r="Q423" s="3">
        <f t="shared" si="292"/>
        <v>7178.3144840419727</v>
      </c>
      <c r="R423" s="3">
        <f t="shared" si="293"/>
        <v>17251.416688396956</v>
      </c>
      <c r="S423" s="3">
        <f t="shared" si="294"/>
        <v>45716.254224251934</v>
      </c>
      <c r="T423">
        <f>$AG$424</f>
        <v>109.97499999999999</v>
      </c>
      <c r="U423">
        <f>$AG$425</f>
        <v>0.14750000000000002</v>
      </c>
      <c r="V423">
        <f>$AG$426</f>
        <v>-1.1566666666666667</v>
      </c>
      <c r="W423" t="s">
        <v>257</v>
      </c>
      <c r="Z423">
        <v>180</v>
      </c>
      <c r="AA423">
        <v>152</v>
      </c>
      <c r="AB423">
        <v>84</v>
      </c>
      <c r="AC423">
        <v>26</v>
      </c>
      <c r="AD423">
        <v>75.400000000000006</v>
      </c>
      <c r="AE423">
        <v>127</v>
      </c>
      <c r="AG423">
        <f>AVERAGE(AA423:AE423)</f>
        <v>92.88</v>
      </c>
    </row>
    <row r="424" spans="1:33" x14ac:dyDescent="0.25">
      <c r="A424" s="3" t="s">
        <v>188</v>
      </c>
      <c r="B424" t="s">
        <v>198</v>
      </c>
      <c r="C424">
        <v>3</v>
      </c>
      <c r="D424">
        <v>3</v>
      </c>
      <c r="E424">
        <f t="shared" si="276"/>
        <v>9</v>
      </c>
      <c r="F424">
        <v>1800</v>
      </c>
      <c r="G424">
        <v>4770</v>
      </c>
      <c r="H424">
        <f t="shared" si="296"/>
        <v>748.98</v>
      </c>
      <c r="I424">
        <f t="shared" si="297"/>
        <v>0.74897999999999998</v>
      </c>
      <c r="J424">
        <f t="shared" si="297"/>
        <v>7.4898E-4</v>
      </c>
      <c r="K424">
        <f t="shared" si="298"/>
        <v>1.65075192</v>
      </c>
      <c r="L424" s="4">
        <v>1.2699999999999999E-2</v>
      </c>
      <c r="M424" s="4">
        <v>3.1</v>
      </c>
      <c r="N424">
        <f t="shared" si="299"/>
        <v>34.587938444619454</v>
      </c>
      <c r="P424" s="3">
        <f t="shared" si="295"/>
        <v>85.389797589938681</v>
      </c>
      <c r="Q424" s="3">
        <f t="shared" si="292"/>
        <v>12335.656618930945</v>
      </c>
      <c r="R424" s="3">
        <f t="shared" si="293"/>
        <v>29645.894301684559</v>
      </c>
      <c r="S424" s="3">
        <f t="shared" si="294"/>
        <v>78561.619899464073</v>
      </c>
      <c r="T424">
        <f t="shared" ref="T424:T431" si="300">$AG$424</f>
        <v>109.97499999999999</v>
      </c>
      <c r="U424">
        <f t="shared" ref="U424:U431" si="301">$AG$425</f>
        <v>0.14750000000000002</v>
      </c>
      <c r="V424">
        <f t="shared" ref="V424:V431" si="302">$AG$426</f>
        <v>-1.1566666666666667</v>
      </c>
      <c r="W424" t="s">
        <v>243</v>
      </c>
      <c r="AA424">
        <v>166</v>
      </c>
      <c r="AB424">
        <v>78.5</v>
      </c>
      <c r="AD424">
        <v>75.400000000000006</v>
      </c>
      <c r="AE424">
        <v>120</v>
      </c>
      <c r="AG424">
        <f t="shared" ref="AG424:AG426" si="303">AVERAGE(AA424:AE424)</f>
        <v>109.97499999999999</v>
      </c>
    </row>
    <row r="425" spans="1:33" x14ac:dyDescent="0.25">
      <c r="A425" s="3" t="s">
        <v>188</v>
      </c>
      <c r="B425" t="s">
        <v>198</v>
      </c>
      <c r="C425">
        <v>4</v>
      </c>
      <c r="D425">
        <v>3</v>
      </c>
      <c r="E425">
        <f t="shared" si="276"/>
        <v>12</v>
      </c>
      <c r="F425">
        <v>3129.99</v>
      </c>
      <c r="G425">
        <v>8294.48</v>
      </c>
      <c r="H425">
        <f t="shared" si="296"/>
        <v>1302.388839</v>
      </c>
      <c r="I425">
        <f t="shared" si="297"/>
        <v>1.302388839</v>
      </c>
      <c r="J425">
        <f t="shared" si="297"/>
        <v>1.3023888389999999E-3</v>
      </c>
      <c r="K425">
        <f t="shared" si="298"/>
        <v>2.8704650011560005</v>
      </c>
      <c r="L425" s="4">
        <v>1.2699999999999999E-2</v>
      </c>
      <c r="M425" s="4">
        <v>3.1</v>
      </c>
      <c r="N425">
        <f t="shared" si="299"/>
        <v>41.345787911509852</v>
      </c>
      <c r="P425" s="3">
        <f t="shared" si="295"/>
        <v>94.180769203338897</v>
      </c>
      <c r="Q425" s="3">
        <f t="shared" si="292"/>
        <v>16714.240375901685</v>
      </c>
      <c r="R425" s="3">
        <f t="shared" si="293"/>
        <v>40168.80647897545</v>
      </c>
      <c r="S425" s="3">
        <f t="shared" si="294"/>
        <v>106447.33716928493</v>
      </c>
      <c r="T425">
        <f t="shared" si="300"/>
        <v>109.97499999999999</v>
      </c>
      <c r="U425">
        <f t="shared" si="301"/>
        <v>0.14750000000000002</v>
      </c>
      <c r="V425">
        <f t="shared" si="302"/>
        <v>-1.1566666666666667</v>
      </c>
      <c r="W425" t="s">
        <v>244</v>
      </c>
      <c r="AA425">
        <v>0.14000000000000001</v>
      </c>
      <c r="AB425">
        <v>0.2</v>
      </c>
      <c r="AD425">
        <v>0.12</v>
      </c>
      <c r="AE425">
        <v>0.13</v>
      </c>
      <c r="AG425">
        <f t="shared" si="303"/>
        <v>0.14750000000000002</v>
      </c>
    </row>
    <row r="426" spans="1:33" x14ac:dyDescent="0.25">
      <c r="A426" s="3" t="s">
        <v>188</v>
      </c>
      <c r="B426" t="s">
        <v>198</v>
      </c>
      <c r="C426">
        <v>5</v>
      </c>
      <c r="D426">
        <v>3</v>
      </c>
      <c r="E426">
        <f t="shared" si="276"/>
        <v>15</v>
      </c>
      <c r="F426">
        <v>7000</v>
      </c>
      <c r="G426">
        <v>18550</v>
      </c>
      <c r="H426">
        <f t="shared" si="296"/>
        <v>2912.7</v>
      </c>
      <c r="I426">
        <f t="shared" si="297"/>
        <v>2.9126999999999996</v>
      </c>
      <c r="J426">
        <f t="shared" si="297"/>
        <v>2.9126999999999998E-3</v>
      </c>
      <c r="K426">
        <f t="shared" si="298"/>
        <v>6.4195907999999999</v>
      </c>
      <c r="L426" s="4">
        <v>1.2699999999999999E-2</v>
      </c>
      <c r="M426" s="4">
        <v>3.1</v>
      </c>
      <c r="N426">
        <f t="shared" si="299"/>
        <v>53.603232342129658</v>
      </c>
      <c r="P426" s="3">
        <f t="shared" si="295"/>
        <v>99.828338512433433</v>
      </c>
      <c r="Q426" s="3">
        <f t="shared" si="292"/>
        <v>20021.224447421999</v>
      </c>
      <c r="R426" s="3">
        <f t="shared" si="293"/>
        <v>48116.376946459983</v>
      </c>
      <c r="S426" s="3">
        <f t="shared" si="294"/>
        <v>127508.39890811895</v>
      </c>
      <c r="T426">
        <f t="shared" si="300"/>
        <v>109.97499999999999</v>
      </c>
      <c r="U426">
        <f t="shared" si="301"/>
        <v>0.14750000000000002</v>
      </c>
      <c r="V426">
        <f t="shared" si="302"/>
        <v>-1.1566666666666667</v>
      </c>
      <c r="W426" t="s">
        <v>285</v>
      </c>
      <c r="AA426">
        <v>-1.29</v>
      </c>
      <c r="AB426">
        <v>-1.78</v>
      </c>
      <c r="AE426">
        <v>-0.4</v>
      </c>
      <c r="AG426">
        <f t="shared" si="303"/>
        <v>-1.1566666666666667</v>
      </c>
    </row>
    <row r="427" spans="1:33" x14ac:dyDescent="0.25">
      <c r="A427" s="3" t="s">
        <v>188</v>
      </c>
      <c r="B427" t="s">
        <v>198</v>
      </c>
      <c r="C427">
        <v>6</v>
      </c>
      <c r="D427">
        <v>3</v>
      </c>
      <c r="E427">
        <f t="shared" si="276"/>
        <v>18</v>
      </c>
      <c r="F427">
        <v>9000</v>
      </c>
      <c r="G427">
        <v>23850</v>
      </c>
      <c r="H427">
        <f t="shared" si="296"/>
        <v>3744.9</v>
      </c>
      <c r="I427">
        <f t="shared" si="297"/>
        <v>3.7448999999999999</v>
      </c>
      <c r="J427">
        <f t="shared" si="297"/>
        <v>3.7448999999999998E-3</v>
      </c>
      <c r="K427">
        <f t="shared" si="298"/>
        <v>8.2537596000000004</v>
      </c>
      <c r="L427" s="4">
        <v>1.2699999999999999E-2</v>
      </c>
      <c r="M427" s="4">
        <v>3.1</v>
      </c>
      <c r="N427">
        <f t="shared" si="299"/>
        <v>58.129805837341053</v>
      </c>
      <c r="P427" s="3">
        <f t="shared" si="295"/>
        <v>103.45649709417751</v>
      </c>
      <c r="Q427" s="3">
        <f t="shared" si="292"/>
        <v>22364.171135055134</v>
      </c>
      <c r="R427" s="3">
        <f t="shared" si="293"/>
        <v>53747.106789365862</v>
      </c>
      <c r="S427" s="3">
        <f t="shared" si="294"/>
        <v>142429.83299181954</v>
      </c>
      <c r="T427">
        <f t="shared" si="300"/>
        <v>109.97499999999999</v>
      </c>
      <c r="U427">
        <f t="shared" si="301"/>
        <v>0.14750000000000002</v>
      </c>
      <c r="V427">
        <f t="shared" si="302"/>
        <v>-1.1566666666666667</v>
      </c>
      <c r="W427" t="s">
        <v>246</v>
      </c>
      <c r="AA427" t="s">
        <v>471</v>
      </c>
      <c r="AB427" t="s">
        <v>473</v>
      </c>
      <c r="AD427" t="s">
        <v>476</v>
      </c>
      <c r="AE427" t="s">
        <v>476</v>
      </c>
    </row>
    <row r="428" spans="1:33" x14ac:dyDescent="0.25">
      <c r="A428" s="3" t="s">
        <v>188</v>
      </c>
      <c r="B428" t="s">
        <v>198</v>
      </c>
      <c r="C428">
        <v>7</v>
      </c>
      <c r="D428">
        <v>3</v>
      </c>
      <c r="E428">
        <f t="shared" si="276"/>
        <v>21</v>
      </c>
      <c r="F428">
        <v>13000</v>
      </c>
      <c r="G428">
        <v>34450</v>
      </c>
      <c r="H428">
        <f t="shared" si="296"/>
        <v>5409.3</v>
      </c>
      <c r="I428">
        <f t="shared" si="297"/>
        <v>5.4093</v>
      </c>
      <c r="J428">
        <f t="shared" si="297"/>
        <v>5.4092999999999997E-3</v>
      </c>
      <c r="K428">
        <f t="shared" si="298"/>
        <v>11.922097200000001</v>
      </c>
      <c r="L428" s="4">
        <v>1.2699999999999999E-2</v>
      </c>
      <c r="M428" s="4">
        <v>3.1</v>
      </c>
      <c r="N428">
        <f t="shared" si="299"/>
        <v>65.450847322550857</v>
      </c>
      <c r="P428" s="3">
        <f t="shared" si="295"/>
        <v>105.78732899261659</v>
      </c>
      <c r="Q428" s="3">
        <f t="shared" si="292"/>
        <v>23963.378179590727</v>
      </c>
      <c r="R428" s="3">
        <f t="shared" si="293"/>
        <v>57590.430616656398</v>
      </c>
      <c r="S428" s="3">
        <f t="shared" si="294"/>
        <v>152614.64113413944</v>
      </c>
      <c r="T428">
        <f t="shared" si="300"/>
        <v>109.97499999999999</v>
      </c>
      <c r="U428">
        <f t="shared" si="301"/>
        <v>0.14750000000000002</v>
      </c>
      <c r="V428">
        <f t="shared" si="302"/>
        <v>-1.1566666666666667</v>
      </c>
      <c r="W428" t="s">
        <v>279</v>
      </c>
      <c r="Z428" s="5" t="s">
        <v>469</v>
      </c>
      <c r="AA428" s="5" t="s">
        <v>470</v>
      </c>
      <c r="AB428" s="5" t="s">
        <v>472</v>
      </c>
      <c r="AC428" s="5" t="s">
        <v>474</v>
      </c>
      <c r="AD428" s="5" t="s">
        <v>475</v>
      </c>
      <c r="AE428" s="5" t="s">
        <v>477</v>
      </c>
    </row>
    <row r="429" spans="1:33" x14ac:dyDescent="0.25">
      <c r="A429" s="3" t="s">
        <v>188</v>
      </c>
      <c r="B429" t="s">
        <v>198</v>
      </c>
      <c r="C429">
        <v>8</v>
      </c>
      <c r="D429">
        <v>3</v>
      </c>
      <c r="E429">
        <f t="shared" si="276"/>
        <v>24</v>
      </c>
      <c r="F429">
        <v>18000</v>
      </c>
      <c r="G429">
        <v>40770</v>
      </c>
      <c r="H429">
        <f t="shared" si="296"/>
        <v>7489.8</v>
      </c>
      <c r="I429">
        <f t="shared" si="297"/>
        <v>7.4897999999999998</v>
      </c>
      <c r="J429">
        <f t="shared" si="297"/>
        <v>7.4897999999999996E-3</v>
      </c>
      <c r="K429">
        <f t="shared" si="298"/>
        <v>16.507519200000001</v>
      </c>
      <c r="L429" s="4">
        <v>1.2699999999999999E-2</v>
      </c>
      <c r="M429" s="4">
        <v>3.1</v>
      </c>
      <c r="N429">
        <f t="shared" si="299"/>
        <v>72.695130842069446</v>
      </c>
      <c r="P429" s="3">
        <f t="shared" si="295"/>
        <v>107.28472146220639</v>
      </c>
      <c r="Q429" s="3">
        <f t="shared" si="292"/>
        <v>25030.593239997157</v>
      </c>
      <c r="R429" s="3">
        <f t="shared" si="293"/>
        <v>60155.234895450987</v>
      </c>
      <c r="S429" s="3">
        <f t="shared" si="294"/>
        <v>159411.37247294511</v>
      </c>
      <c r="T429">
        <f t="shared" si="300"/>
        <v>109.97499999999999</v>
      </c>
      <c r="U429">
        <f t="shared" si="301"/>
        <v>0.14750000000000002</v>
      </c>
      <c r="V429">
        <f t="shared" si="302"/>
        <v>-1.1566666666666667</v>
      </c>
    </row>
    <row r="430" spans="1:33" x14ac:dyDescent="0.25">
      <c r="A430" s="3" t="s">
        <v>188</v>
      </c>
      <c r="B430" t="s">
        <v>198</v>
      </c>
      <c r="C430">
        <v>9</v>
      </c>
      <c r="D430">
        <v>3</v>
      </c>
      <c r="E430">
        <f t="shared" si="276"/>
        <v>27</v>
      </c>
      <c r="F430">
        <v>30000</v>
      </c>
      <c r="G430">
        <v>79500</v>
      </c>
      <c r="H430">
        <f t="shared" si="296"/>
        <v>12483</v>
      </c>
      <c r="I430">
        <f t="shared" si="297"/>
        <v>12.483000000000001</v>
      </c>
      <c r="J430">
        <f t="shared" si="297"/>
        <v>1.2483000000000001E-2</v>
      </c>
      <c r="K430">
        <f t="shared" si="298"/>
        <v>27.512532000000004</v>
      </c>
      <c r="L430" s="4">
        <v>1.2699999999999999E-2</v>
      </c>
      <c r="M430" s="4">
        <v>3.1</v>
      </c>
      <c r="N430">
        <f t="shared" si="299"/>
        <v>85.717488006455042</v>
      </c>
      <c r="P430" s="3">
        <f t="shared" si="295"/>
        <v>108.24668882222311</v>
      </c>
      <c r="Q430" s="3">
        <f t="shared" si="292"/>
        <v>25732.918501360557</v>
      </c>
      <c r="R430" s="3">
        <f t="shared" si="293"/>
        <v>61843.11103427194</v>
      </c>
      <c r="S430" s="3">
        <f t="shared" si="294"/>
        <v>163884.24424082064</v>
      </c>
      <c r="T430">
        <f t="shared" si="300"/>
        <v>109.97499999999999</v>
      </c>
      <c r="U430">
        <f t="shared" si="301"/>
        <v>0.14750000000000002</v>
      </c>
      <c r="V430">
        <f t="shared" si="302"/>
        <v>-1.1566666666666667</v>
      </c>
    </row>
    <row r="431" spans="1:33" x14ac:dyDescent="0.25">
      <c r="A431" s="3" t="s">
        <v>188</v>
      </c>
      <c r="B431" t="s">
        <v>198</v>
      </c>
      <c r="C431">
        <v>10</v>
      </c>
      <c r="D431">
        <v>3</v>
      </c>
      <c r="E431">
        <f t="shared" si="276"/>
        <v>30</v>
      </c>
      <c r="F431">
        <v>32000</v>
      </c>
      <c r="G431">
        <v>85500</v>
      </c>
      <c r="H431">
        <f t="shared" si="296"/>
        <v>13315.2</v>
      </c>
      <c r="I431">
        <f t="shared" si="297"/>
        <v>13.315200000000001</v>
      </c>
      <c r="J431">
        <f t="shared" si="297"/>
        <v>1.3315200000000001E-2</v>
      </c>
      <c r="K431">
        <f t="shared" si="298"/>
        <v>29.346700800000004</v>
      </c>
      <c r="L431" s="4">
        <v>1.2699999999999999E-2</v>
      </c>
      <c r="M431" s="4">
        <v>3.1</v>
      </c>
      <c r="N431">
        <f t="shared" si="299"/>
        <v>87.52073557813911</v>
      </c>
      <c r="P431" s="3">
        <f t="shared" si="295"/>
        <v>108.86468391738413</v>
      </c>
      <c r="Q431" s="3">
        <f t="shared" si="292"/>
        <v>26191.083819039475</v>
      </c>
      <c r="R431" s="3">
        <f t="shared" si="293"/>
        <v>62944.205284882177</v>
      </c>
      <c r="S431" s="3">
        <f t="shared" si="294"/>
        <v>166802.14400493776</v>
      </c>
      <c r="T431">
        <f t="shared" si="300"/>
        <v>109.97499999999999</v>
      </c>
      <c r="U431">
        <f t="shared" si="301"/>
        <v>0.14750000000000002</v>
      </c>
      <c r="V431">
        <f t="shared" si="302"/>
        <v>-1.1566666666666667</v>
      </c>
    </row>
    <row r="432" spans="1:33" x14ac:dyDescent="0.25">
      <c r="A432" t="s">
        <v>86</v>
      </c>
      <c r="B432" t="s">
        <v>87</v>
      </c>
      <c r="C432">
        <v>1</v>
      </c>
      <c r="D432">
        <v>5</v>
      </c>
      <c r="E432">
        <f t="shared" si="276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P432">
        <f>150*(1-EXP(-0.041*(E432+5.4)))</f>
        <v>52.071727826074678</v>
      </c>
      <c r="Q432">
        <f t="shared" ref="Q432" si="304">L432*(P432^M432)</f>
        <v>508.28637274412449</v>
      </c>
      <c r="R432">
        <f t="shared" ref="R432" si="305">Q432/20/5.7/3.65*1000</f>
        <v>1221.5486006828276</v>
      </c>
      <c r="S432">
        <f t="shared" ref="S432" si="306">R432*2.65</f>
        <v>3237.103791809493</v>
      </c>
      <c r="T432">
        <v>150</v>
      </c>
      <c r="U432">
        <v>4.1000000000000002E-2</v>
      </c>
      <c r="V432">
        <v>-5.4</v>
      </c>
      <c r="X432" t="s">
        <v>212</v>
      </c>
    </row>
    <row r="433" spans="1:24" x14ac:dyDescent="0.25">
      <c r="A433" t="s">
        <v>86</v>
      </c>
      <c r="B433" t="s">
        <v>87</v>
      </c>
      <c r="C433">
        <v>2</v>
      </c>
      <c r="D433">
        <v>5</v>
      </c>
      <c r="E433">
        <f t="shared" si="276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P433">
        <f t="shared" ref="P433:P441" si="307">150*(1-EXP(-0.041*(E433+5.4)))</f>
        <v>70.222995872705141</v>
      </c>
      <c r="Q433">
        <f t="shared" ref="Q433:Q441" si="308">L433*(P433^M433)</f>
        <v>1246.6385752361687</v>
      </c>
      <c r="R433">
        <f t="shared" ref="R433:R441" si="309">Q433/20/5.7/3.65*1000</f>
        <v>2996.007150291201</v>
      </c>
      <c r="S433">
        <f t="shared" ref="S433:S441" si="310">R433*2.65</f>
        <v>7939.418948271682</v>
      </c>
      <c r="T433">
        <v>150</v>
      </c>
      <c r="U433">
        <v>4.1000000000000002E-2</v>
      </c>
      <c r="V433">
        <v>-5.4</v>
      </c>
    </row>
    <row r="434" spans="1:24" x14ac:dyDescent="0.25">
      <c r="A434" t="s">
        <v>86</v>
      </c>
      <c r="B434" t="s">
        <v>87</v>
      </c>
      <c r="C434">
        <v>3</v>
      </c>
      <c r="D434">
        <v>5</v>
      </c>
      <c r="E434">
        <f t="shared" si="276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P434">
        <f t="shared" si="307"/>
        <v>85.009877676356894</v>
      </c>
      <c r="Q434">
        <f t="shared" si="308"/>
        <v>2211.6208446574719</v>
      </c>
      <c r="R434">
        <f t="shared" si="309"/>
        <v>5315.1185884582355</v>
      </c>
      <c r="S434">
        <f t="shared" si="310"/>
        <v>14085.064259414323</v>
      </c>
      <c r="T434">
        <v>150</v>
      </c>
      <c r="U434">
        <v>4.1000000000000002E-2</v>
      </c>
      <c r="V434">
        <v>-5.4</v>
      </c>
    </row>
    <row r="435" spans="1:24" x14ac:dyDescent="0.25">
      <c r="A435" t="s">
        <v>86</v>
      </c>
      <c r="B435" t="s">
        <v>87</v>
      </c>
      <c r="C435">
        <v>4</v>
      </c>
      <c r="D435">
        <v>5</v>
      </c>
      <c r="E435">
        <f t="shared" si="276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P435">
        <f t="shared" si="307"/>
        <v>97.055971255794574</v>
      </c>
      <c r="Q435">
        <f t="shared" si="308"/>
        <v>3291.3137248274465</v>
      </c>
      <c r="R435">
        <f t="shared" si="309"/>
        <v>7909.9104177540185</v>
      </c>
      <c r="S435">
        <f t="shared" si="310"/>
        <v>20961.262607048149</v>
      </c>
      <c r="T435">
        <v>150</v>
      </c>
      <c r="U435">
        <v>4.1000000000000002E-2</v>
      </c>
      <c r="V435">
        <v>-5.4</v>
      </c>
    </row>
    <row r="436" spans="1:24" x14ac:dyDescent="0.25">
      <c r="A436" t="s">
        <v>86</v>
      </c>
      <c r="B436" t="s">
        <v>87</v>
      </c>
      <c r="C436">
        <v>5</v>
      </c>
      <c r="D436">
        <v>5</v>
      </c>
      <c r="E436">
        <f t="shared" si="276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P436">
        <f t="shared" si="307"/>
        <v>106.86928906352426</v>
      </c>
      <c r="Q436">
        <f t="shared" si="308"/>
        <v>4394.0122330630593</v>
      </c>
      <c r="R436">
        <f t="shared" si="309"/>
        <v>10559.990947039316</v>
      </c>
      <c r="S436">
        <f t="shared" si="310"/>
        <v>27983.976009654187</v>
      </c>
      <c r="T436">
        <v>150</v>
      </c>
      <c r="U436">
        <v>4.1000000000000002E-2</v>
      </c>
      <c r="V436">
        <v>-5.4</v>
      </c>
    </row>
    <row r="437" spans="1:24" x14ac:dyDescent="0.25">
      <c r="A437" t="s">
        <v>86</v>
      </c>
      <c r="B437" t="s">
        <v>87</v>
      </c>
      <c r="C437">
        <v>6</v>
      </c>
      <c r="D437">
        <v>5</v>
      </c>
      <c r="E437">
        <f t="shared" si="276"/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P437">
        <f t="shared" si="307"/>
        <v>114.86368208068359</v>
      </c>
      <c r="Q437">
        <f t="shared" si="308"/>
        <v>5455.7027820230469</v>
      </c>
      <c r="R437">
        <f t="shared" si="309"/>
        <v>13111.518341800162</v>
      </c>
      <c r="S437">
        <f t="shared" si="310"/>
        <v>34745.523605770424</v>
      </c>
      <c r="T437">
        <v>150</v>
      </c>
      <c r="U437">
        <v>4.1000000000000002E-2</v>
      </c>
      <c r="V437">
        <v>-5.4</v>
      </c>
    </row>
    <row r="438" spans="1:24" x14ac:dyDescent="0.25">
      <c r="A438" t="s">
        <v>86</v>
      </c>
      <c r="B438" t="s">
        <v>87</v>
      </c>
      <c r="C438">
        <v>7</v>
      </c>
      <c r="D438">
        <v>5</v>
      </c>
      <c r="E438">
        <f t="shared" si="276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P438">
        <f t="shared" si="307"/>
        <v>121.37629289845059</v>
      </c>
      <c r="Q438">
        <f t="shared" si="308"/>
        <v>6437.3053166414402</v>
      </c>
      <c r="R438">
        <f t="shared" si="309"/>
        <v>15470.57273886431</v>
      </c>
      <c r="S438">
        <f t="shared" si="310"/>
        <v>40997.017757990419</v>
      </c>
      <c r="T438">
        <v>150</v>
      </c>
      <c r="U438">
        <v>4.1000000000000002E-2</v>
      </c>
      <c r="V438">
        <v>-5.4</v>
      </c>
    </row>
    <row r="439" spans="1:24" x14ac:dyDescent="0.25">
      <c r="A439" t="s">
        <v>86</v>
      </c>
      <c r="B439" t="s">
        <v>87</v>
      </c>
      <c r="C439">
        <v>8</v>
      </c>
      <c r="D439">
        <v>5</v>
      </c>
      <c r="E439">
        <f t="shared" si="276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P439">
        <f t="shared" si="307"/>
        <v>126.68177382397643</v>
      </c>
      <c r="Q439">
        <f t="shared" si="308"/>
        <v>7318.8847471111585</v>
      </c>
      <c r="R439">
        <f t="shared" si="309"/>
        <v>17589.244765948468</v>
      </c>
      <c r="S439">
        <f t="shared" si="310"/>
        <v>46611.498629763439</v>
      </c>
      <c r="T439">
        <v>150</v>
      </c>
      <c r="U439">
        <v>4.1000000000000002E-2</v>
      </c>
      <c r="V439">
        <v>-5.4</v>
      </c>
    </row>
    <row r="440" spans="1:24" x14ac:dyDescent="0.25">
      <c r="A440" t="s">
        <v>86</v>
      </c>
      <c r="B440" t="s">
        <v>87</v>
      </c>
      <c r="C440">
        <v>9</v>
      </c>
      <c r="D440">
        <v>5</v>
      </c>
      <c r="E440">
        <f t="shared" si="276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P440">
        <f t="shared" si="307"/>
        <v>131.003869622228</v>
      </c>
      <c r="Q440">
        <f t="shared" si="308"/>
        <v>8093.8448123255794</v>
      </c>
      <c r="R440">
        <f t="shared" si="309"/>
        <v>19451.681836879547</v>
      </c>
      <c r="S440">
        <f t="shared" si="310"/>
        <v>51546.956867730798</v>
      </c>
      <c r="T440">
        <v>150</v>
      </c>
      <c r="U440">
        <v>4.1000000000000002E-2</v>
      </c>
      <c r="V440">
        <v>-5.4</v>
      </c>
    </row>
    <row r="441" spans="1:24" x14ac:dyDescent="0.25">
      <c r="A441" t="s">
        <v>86</v>
      </c>
      <c r="B441" t="s">
        <v>87</v>
      </c>
      <c r="C441">
        <v>10</v>
      </c>
      <c r="D441">
        <v>5</v>
      </c>
      <c r="E441">
        <f t="shared" si="276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P441">
        <f t="shared" si="307"/>
        <v>134.52485336554668</v>
      </c>
      <c r="Q441">
        <f t="shared" si="308"/>
        <v>8764.1556661491104</v>
      </c>
      <c r="R441">
        <f t="shared" si="309"/>
        <v>21062.618760271838</v>
      </c>
      <c r="S441">
        <f t="shared" si="310"/>
        <v>55815.939714720371</v>
      </c>
      <c r="T441">
        <v>150</v>
      </c>
      <c r="U441">
        <v>4.1000000000000002E-2</v>
      </c>
      <c r="V441">
        <v>-5.4</v>
      </c>
    </row>
    <row r="442" spans="1:24" x14ac:dyDescent="0.25">
      <c r="A442" t="s">
        <v>88</v>
      </c>
      <c r="B442" t="s">
        <v>89</v>
      </c>
      <c r="C442">
        <v>1</v>
      </c>
      <c r="D442">
        <v>5</v>
      </c>
      <c r="E442">
        <f t="shared" si="276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P442">
        <f>186*(1-EXP(-0.046*(E442+6.54)))</f>
        <v>76.611400666372134</v>
      </c>
      <c r="Q442">
        <f t="shared" ref="Q442" si="311">L442*(P442^M442)</f>
        <v>2983.8569822381373</v>
      </c>
      <c r="R442">
        <f t="shared" ref="R442" si="312">Q442/20/5.7/3.65*1000</f>
        <v>7171.0093300604112</v>
      </c>
      <c r="S442">
        <f t="shared" ref="S442" si="313">R442*2.65</f>
        <v>19003.17472466009</v>
      </c>
      <c r="T442">
        <v>186</v>
      </c>
      <c r="U442">
        <v>4.5999999999999999E-2</v>
      </c>
      <c r="V442">
        <v>-6.54</v>
      </c>
      <c r="X442" t="s">
        <v>213</v>
      </c>
    </row>
    <row r="443" spans="1:24" x14ac:dyDescent="0.25">
      <c r="A443" t="s">
        <v>88</v>
      </c>
      <c r="B443" t="s">
        <v>89</v>
      </c>
      <c r="C443">
        <v>2</v>
      </c>
      <c r="D443">
        <v>5</v>
      </c>
      <c r="E443">
        <f t="shared" si="276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P443">
        <f t="shared" ref="P443:P451" si="314">186*(1-EXP(-0.046*(E443+6.54)))</f>
        <v>99.08708209865884</v>
      </c>
      <c r="Q443">
        <f t="shared" ref="Q443:Q451" si="315">L443*(P443^M443)</f>
        <v>6624.0145574934386</v>
      </c>
      <c r="R443">
        <f t="shared" ref="R443:R451" si="316">Q443/20/5.7/3.65*1000</f>
        <v>15919.285165809753</v>
      </c>
      <c r="S443">
        <f t="shared" ref="S443:S451" si="317">R443*2.65</f>
        <v>42186.105689395845</v>
      </c>
      <c r="T443">
        <v>186</v>
      </c>
      <c r="U443">
        <v>4.5999999999999999E-2</v>
      </c>
      <c r="V443">
        <v>-6.54</v>
      </c>
    </row>
    <row r="444" spans="1:24" x14ac:dyDescent="0.25">
      <c r="A444" t="s">
        <v>88</v>
      </c>
      <c r="B444" t="s">
        <v>89</v>
      </c>
      <c r="C444">
        <v>3</v>
      </c>
      <c r="D444">
        <v>5</v>
      </c>
      <c r="E444">
        <f t="shared" si="276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P444">
        <f t="shared" si="314"/>
        <v>116.94476623577091</v>
      </c>
      <c r="Q444">
        <f t="shared" si="315"/>
        <v>11071.562215979566</v>
      </c>
      <c r="R444">
        <f t="shared" si="316"/>
        <v>26607.936111462546</v>
      </c>
      <c r="S444">
        <f t="shared" si="317"/>
        <v>70511.030695375739</v>
      </c>
      <c r="T444">
        <v>186</v>
      </c>
      <c r="U444">
        <v>4.5999999999999999E-2</v>
      </c>
      <c r="V444">
        <v>-6.54</v>
      </c>
    </row>
    <row r="445" spans="1:24" x14ac:dyDescent="0.25">
      <c r="A445" t="s">
        <v>88</v>
      </c>
      <c r="B445" t="s">
        <v>89</v>
      </c>
      <c r="C445">
        <v>4</v>
      </c>
      <c r="D445">
        <v>5</v>
      </c>
      <c r="E445">
        <f t="shared" si="276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P445">
        <f t="shared" si="314"/>
        <v>131.13329634559719</v>
      </c>
      <c r="Q445">
        <f t="shared" si="315"/>
        <v>15789.874875237629</v>
      </c>
      <c r="R445">
        <f t="shared" si="316"/>
        <v>37947.308039504038</v>
      </c>
      <c r="S445">
        <f t="shared" si="317"/>
        <v>100560.3663046857</v>
      </c>
      <c r="T445">
        <v>186</v>
      </c>
      <c r="U445">
        <v>4.5999999999999999E-2</v>
      </c>
      <c r="V445">
        <v>-6.54</v>
      </c>
    </row>
    <row r="446" spans="1:24" x14ac:dyDescent="0.25">
      <c r="A446" t="s">
        <v>88</v>
      </c>
      <c r="B446" t="s">
        <v>89</v>
      </c>
      <c r="C446">
        <v>5</v>
      </c>
      <c r="D446">
        <v>5</v>
      </c>
      <c r="E446">
        <f t="shared" si="276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P446">
        <f t="shared" si="314"/>
        <v>142.40656028798449</v>
      </c>
      <c r="Q446">
        <f t="shared" si="315"/>
        <v>20389.728589471877</v>
      </c>
      <c r="R446">
        <f t="shared" si="316"/>
        <v>49001.991322931688</v>
      </c>
      <c r="S446">
        <f t="shared" si="317"/>
        <v>129855.27700576896</v>
      </c>
      <c r="T446">
        <v>186</v>
      </c>
      <c r="U446">
        <v>4.5999999999999999E-2</v>
      </c>
      <c r="V446">
        <v>-6.54</v>
      </c>
    </row>
    <row r="447" spans="1:24" x14ac:dyDescent="0.25">
      <c r="A447" t="s">
        <v>88</v>
      </c>
      <c r="B447" t="s">
        <v>89</v>
      </c>
      <c r="C447">
        <v>6</v>
      </c>
      <c r="D447">
        <v>5</v>
      </c>
      <c r="E447">
        <f t="shared" si="276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P447">
        <f t="shared" si="314"/>
        <v>151.36354730010044</v>
      </c>
      <c r="Q447">
        <f t="shared" si="315"/>
        <v>24633.973887026525</v>
      </c>
      <c r="R447">
        <f t="shared" si="316"/>
        <v>59202.052119746506</v>
      </c>
      <c r="S447">
        <f t="shared" si="317"/>
        <v>156885.43811732825</v>
      </c>
      <c r="T447">
        <v>186</v>
      </c>
      <c r="U447">
        <v>4.5999999999999999E-2</v>
      </c>
      <c r="V447">
        <v>-6.54</v>
      </c>
    </row>
    <row r="448" spans="1:24" x14ac:dyDescent="0.25">
      <c r="A448" t="s">
        <v>88</v>
      </c>
      <c r="B448" t="s">
        <v>89</v>
      </c>
      <c r="C448">
        <v>7</v>
      </c>
      <c r="D448">
        <v>5</v>
      </c>
      <c r="E448">
        <f t="shared" si="276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P448">
        <f t="shared" si="314"/>
        <v>158.48017445841245</v>
      </c>
      <c r="Q448">
        <f t="shared" si="315"/>
        <v>28404.73693357033</v>
      </c>
      <c r="R448">
        <f t="shared" si="316"/>
        <v>68264.207963399022</v>
      </c>
      <c r="S448">
        <f t="shared" si="317"/>
        <v>180900.1511030074</v>
      </c>
      <c r="T448">
        <v>186</v>
      </c>
      <c r="U448">
        <v>4.5999999999999999E-2</v>
      </c>
      <c r="V448">
        <v>-6.54</v>
      </c>
    </row>
    <row r="449" spans="1:24" x14ac:dyDescent="0.25">
      <c r="A449" t="s">
        <v>88</v>
      </c>
      <c r="B449" t="s">
        <v>89</v>
      </c>
      <c r="C449">
        <v>8</v>
      </c>
      <c r="D449">
        <v>5</v>
      </c>
      <c r="E449">
        <f t="shared" si="276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P449">
        <f t="shared" si="314"/>
        <v>164.13457387217917</v>
      </c>
      <c r="Q449">
        <f t="shared" si="315"/>
        <v>31665.669795615515</v>
      </c>
      <c r="R449">
        <f t="shared" si="316"/>
        <v>76101.105012293963</v>
      </c>
      <c r="S449">
        <f t="shared" si="317"/>
        <v>201667.928282579</v>
      </c>
      <c r="T449">
        <v>186</v>
      </c>
      <c r="U449">
        <v>4.5999999999999999E-2</v>
      </c>
      <c r="V449">
        <v>-6.54</v>
      </c>
    </row>
    <row r="450" spans="1:24" x14ac:dyDescent="0.25">
      <c r="A450" t="s">
        <v>88</v>
      </c>
      <c r="B450" t="s">
        <v>89</v>
      </c>
      <c r="C450">
        <v>9</v>
      </c>
      <c r="D450">
        <v>5</v>
      </c>
      <c r="E450">
        <f t="shared" si="276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P450">
        <f t="shared" si="314"/>
        <v>168.62718420839201</v>
      </c>
      <c r="Q450">
        <f t="shared" si="315"/>
        <v>34430.55145672807</v>
      </c>
      <c r="R450">
        <f t="shared" si="316"/>
        <v>82745.857862840843</v>
      </c>
      <c r="S450">
        <f t="shared" si="317"/>
        <v>219276.52333652822</v>
      </c>
      <c r="T450">
        <v>186</v>
      </c>
      <c r="U450">
        <v>4.5999999999999999E-2</v>
      </c>
      <c r="V450">
        <v>-6.54</v>
      </c>
    </row>
    <row r="451" spans="1:24" x14ac:dyDescent="0.25">
      <c r="A451" t="s">
        <v>88</v>
      </c>
      <c r="B451" t="s">
        <v>89</v>
      </c>
      <c r="C451">
        <v>10</v>
      </c>
      <c r="D451">
        <v>5</v>
      </c>
      <c r="E451">
        <f t="shared" ref="E451:E514" si="318">C451*D451</f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P451">
        <f t="shared" si="314"/>
        <v>172.19671408346687</v>
      </c>
      <c r="Q451">
        <f t="shared" si="315"/>
        <v>36740.538811986386</v>
      </c>
      <c r="R451">
        <f t="shared" si="316"/>
        <v>88297.377582279223</v>
      </c>
      <c r="S451">
        <f t="shared" si="317"/>
        <v>233988.05059303992</v>
      </c>
      <c r="T451">
        <v>186</v>
      </c>
      <c r="U451">
        <v>4.5999999999999999E-2</v>
      </c>
      <c r="V451">
        <v>-6.54</v>
      </c>
    </row>
    <row r="452" spans="1:24" x14ac:dyDescent="0.25">
      <c r="A452" t="s">
        <v>90</v>
      </c>
      <c r="B452" t="s">
        <v>91</v>
      </c>
      <c r="C452">
        <v>1</v>
      </c>
      <c r="D452">
        <v>2</v>
      </c>
      <c r="E452">
        <f t="shared" si="318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P452">
        <f>98.7*(1-EXP(-0.158*(E452+2.96)))</f>
        <v>53.621521096701734</v>
      </c>
      <c r="Q452">
        <f t="shared" ref="Q452" si="319">L452*(P452^M452)</f>
        <v>1263.1162036541746</v>
      </c>
      <c r="R452">
        <f t="shared" ref="R452" si="320">Q452/20/5.7/3.65*1000</f>
        <v>3035.6073147180355</v>
      </c>
      <c r="S452">
        <f t="shared" ref="S452" si="321">R452*2.65</f>
        <v>8044.3593840027934</v>
      </c>
      <c r="T452">
        <v>98.7</v>
      </c>
      <c r="U452">
        <v>0.158</v>
      </c>
      <c r="V452">
        <v>-2.96</v>
      </c>
      <c r="X452" t="s">
        <v>214</v>
      </c>
    </row>
    <row r="453" spans="1:24" x14ac:dyDescent="0.25">
      <c r="A453" t="s">
        <v>90</v>
      </c>
      <c r="B453" t="s">
        <v>91</v>
      </c>
      <c r="C453">
        <v>2</v>
      </c>
      <c r="D453">
        <v>2</v>
      </c>
      <c r="E453">
        <f t="shared" si="318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P453">
        <f t="shared" ref="P453:P461" si="322">98.7*(1-EXP(-0.158*(E453+2.96)))</f>
        <v>65.835108956368529</v>
      </c>
      <c r="Q453">
        <f t="shared" ref="Q453:Q461" si="323">L453*(P453^M453)</f>
        <v>2290.2703502839645</v>
      </c>
      <c r="R453">
        <f t="shared" ref="R453:R461" si="324">Q453/20/5.7/3.65*1000</f>
        <v>5504.1344635519454</v>
      </c>
      <c r="S453">
        <f t="shared" ref="S453:S461" si="325">R453*2.65</f>
        <v>14585.956328412654</v>
      </c>
      <c r="T453">
        <v>98.7</v>
      </c>
      <c r="U453">
        <v>0.158</v>
      </c>
      <c r="V453">
        <v>-2.96</v>
      </c>
    </row>
    <row r="454" spans="1:24" x14ac:dyDescent="0.25">
      <c r="A454" t="s">
        <v>90</v>
      </c>
      <c r="B454" t="s">
        <v>91</v>
      </c>
      <c r="C454">
        <v>3</v>
      </c>
      <c r="D454">
        <v>2</v>
      </c>
      <c r="E454">
        <f t="shared" si="318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P454">
        <f t="shared" si="322"/>
        <v>74.739540605911188</v>
      </c>
      <c r="Q454">
        <f t="shared" si="323"/>
        <v>3308.6898603615082</v>
      </c>
      <c r="R454">
        <f t="shared" si="324"/>
        <v>7951.6699359805534</v>
      </c>
      <c r="S454">
        <f t="shared" si="325"/>
        <v>21071.925330348466</v>
      </c>
      <c r="T454">
        <v>98.7</v>
      </c>
      <c r="U454">
        <v>0.158</v>
      </c>
      <c r="V454">
        <v>-2.96</v>
      </c>
    </row>
    <row r="455" spans="1:24" x14ac:dyDescent="0.25">
      <c r="A455" t="s">
        <v>90</v>
      </c>
      <c r="B455" t="s">
        <v>91</v>
      </c>
      <c r="C455">
        <v>4</v>
      </c>
      <c r="D455">
        <v>2</v>
      </c>
      <c r="E455">
        <f t="shared" si="318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P455">
        <f t="shared" si="322"/>
        <v>81.231400648381936</v>
      </c>
      <c r="Q455">
        <f t="shared" si="323"/>
        <v>4212.6876703371154</v>
      </c>
      <c r="R455">
        <f t="shared" si="324"/>
        <v>10124.219347121161</v>
      </c>
      <c r="S455">
        <f t="shared" si="325"/>
        <v>26829.181269871078</v>
      </c>
      <c r="T455">
        <v>98.7</v>
      </c>
      <c r="U455">
        <v>0.158</v>
      </c>
      <c r="V455">
        <v>-2.96</v>
      </c>
    </row>
    <row r="456" spans="1:24" x14ac:dyDescent="0.25">
      <c r="A456" t="s">
        <v>90</v>
      </c>
      <c r="B456" t="s">
        <v>91</v>
      </c>
      <c r="C456">
        <v>5</v>
      </c>
      <c r="D456">
        <v>2</v>
      </c>
      <c r="E456">
        <f t="shared" si="318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P456">
        <f t="shared" si="322"/>
        <v>85.964352561510822</v>
      </c>
      <c r="Q456">
        <f t="shared" si="323"/>
        <v>4964.5876313099352</v>
      </c>
      <c r="R456">
        <f t="shared" si="324"/>
        <v>11931.236797188021</v>
      </c>
      <c r="S456">
        <f t="shared" si="325"/>
        <v>31617.777512548255</v>
      </c>
      <c r="T456">
        <v>98.7</v>
      </c>
      <c r="U456">
        <v>0.158</v>
      </c>
      <c r="V456">
        <v>-2.96</v>
      </c>
    </row>
    <row r="457" spans="1:24" x14ac:dyDescent="0.25">
      <c r="A457" t="s">
        <v>90</v>
      </c>
      <c r="B457" t="s">
        <v>91</v>
      </c>
      <c r="C457">
        <v>6</v>
      </c>
      <c r="D457">
        <v>2</v>
      </c>
      <c r="E457">
        <f t="shared" si="318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P457">
        <f t="shared" si="322"/>
        <v>89.414955880966374</v>
      </c>
      <c r="Q457">
        <f t="shared" si="323"/>
        <v>5564.7968412451664</v>
      </c>
      <c r="R457">
        <f t="shared" si="324"/>
        <v>13373.700651874949</v>
      </c>
      <c r="S457">
        <f t="shared" si="325"/>
        <v>35440.306727468618</v>
      </c>
      <c r="T457">
        <v>98.7</v>
      </c>
      <c r="U457">
        <v>0.158</v>
      </c>
      <c r="V457">
        <v>-2.96</v>
      </c>
    </row>
    <row r="458" spans="1:24" x14ac:dyDescent="0.25">
      <c r="A458" t="s">
        <v>90</v>
      </c>
      <c r="B458" t="s">
        <v>91</v>
      </c>
      <c r="C458">
        <v>7</v>
      </c>
      <c r="D458">
        <v>2</v>
      </c>
      <c r="E458">
        <f t="shared" si="318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P458">
        <f t="shared" si="322"/>
        <v>91.93065083979522</v>
      </c>
      <c r="Q458">
        <f t="shared" si="323"/>
        <v>6031.0760049300561</v>
      </c>
      <c r="R458">
        <f t="shared" si="324"/>
        <v>14494.294652559616</v>
      </c>
      <c r="S458">
        <f t="shared" si="325"/>
        <v>38409.880829282978</v>
      </c>
      <c r="T458">
        <v>98.7</v>
      </c>
      <c r="U458">
        <v>0.158</v>
      </c>
      <c r="V458">
        <v>-2.96</v>
      </c>
    </row>
    <row r="459" spans="1:24" x14ac:dyDescent="0.25">
      <c r="A459" t="s">
        <v>90</v>
      </c>
      <c r="B459" t="s">
        <v>91</v>
      </c>
      <c r="C459">
        <v>8</v>
      </c>
      <c r="D459">
        <v>2</v>
      </c>
      <c r="E459">
        <f t="shared" si="318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P459">
        <f t="shared" si="322"/>
        <v>93.764742023268425</v>
      </c>
      <c r="Q459">
        <f t="shared" si="323"/>
        <v>6386.6712780728694</v>
      </c>
      <c r="R459">
        <f t="shared" si="324"/>
        <v>15348.885551725236</v>
      </c>
      <c r="S459">
        <f t="shared" si="325"/>
        <v>40674.546712071875</v>
      </c>
      <c r="T459">
        <v>98.7</v>
      </c>
      <c r="U459">
        <v>0.158</v>
      </c>
      <c r="V459">
        <v>-2.96</v>
      </c>
    </row>
    <row r="460" spans="1:24" x14ac:dyDescent="0.25">
      <c r="A460" t="s">
        <v>90</v>
      </c>
      <c r="B460" t="s">
        <v>91</v>
      </c>
      <c r="C460">
        <v>9</v>
      </c>
      <c r="D460">
        <v>2</v>
      </c>
      <c r="E460">
        <f t="shared" si="318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P460">
        <f t="shared" si="322"/>
        <v>95.101903533048713</v>
      </c>
      <c r="Q460">
        <f t="shared" si="323"/>
        <v>6654.3944211897187</v>
      </c>
      <c r="R460">
        <f t="shared" si="324"/>
        <v>15992.296133597018</v>
      </c>
      <c r="S460">
        <f t="shared" si="325"/>
        <v>42379.584754032097</v>
      </c>
      <c r="T460">
        <v>98.7</v>
      </c>
      <c r="U460">
        <v>0.158</v>
      </c>
      <c r="V460">
        <v>-2.96</v>
      </c>
    </row>
    <row r="461" spans="1:24" x14ac:dyDescent="0.25">
      <c r="A461" t="s">
        <v>90</v>
      </c>
      <c r="B461" t="s">
        <v>91</v>
      </c>
      <c r="C461">
        <v>10</v>
      </c>
      <c r="D461">
        <v>2</v>
      </c>
      <c r="E461">
        <f t="shared" si="318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P461">
        <f t="shared" si="322"/>
        <v>96.076773768154425</v>
      </c>
      <c r="Q461">
        <f t="shared" si="323"/>
        <v>6854.143978602423</v>
      </c>
      <c r="R461">
        <f t="shared" si="324"/>
        <v>16472.347941846725</v>
      </c>
      <c r="S461">
        <f t="shared" si="325"/>
        <v>43651.722045893817</v>
      </c>
      <c r="T461">
        <v>98.7</v>
      </c>
      <c r="U461">
        <v>0.158</v>
      </c>
      <c r="V461">
        <v>-2.96</v>
      </c>
    </row>
    <row r="462" spans="1:24" x14ac:dyDescent="0.25">
      <c r="A462" t="s">
        <v>92</v>
      </c>
      <c r="B462" t="s">
        <v>93</v>
      </c>
      <c r="C462">
        <v>1</v>
      </c>
      <c r="D462">
        <v>2</v>
      </c>
      <c r="E462">
        <f t="shared" si="318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P462">
        <f>85.9*(1-EXP(-0.215*(E462)))</f>
        <v>30.021268763267113</v>
      </c>
      <c r="Q462">
        <f t="shared" ref="Q462" si="326">L462*(P462^M462)</f>
        <v>384.89283427329445</v>
      </c>
      <c r="R462">
        <f t="shared" ref="R462" si="327">Q462/20/5.7/3.65*1000</f>
        <v>925.00080334846052</v>
      </c>
      <c r="S462">
        <f t="shared" ref="S462" si="328">R462*2.65</f>
        <v>2451.2521288734201</v>
      </c>
      <c r="T462">
        <v>85.9</v>
      </c>
      <c r="U462">
        <v>0.215</v>
      </c>
      <c r="V462">
        <v>0</v>
      </c>
      <c r="X462" t="s">
        <v>215</v>
      </c>
    </row>
    <row r="463" spans="1:24" x14ac:dyDescent="0.25">
      <c r="A463" t="s">
        <v>92</v>
      </c>
      <c r="B463" t="s">
        <v>93</v>
      </c>
      <c r="C463">
        <v>2</v>
      </c>
      <c r="D463">
        <v>2</v>
      </c>
      <c r="E463">
        <f t="shared" si="318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P463">
        <f t="shared" ref="P463:P471" si="329">85.9*(1-EXP(-0.215*(E463)))</f>
        <v>49.550377128905374</v>
      </c>
      <c r="Q463">
        <f t="shared" ref="Q463:Q471" si="330">L463*(P463^M463)</f>
        <v>1774.4938030754352</v>
      </c>
      <c r="R463">
        <f t="shared" ref="R463:R471" si="331">Q463/20/5.7/3.65*1000</f>
        <v>4264.5849629306304</v>
      </c>
      <c r="S463">
        <f t="shared" ref="S463:S471" si="332">R463*2.65</f>
        <v>11301.150151766171</v>
      </c>
      <c r="T463">
        <v>85.9</v>
      </c>
      <c r="U463">
        <v>0.215</v>
      </c>
      <c r="V463">
        <v>0</v>
      </c>
    </row>
    <row r="464" spans="1:24" x14ac:dyDescent="0.25">
      <c r="A464" t="s">
        <v>92</v>
      </c>
      <c r="B464" t="s">
        <v>93</v>
      </c>
      <c r="C464">
        <v>3</v>
      </c>
      <c r="D464">
        <v>2</v>
      </c>
      <c r="E464">
        <f t="shared" si="318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P464">
        <f t="shared" si="329"/>
        <v>62.254239732590285</v>
      </c>
      <c r="Q464">
        <f t="shared" si="330"/>
        <v>3559.561444120221</v>
      </c>
      <c r="R464">
        <f t="shared" si="331"/>
        <v>8554.5816969964453</v>
      </c>
      <c r="S464">
        <f t="shared" si="332"/>
        <v>22669.641497040579</v>
      </c>
      <c r="T464">
        <v>85.9</v>
      </c>
      <c r="U464">
        <v>0.215</v>
      </c>
      <c r="V464">
        <v>0</v>
      </c>
    </row>
    <row r="465" spans="1:29" x14ac:dyDescent="0.25">
      <c r="A465" t="s">
        <v>92</v>
      </c>
      <c r="B465" t="s">
        <v>93</v>
      </c>
      <c r="C465">
        <v>4</v>
      </c>
      <c r="D465">
        <v>2</v>
      </c>
      <c r="E465">
        <f t="shared" si="318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P465">
        <f t="shared" si="329"/>
        <v>70.518217894402738</v>
      </c>
      <c r="Q465">
        <f t="shared" si="330"/>
        <v>5205.9536585971264</v>
      </c>
      <c r="R465">
        <f t="shared" si="331"/>
        <v>12511.304154282927</v>
      </c>
      <c r="S465">
        <f t="shared" si="332"/>
        <v>33154.956008849753</v>
      </c>
      <c r="T465">
        <v>85.9</v>
      </c>
      <c r="U465">
        <v>0.215</v>
      </c>
      <c r="V465">
        <v>0</v>
      </c>
    </row>
    <row r="466" spans="1:29" x14ac:dyDescent="0.25">
      <c r="A466" t="s">
        <v>92</v>
      </c>
      <c r="B466" t="s">
        <v>93</v>
      </c>
      <c r="C466">
        <v>5</v>
      </c>
      <c r="D466">
        <v>2</v>
      </c>
      <c r="E466">
        <f t="shared" si="318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P466">
        <f t="shared" si="329"/>
        <v>75.89401084725661</v>
      </c>
      <c r="Q466">
        <f t="shared" si="330"/>
        <v>6513.4957842609556</v>
      </c>
      <c r="R466">
        <f t="shared" si="331"/>
        <v>15653.678885510588</v>
      </c>
      <c r="S466">
        <f t="shared" si="332"/>
        <v>41482.249046603058</v>
      </c>
      <c r="T466">
        <v>85.9</v>
      </c>
      <c r="U466">
        <v>0.215</v>
      </c>
      <c r="V466">
        <v>0</v>
      </c>
    </row>
    <row r="467" spans="1:29" x14ac:dyDescent="0.25">
      <c r="A467" t="s">
        <v>92</v>
      </c>
      <c r="B467" t="s">
        <v>93</v>
      </c>
      <c r="C467">
        <v>6</v>
      </c>
      <c r="D467">
        <v>2</v>
      </c>
      <c r="E467">
        <f t="shared" si="318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P467">
        <f t="shared" si="329"/>
        <v>79.391013054437579</v>
      </c>
      <c r="Q467">
        <f t="shared" si="330"/>
        <v>7472.8083505459481</v>
      </c>
      <c r="R467">
        <f t="shared" si="331"/>
        <v>17959.164505037126</v>
      </c>
      <c r="S467">
        <f t="shared" si="332"/>
        <v>47591.785938348381</v>
      </c>
      <c r="T467">
        <v>85.9</v>
      </c>
      <c r="U467">
        <v>0.215</v>
      </c>
      <c r="V467">
        <v>0</v>
      </c>
    </row>
    <row r="468" spans="1:29" x14ac:dyDescent="0.25">
      <c r="A468" t="s">
        <v>92</v>
      </c>
      <c r="B468" t="s">
        <v>93</v>
      </c>
      <c r="C468">
        <v>7</v>
      </c>
      <c r="D468">
        <v>2</v>
      </c>
      <c r="E468">
        <f t="shared" si="318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P468">
        <f t="shared" si="329"/>
        <v>81.665844794476314</v>
      </c>
      <c r="Q468">
        <f t="shared" si="330"/>
        <v>8145.2542658519005</v>
      </c>
      <c r="R468">
        <f t="shared" si="331"/>
        <v>19575.232554318438</v>
      </c>
      <c r="S468">
        <f t="shared" si="332"/>
        <v>51874.366268943857</v>
      </c>
      <c r="T468">
        <v>85.9</v>
      </c>
      <c r="U468">
        <v>0.215</v>
      </c>
      <c r="V468">
        <v>0</v>
      </c>
    </row>
    <row r="469" spans="1:29" x14ac:dyDescent="0.25">
      <c r="A469" t="s">
        <v>92</v>
      </c>
      <c r="B469" t="s">
        <v>93</v>
      </c>
      <c r="C469">
        <v>8</v>
      </c>
      <c r="D469">
        <v>2</v>
      </c>
      <c r="E469">
        <f t="shared" si="318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P469">
        <f t="shared" si="329"/>
        <v>83.14564353033677</v>
      </c>
      <c r="Q469">
        <f t="shared" si="330"/>
        <v>8603.8279654683902</v>
      </c>
      <c r="R469">
        <f t="shared" si="331"/>
        <v>20677.308256352779</v>
      </c>
      <c r="S469">
        <f t="shared" si="332"/>
        <v>54794.866879334862</v>
      </c>
      <c r="T469">
        <v>85.9</v>
      </c>
      <c r="U469">
        <v>0.215</v>
      </c>
      <c r="V469">
        <v>0</v>
      </c>
    </row>
    <row r="470" spans="1:29" x14ac:dyDescent="0.25">
      <c r="A470" t="s">
        <v>92</v>
      </c>
      <c r="B470" t="s">
        <v>93</v>
      </c>
      <c r="C470">
        <v>9</v>
      </c>
      <c r="D470">
        <v>2</v>
      </c>
      <c r="E470">
        <f t="shared" si="318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P470">
        <f t="shared" si="329"/>
        <v>84.108266066374071</v>
      </c>
      <c r="Q470">
        <f t="shared" si="330"/>
        <v>8911.2621458725062</v>
      </c>
      <c r="R470">
        <f t="shared" si="331"/>
        <v>21416.155121058655</v>
      </c>
      <c r="S470">
        <f t="shared" si="332"/>
        <v>56752.81107080543</v>
      </c>
      <c r="T470">
        <v>85.9</v>
      </c>
      <c r="U470">
        <v>0.215</v>
      </c>
      <c r="V470">
        <v>0</v>
      </c>
    </row>
    <row r="471" spans="1:29" x14ac:dyDescent="0.25">
      <c r="A471" t="s">
        <v>92</v>
      </c>
      <c r="B471" t="s">
        <v>93</v>
      </c>
      <c r="C471">
        <v>10</v>
      </c>
      <c r="D471">
        <v>2</v>
      </c>
      <c r="E471">
        <f t="shared" si="318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P471">
        <f t="shared" si="329"/>
        <v>84.734460780851947</v>
      </c>
      <c r="Q471">
        <f t="shared" si="330"/>
        <v>9115.1634332104441</v>
      </c>
      <c r="R471">
        <f t="shared" si="331"/>
        <v>21906.184650830193</v>
      </c>
      <c r="S471">
        <f t="shared" si="332"/>
        <v>58051.389324700009</v>
      </c>
      <c r="T471">
        <v>85.9</v>
      </c>
      <c r="U471">
        <v>0.215</v>
      </c>
      <c r="V471">
        <v>0</v>
      </c>
      <c r="X471" t="s">
        <v>519</v>
      </c>
      <c r="Y471" t="s">
        <v>521</v>
      </c>
      <c r="Z471" t="s">
        <v>523</v>
      </c>
    </row>
    <row r="472" spans="1:29" x14ac:dyDescent="0.25">
      <c r="A472" t="s">
        <v>94</v>
      </c>
      <c r="B472" t="s">
        <v>95</v>
      </c>
      <c r="C472">
        <v>1</v>
      </c>
      <c r="D472">
        <v>7</v>
      </c>
      <c r="E472">
        <f t="shared" si="318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3">
        <v>1.4999999999999999E-2</v>
      </c>
      <c r="M472">
        <v>3</v>
      </c>
      <c r="N472">
        <v>707.50350370000001</v>
      </c>
      <c r="P472" s="3">
        <f>T472*(1-EXP(-U472*(E472)))</f>
        <v>224.55171764903804</v>
      </c>
      <c r="Q472" s="3">
        <f t="shared" ref="Q472" si="333">L472*(P472^M472)</f>
        <v>169840.16510822729</v>
      </c>
      <c r="R472" s="3">
        <f t="shared" ref="R472" si="334">Q472/20/5.7/3.65*1000</f>
        <v>408171.50951268279</v>
      </c>
      <c r="S472" s="3">
        <f t="shared" ref="S472" si="335">R472*2.65</f>
        <v>1081654.5002086093</v>
      </c>
      <c r="T472">
        <f>$AB$473*100</f>
        <v>271.78000000000003</v>
      </c>
      <c r="U472">
        <v>0.25</v>
      </c>
      <c r="V472">
        <v>0</v>
      </c>
      <c r="W472" t="s">
        <v>442</v>
      </c>
      <c r="X472">
        <f>AVERAGE(135,170)*0.453592</f>
        <v>69.172780000000003</v>
      </c>
      <c r="Y472">
        <f>340*0.453592</f>
        <v>154.22128000000001</v>
      </c>
      <c r="Z472">
        <f>1400*0.453592</f>
        <v>635.02880000000005</v>
      </c>
      <c r="AB472">
        <f>AVERAGE(X472:Z472)</f>
        <v>286.14095333333336</v>
      </c>
      <c r="AC472">
        <f>Q472*0.001</f>
        <v>169.8401651082273</v>
      </c>
    </row>
    <row r="473" spans="1:29" x14ac:dyDescent="0.25">
      <c r="A473" t="s">
        <v>94</v>
      </c>
      <c r="B473" t="s">
        <v>95</v>
      </c>
      <c r="C473">
        <v>2</v>
      </c>
      <c r="D473">
        <v>7</v>
      </c>
      <c r="E473">
        <f t="shared" si="318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3">
        <v>1.4999999999999999E-2</v>
      </c>
      <c r="M473">
        <v>3</v>
      </c>
      <c r="N473">
        <v>726.6872836</v>
      </c>
      <c r="P473" s="3">
        <f t="shared" ref="P473:P481" si="336">T473*(1-EXP(-U473*(E473)))</f>
        <v>263.57295513348231</v>
      </c>
      <c r="Q473" s="3">
        <f t="shared" ref="Q473:Q481" si="337">L473*(P473^M473)</f>
        <v>274658.97599979589</v>
      </c>
      <c r="R473" s="3">
        <f t="shared" ref="R473:R481" si="338">Q473/20/5.7/3.65*1000</f>
        <v>660079.25017975457</v>
      </c>
      <c r="S473" s="3">
        <f t="shared" ref="S473:S481" si="339">R473*2.65</f>
        <v>1749210.0129763496</v>
      </c>
      <c r="T473">
        <f t="shared" ref="T473:T481" si="340">$AB$473*100</f>
        <v>271.78000000000003</v>
      </c>
      <c r="U473">
        <v>0.25</v>
      </c>
      <c r="V473">
        <v>0</v>
      </c>
      <c r="W473" t="s">
        <v>443</v>
      </c>
      <c r="X473">
        <f>5.25*0.3048</f>
        <v>1.6002000000000001</v>
      </c>
      <c r="Y473">
        <f>8.5*0.3048</f>
        <v>2.5908000000000002</v>
      </c>
      <c r="Z473">
        <f>13*0.3048</f>
        <v>3.9624000000000001</v>
      </c>
      <c r="AB473">
        <f>AVERAGE(X473:Z473)</f>
        <v>2.7178000000000004</v>
      </c>
      <c r="AC473">
        <f t="shared" ref="AC473:AC477" si="341">Q473*0.001</f>
        <v>274.65897599979587</v>
      </c>
    </row>
    <row r="474" spans="1:29" x14ac:dyDescent="0.25">
      <c r="A474" t="s">
        <v>94</v>
      </c>
      <c r="B474" t="s">
        <v>95</v>
      </c>
      <c r="C474">
        <v>3</v>
      </c>
      <c r="D474">
        <v>7</v>
      </c>
      <c r="E474">
        <f t="shared" si="318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3">
        <v>1.4999999999999999E-2</v>
      </c>
      <c r="M474">
        <v>3</v>
      </c>
      <c r="N474">
        <v>727.03865089999999</v>
      </c>
      <c r="P474" s="3">
        <f t="shared" si="336"/>
        <v>270.35382944947054</v>
      </c>
      <c r="Q474" s="3">
        <f t="shared" si="337"/>
        <v>296407.25929609837</v>
      </c>
      <c r="R474" s="3">
        <f t="shared" si="338"/>
        <v>712346.21316053439</v>
      </c>
      <c r="S474" s="3">
        <f t="shared" si="339"/>
        <v>1887717.4648754161</v>
      </c>
      <c r="T474">
        <f t="shared" si="340"/>
        <v>271.78000000000003</v>
      </c>
      <c r="U474">
        <v>0.25</v>
      </c>
      <c r="V474">
        <v>0</v>
      </c>
      <c r="W474" t="s">
        <v>447</v>
      </c>
      <c r="X474">
        <v>25</v>
      </c>
      <c r="Y474">
        <v>60</v>
      </c>
      <c r="Z474">
        <v>60</v>
      </c>
      <c r="AC474">
        <f t="shared" si="341"/>
        <v>296.4072592960984</v>
      </c>
    </row>
    <row r="475" spans="1:29" x14ac:dyDescent="0.25">
      <c r="A475" t="s">
        <v>94</v>
      </c>
      <c r="B475" t="s">
        <v>95</v>
      </c>
      <c r="C475">
        <v>4</v>
      </c>
      <c r="D475">
        <v>7</v>
      </c>
      <c r="E475">
        <f t="shared" si="318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3">
        <v>1.4999999999999999E-2</v>
      </c>
      <c r="M475">
        <v>3</v>
      </c>
      <c r="N475">
        <v>727.04507169999999</v>
      </c>
      <c r="P475" s="3">
        <f t="shared" si="336"/>
        <v>271.53216871940162</v>
      </c>
      <c r="Q475" s="3">
        <f t="shared" si="337"/>
        <v>300299.85605939425</v>
      </c>
      <c r="R475" s="3">
        <f t="shared" si="338"/>
        <v>721701.16813120467</v>
      </c>
      <c r="S475" s="3">
        <f t="shared" si="339"/>
        <v>1912508.0955476924</v>
      </c>
      <c r="T475">
        <f t="shared" si="340"/>
        <v>271.78000000000003</v>
      </c>
      <c r="U475">
        <v>0.25</v>
      </c>
      <c r="V475">
        <v>0</v>
      </c>
      <c r="W475" t="s">
        <v>444</v>
      </c>
      <c r="Z475">
        <f>300*0.453592</f>
        <v>136.07759999999999</v>
      </c>
      <c r="AC475">
        <f t="shared" si="341"/>
        <v>300.29985605939424</v>
      </c>
    </row>
    <row r="476" spans="1:29" x14ac:dyDescent="0.25">
      <c r="A476" t="s">
        <v>94</v>
      </c>
      <c r="B476" t="s">
        <v>95</v>
      </c>
      <c r="C476">
        <v>5</v>
      </c>
      <c r="D476">
        <v>7</v>
      </c>
      <c r="E476">
        <f t="shared" si="318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3">
        <v>1.4999999999999999E-2</v>
      </c>
      <c r="M476">
        <v>3</v>
      </c>
      <c r="N476">
        <v>727.04518989999997</v>
      </c>
      <c r="P476" s="3">
        <f t="shared" si="336"/>
        <v>271.73693338106006</v>
      </c>
      <c r="Q476" s="3">
        <f t="shared" si="337"/>
        <v>300979.74435133958</v>
      </c>
      <c r="R476" s="3">
        <f t="shared" si="338"/>
        <v>723335.12220941973</v>
      </c>
      <c r="S476" s="3">
        <f t="shared" si="339"/>
        <v>1916838.0738549621</v>
      </c>
      <c r="T476">
        <f t="shared" si="340"/>
        <v>271.78000000000003</v>
      </c>
      <c r="U476">
        <v>0.25</v>
      </c>
      <c r="V476">
        <v>0</v>
      </c>
      <c r="W476" t="s">
        <v>445</v>
      </c>
      <c r="Y476">
        <f>3*0.3048</f>
        <v>0.9144000000000001</v>
      </c>
      <c r="Z476">
        <f>6*0.3048</f>
        <v>1.8288000000000002</v>
      </c>
      <c r="AC476">
        <f>Q476*0.001</f>
        <v>300.9797443513396</v>
      </c>
    </row>
    <row r="477" spans="1:29" x14ac:dyDescent="0.25">
      <c r="A477" t="s">
        <v>94</v>
      </c>
      <c r="B477" t="s">
        <v>95</v>
      </c>
      <c r="C477">
        <v>6</v>
      </c>
      <c r="D477">
        <v>7</v>
      </c>
      <c r="E477">
        <f t="shared" si="318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3">
        <v>1.4999999999999999E-2</v>
      </c>
      <c r="M477">
        <v>3</v>
      </c>
      <c r="N477">
        <v>727.04520960000002</v>
      </c>
      <c r="P477" s="3">
        <f t="shared" si="336"/>
        <v>271.77251614379577</v>
      </c>
      <c r="Q477" s="3">
        <f t="shared" si="337"/>
        <v>301097.99577723094</v>
      </c>
      <c r="R477" s="3">
        <f t="shared" si="338"/>
        <v>723619.31212985073</v>
      </c>
      <c r="S477" s="3">
        <f t="shared" si="339"/>
        <v>1917591.1771441044</v>
      </c>
      <c r="T477">
        <f t="shared" si="340"/>
        <v>271.78000000000003</v>
      </c>
      <c r="U477">
        <v>0.25</v>
      </c>
      <c r="V477">
        <v>0</v>
      </c>
      <c r="W477" t="s">
        <v>441</v>
      </c>
      <c r="AC477">
        <f t="shared" si="341"/>
        <v>301.09799577723095</v>
      </c>
    </row>
    <row r="478" spans="1:29" x14ac:dyDescent="0.25">
      <c r="A478" t="s">
        <v>94</v>
      </c>
      <c r="B478" t="s">
        <v>95</v>
      </c>
      <c r="C478">
        <v>7</v>
      </c>
      <c r="D478">
        <v>7</v>
      </c>
      <c r="E478">
        <f t="shared" si="318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3">
        <v>1.4999999999999999E-2</v>
      </c>
      <c r="M478">
        <v>3</v>
      </c>
      <c r="N478">
        <v>727.04522929999996</v>
      </c>
      <c r="P478" s="3">
        <f t="shared" si="336"/>
        <v>271.7786995007952</v>
      </c>
      <c r="Q478" s="3">
        <f t="shared" si="337"/>
        <v>301118.54795210814</v>
      </c>
      <c r="R478" s="3">
        <f t="shared" si="338"/>
        <v>723668.70452321111</v>
      </c>
      <c r="S478" s="3">
        <f t="shared" si="339"/>
        <v>1917722.0669865094</v>
      </c>
      <c r="T478">
        <f t="shared" si="340"/>
        <v>271.78000000000003</v>
      </c>
      <c r="U478">
        <v>0.25</v>
      </c>
      <c r="V478">
        <v>0</v>
      </c>
      <c r="W478" t="s">
        <v>279</v>
      </c>
      <c r="X478" s="5" t="s">
        <v>520</v>
      </c>
      <c r="Y478" s="5" t="s">
        <v>522</v>
      </c>
      <c r="Z478" s="5" t="s">
        <v>528</v>
      </c>
    </row>
    <row r="479" spans="1:29" x14ac:dyDescent="0.25">
      <c r="A479" t="s">
        <v>94</v>
      </c>
      <c r="B479" t="s">
        <v>95</v>
      </c>
      <c r="C479">
        <v>8</v>
      </c>
      <c r="D479">
        <v>7</v>
      </c>
      <c r="E479">
        <f t="shared" si="318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3">
        <v>1.4999999999999999E-2</v>
      </c>
      <c r="M479">
        <v>3</v>
      </c>
      <c r="N479">
        <v>727.04524900000001</v>
      </c>
      <c r="P479" s="3">
        <f t="shared" si="336"/>
        <v>271.77977400712473</v>
      </c>
      <c r="Q479" s="3">
        <f t="shared" si="337"/>
        <v>301122.11947995983</v>
      </c>
      <c r="R479" s="3">
        <f t="shared" si="338"/>
        <v>723677.28786339785</v>
      </c>
      <c r="S479" s="3">
        <f t="shared" si="339"/>
        <v>1917744.8128380042</v>
      </c>
      <c r="T479">
        <f t="shared" si="340"/>
        <v>271.78000000000003</v>
      </c>
      <c r="U479">
        <v>0.25</v>
      </c>
      <c r="V479">
        <v>0</v>
      </c>
      <c r="W479" t="s">
        <v>448</v>
      </c>
      <c r="X479">
        <v>11</v>
      </c>
      <c r="Y479">
        <v>12</v>
      </c>
      <c r="Z479">
        <v>12</v>
      </c>
    </row>
    <row r="480" spans="1:29" x14ac:dyDescent="0.25">
      <c r="A480" t="s">
        <v>94</v>
      </c>
      <c r="B480" t="s">
        <v>95</v>
      </c>
      <c r="C480">
        <v>9</v>
      </c>
      <c r="D480">
        <v>7</v>
      </c>
      <c r="E480">
        <f t="shared" si="318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3">
        <v>1.4999999999999999E-2</v>
      </c>
      <c r="M480">
        <v>3</v>
      </c>
      <c r="N480">
        <v>727.04526869999995</v>
      </c>
      <c r="P480" s="3">
        <f t="shared" si="336"/>
        <v>271.7799607283269</v>
      </c>
      <c r="Q480" s="3">
        <f t="shared" si="337"/>
        <v>301122.74012131902</v>
      </c>
      <c r="R480" s="3">
        <f t="shared" si="338"/>
        <v>723678.77943119197</v>
      </c>
      <c r="S480" s="3">
        <f t="shared" si="339"/>
        <v>1917748.7654926586</v>
      </c>
      <c r="T480">
        <f t="shared" si="340"/>
        <v>271.78000000000003</v>
      </c>
      <c r="U480">
        <v>0.25</v>
      </c>
      <c r="V480">
        <v>0</v>
      </c>
      <c r="W480" t="s">
        <v>449</v>
      </c>
      <c r="Y480">
        <v>7</v>
      </c>
      <c r="Z480">
        <v>10</v>
      </c>
    </row>
    <row r="481" spans="1:33" x14ac:dyDescent="0.25">
      <c r="A481" t="s">
        <v>94</v>
      </c>
      <c r="B481" t="s">
        <v>95</v>
      </c>
      <c r="C481">
        <v>10</v>
      </c>
      <c r="D481">
        <v>7</v>
      </c>
      <c r="E481">
        <f t="shared" si="318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3">
        <v>1.4999999999999999E-2</v>
      </c>
      <c r="M481">
        <v>3</v>
      </c>
      <c r="N481">
        <v>727.04530810000006</v>
      </c>
      <c r="P481" s="3">
        <f t="shared" si="336"/>
        <v>271.77999317560653</v>
      </c>
      <c r="Q481" s="3">
        <f t="shared" si="337"/>
        <v>301122.84797270247</v>
      </c>
      <c r="R481" s="3">
        <f t="shared" si="338"/>
        <v>723679.03862701869</v>
      </c>
      <c r="S481" s="3">
        <f t="shared" si="339"/>
        <v>1917749.4523615995</v>
      </c>
      <c r="T481">
        <f t="shared" si="340"/>
        <v>271.78000000000003</v>
      </c>
      <c r="U481">
        <v>0.25</v>
      </c>
      <c r="V481">
        <v>0</v>
      </c>
      <c r="W481" t="s">
        <v>450</v>
      </c>
      <c r="Y481">
        <v>1.5</v>
      </c>
      <c r="Z481">
        <f>20/12</f>
        <v>1.6666666666666667</v>
      </c>
    </row>
    <row r="482" spans="1:33" x14ac:dyDescent="0.25">
      <c r="A482" t="s">
        <v>96</v>
      </c>
      <c r="B482" t="s">
        <v>97</v>
      </c>
      <c r="C482">
        <v>1</v>
      </c>
      <c r="D482">
        <v>2</v>
      </c>
      <c r="E482">
        <f t="shared" si="318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P482">
        <f>73.2*(1-EXP(-0.1*(E482)))</f>
        <v>13.268908874691732</v>
      </c>
      <c r="Q482">
        <f t="shared" ref="Q482" si="342">L482*(P482^M482)</f>
        <v>35.042646182029266</v>
      </c>
      <c r="R482">
        <f t="shared" ref="R482" si="343">Q482/20/5.7/3.65*1000</f>
        <v>84.216885801560352</v>
      </c>
      <c r="S482">
        <f t="shared" ref="S482" si="344">R482*2.65</f>
        <v>223.17474737413494</v>
      </c>
      <c r="T482">
        <v>73.2</v>
      </c>
      <c r="U482">
        <v>0.1</v>
      </c>
      <c r="V482">
        <v>0</v>
      </c>
      <c r="X482" t="s">
        <v>216</v>
      </c>
    </row>
    <row r="483" spans="1:33" x14ac:dyDescent="0.25">
      <c r="A483" t="s">
        <v>96</v>
      </c>
      <c r="B483" t="s">
        <v>97</v>
      </c>
      <c r="C483">
        <v>2</v>
      </c>
      <c r="D483">
        <v>2</v>
      </c>
      <c r="E483">
        <f t="shared" si="318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P483">
        <f t="shared" ref="P483:P491" si="345">73.2*(1-EXP(-0.1*(E483)))</f>
        <v>24.132572630191202</v>
      </c>
      <c r="Q483">
        <f t="shared" ref="Q483:Q492" si="346">L483*(P483^M483)</f>
        <v>210.8152990674723</v>
      </c>
      <c r="R483">
        <f t="shared" ref="R483:R492" si="347">Q483/20/5.7/3.65*1000</f>
        <v>506.64575599007998</v>
      </c>
      <c r="S483">
        <f t="shared" ref="S483:S492" si="348">R483*2.65</f>
        <v>1342.6112533737119</v>
      </c>
      <c r="T483">
        <v>73.2</v>
      </c>
      <c r="U483">
        <v>0.1</v>
      </c>
      <c r="V483">
        <v>0</v>
      </c>
    </row>
    <row r="484" spans="1:33" x14ac:dyDescent="0.25">
      <c r="A484" t="s">
        <v>96</v>
      </c>
      <c r="B484" t="s">
        <v>97</v>
      </c>
      <c r="C484">
        <v>3</v>
      </c>
      <c r="D484">
        <v>2</v>
      </c>
      <c r="E484">
        <f t="shared" si="318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P484">
        <f t="shared" si="345"/>
        <v>33.026988237917273</v>
      </c>
      <c r="Q484">
        <f t="shared" si="346"/>
        <v>540.37864051599934</v>
      </c>
      <c r="R484">
        <f t="shared" si="347"/>
        <v>1298.6749351502026</v>
      </c>
      <c r="S484">
        <f t="shared" si="348"/>
        <v>3441.4885781480366</v>
      </c>
      <c r="T484">
        <v>73.2</v>
      </c>
      <c r="U484">
        <v>0.1</v>
      </c>
      <c r="V484">
        <v>0</v>
      </c>
    </row>
    <row r="485" spans="1:33" x14ac:dyDescent="0.25">
      <c r="A485" t="s">
        <v>96</v>
      </c>
      <c r="B485" t="s">
        <v>97</v>
      </c>
      <c r="C485">
        <v>4</v>
      </c>
      <c r="D485">
        <v>2</v>
      </c>
      <c r="E485">
        <f t="shared" si="318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P485">
        <f t="shared" si="345"/>
        <v>40.30911982661938</v>
      </c>
      <c r="Q485">
        <f t="shared" si="346"/>
        <v>982.42906970705906</v>
      </c>
      <c r="R485">
        <f t="shared" si="347"/>
        <v>2361.0407827614972</v>
      </c>
      <c r="S485">
        <f t="shared" si="348"/>
        <v>6256.7580743179678</v>
      </c>
      <c r="T485">
        <v>73.2</v>
      </c>
      <c r="U485">
        <v>0.1</v>
      </c>
      <c r="V485">
        <v>0</v>
      </c>
    </row>
    <row r="486" spans="1:33" x14ac:dyDescent="0.25">
      <c r="A486" t="s">
        <v>96</v>
      </c>
      <c r="B486" t="s">
        <v>97</v>
      </c>
      <c r="C486">
        <v>5</v>
      </c>
      <c r="D486">
        <v>2</v>
      </c>
      <c r="E486">
        <f t="shared" si="318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P486">
        <f t="shared" si="345"/>
        <v>46.271224906250424</v>
      </c>
      <c r="Q486">
        <f t="shared" si="346"/>
        <v>1486.0186101607526</v>
      </c>
      <c r="R486">
        <f t="shared" si="347"/>
        <v>3571.3016346088743</v>
      </c>
      <c r="S486">
        <f t="shared" si="348"/>
        <v>9463.9493317135166</v>
      </c>
      <c r="T486">
        <v>73.2</v>
      </c>
      <c r="U486">
        <v>0.1</v>
      </c>
      <c r="V486">
        <v>0</v>
      </c>
    </row>
    <row r="487" spans="1:33" x14ac:dyDescent="0.25">
      <c r="A487" t="s">
        <v>96</v>
      </c>
      <c r="B487" t="s">
        <v>97</v>
      </c>
      <c r="C487">
        <v>6</v>
      </c>
      <c r="D487">
        <v>2</v>
      </c>
      <c r="E487">
        <f t="shared" si="318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P487">
        <f t="shared" si="345"/>
        <v>51.152583688026816</v>
      </c>
      <c r="Q487">
        <f t="shared" si="346"/>
        <v>2007.677642740751</v>
      </c>
      <c r="R487">
        <f t="shared" si="347"/>
        <v>4824.9883267021169</v>
      </c>
      <c r="S487">
        <f t="shared" si="348"/>
        <v>12786.21906576061</v>
      </c>
      <c r="T487">
        <v>73.2</v>
      </c>
      <c r="U487">
        <v>0.1</v>
      </c>
      <c r="V487">
        <v>0</v>
      </c>
    </row>
    <row r="488" spans="1:33" x14ac:dyDescent="0.25">
      <c r="A488" t="s">
        <v>96</v>
      </c>
      <c r="B488" t="s">
        <v>97</v>
      </c>
      <c r="C488">
        <v>7</v>
      </c>
      <c r="D488">
        <v>2</v>
      </c>
      <c r="E488">
        <f t="shared" si="318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P488">
        <f t="shared" si="345"/>
        <v>55.149102239474409</v>
      </c>
      <c r="Q488">
        <f t="shared" si="346"/>
        <v>2515.976614977496</v>
      </c>
      <c r="R488">
        <f t="shared" si="347"/>
        <v>6046.5672073479836</v>
      </c>
      <c r="S488">
        <f t="shared" si="348"/>
        <v>16023.403099472156</v>
      </c>
      <c r="T488">
        <v>73.2</v>
      </c>
      <c r="U488">
        <v>0.1</v>
      </c>
      <c r="V488">
        <v>0</v>
      </c>
    </row>
    <row r="489" spans="1:33" x14ac:dyDescent="0.25">
      <c r="A489" t="s">
        <v>96</v>
      </c>
      <c r="B489" t="s">
        <v>97</v>
      </c>
      <c r="C489">
        <v>8</v>
      </c>
      <c r="D489">
        <v>2</v>
      </c>
      <c r="E489">
        <f t="shared" si="318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P489">
        <f t="shared" si="345"/>
        <v>58.421174882791227</v>
      </c>
      <c r="Q489">
        <f t="shared" si="346"/>
        <v>2990.9015578450121</v>
      </c>
      <c r="R489">
        <f t="shared" si="347"/>
        <v>7187.9393363254312</v>
      </c>
      <c r="S489">
        <f t="shared" si="348"/>
        <v>19048.039241262391</v>
      </c>
      <c r="T489">
        <v>73.2</v>
      </c>
      <c r="U489">
        <v>0.1</v>
      </c>
      <c r="V489">
        <v>0</v>
      </c>
    </row>
    <row r="490" spans="1:33" x14ac:dyDescent="0.25">
      <c r="A490" t="s">
        <v>96</v>
      </c>
      <c r="B490" t="s">
        <v>97</v>
      </c>
      <c r="C490">
        <v>9</v>
      </c>
      <c r="D490">
        <v>2</v>
      </c>
      <c r="E490">
        <f t="shared" si="318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P490">
        <f t="shared" si="345"/>
        <v>61.100121382179864</v>
      </c>
      <c r="Q490">
        <f t="shared" si="346"/>
        <v>3421.5073565730559</v>
      </c>
      <c r="R490">
        <f t="shared" si="347"/>
        <v>8222.8006646792983</v>
      </c>
      <c r="S490">
        <f t="shared" si="348"/>
        <v>21790.421761400139</v>
      </c>
      <c r="T490">
        <v>73.2</v>
      </c>
      <c r="U490">
        <v>0.1</v>
      </c>
      <c r="V490">
        <v>0</v>
      </c>
    </row>
    <row r="491" spans="1:33" x14ac:dyDescent="0.25">
      <c r="A491" t="s">
        <v>96</v>
      </c>
      <c r="B491" t="s">
        <v>97</v>
      </c>
      <c r="C491">
        <v>10</v>
      </c>
      <c r="D491">
        <v>2</v>
      </c>
      <c r="E491">
        <f t="shared" si="318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P491">
        <f t="shared" si="345"/>
        <v>63.293457267079951</v>
      </c>
      <c r="Q491">
        <f t="shared" si="346"/>
        <v>3803.362456432596</v>
      </c>
      <c r="R491">
        <f t="shared" si="347"/>
        <v>9140.5009767666306</v>
      </c>
      <c r="S491">
        <f t="shared" si="348"/>
        <v>24222.32758843157</v>
      </c>
      <c r="T491">
        <v>73.2</v>
      </c>
      <c r="U491">
        <v>0.1</v>
      </c>
      <c r="V491">
        <v>0</v>
      </c>
    </row>
    <row r="492" spans="1:33" x14ac:dyDescent="0.25">
      <c r="A492" t="s">
        <v>98</v>
      </c>
      <c r="B492" t="s">
        <v>99</v>
      </c>
      <c r="C492">
        <v>1</v>
      </c>
      <c r="D492">
        <v>3</v>
      </c>
      <c r="E492">
        <f t="shared" si="318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P492" s="3">
        <f t="shared" ref="P492" si="349">T492*(1-EXP(-U492*(E492-V492)))</f>
        <v>79.381198515365853</v>
      </c>
      <c r="Q492" s="3">
        <f t="shared" si="346"/>
        <v>8986.2401870910271</v>
      </c>
      <c r="R492" s="3">
        <f t="shared" si="347"/>
        <v>21596.347481593435</v>
      </c>
      <c r="S492" s="3">
        <f t="shared" si="348"/>
        <v>57230.320826222604</v>
      </c>
      <c r="T492">
        <f>$AG$494</f>
        <v>133.76666666666668</v>
      </c>
      <c r="U492">
        <f>$AG$495</f>
        <v>0.3</v>
      </c>
      <c r="V492">
        <v>0</v>
      </c>
      <c r="X492" t="s">
        <v>415</v>
      </c>
      <c r="Y492" t="s">
        <v>416</v>
      </c>
      <c r="Z492" t="s">
        <v>417</v>
      </c>
      <c r="AA492" t="s">
        <v>418</v>
      </c>
      <c r="AB492" t="s">
        <v>419</v>
      </c>
      <c r="AC492" t="s">
        <v>420</v>
      </c>
      <c r="AD492" t="s">
        <v>421</v>
      </c>
      <c r="AE492" t="s">
        <v>422</v>
      </c>
    </row>
    <row r="493" spans="1:33" x14ac:dyDescent="0.25">
      <c r="A493" t="s">
        <v>98</v>
      </c>
      <c r="B493" t="s">
        <v>99</v>
      </c>
      <c r="C493">
        <v>2</v>
      </c>
      <c r="D493">
        <v>3</v>
      </c>
      <c r="E493">
        <f t="shared" si="318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P493" s="3">
        <f t="shared" ref="P493:P501" si="350">T493*(1-EXP(-U493*(E493-V493)))</f>
        <v>103.91928891081172</v>
      </c>
      <c r="Q493" s="3">
        <f t="shared" ref="Q493:Q501" si="351">L493*(P493^M493)</f>
        <v>19945.01768238546</v>
      </c>
      <c r="R493" s="3">
        <f t="shared" ref="R493:R501" si="352">Q493/20/5.7/3.65*1000</f>
        <v>47933.231632745636</v>
      </c>
      <c r="S493" s="3">
        <f t="shared" ref="S493:S501" si="353">R493*2.65</f>
        <v>127023.06382677594</v>
      </c>
      <c r="T493">
        <f t="shared" ref="T493:T501" si="354">$AG$494</f>
        <v>133.76666666666668</v>
      </c>
      <c r="U493">
        <f t="shared" ref="U493:U501" si="355">$AG$495</f>
        <v>0.3</v>
      </c>
      <c r="V493">
        <v>1</v>
      </c>
      <c r="W493" t="s">
        <v>257</v>
      </c>
      <c r="X493">
        <v>108</v>
      </c>
      <c r="Z493">
        <v>110</v>
      </c>
      <c r="AA493">
        <v>122</v>
      </c>
      <c r="AB493">
        <v>250</v>
      </c>
      <c r="AC493">
        <v>140</v>
      </c>
      <c r="AD493">
        <v>239</v>
      </c>
      <c r="AG493">
        <f>AVERAGE(X493:AD493)</f>
        <v>161.5</v>
      </c>
    </row>
    <row r="494" spans="1:33" x14ac:dyDescent="0.25">
      <c r="A494" t="s">
        <v>98</v>
      </c>
      <c r="B494" t="s">
        <v>99</v>
      </c>
      <c r="C494">
        <v>3</v>
      </c>
      <c r="D494">
        <v>3</v>
      </c>
      <c r="E494">
        <f t="shared" si="318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P494" s="3">
        <f t="shared" si="350"/>
        <v>117.38607844735947</v>
      </c>
      <c r="Q494" s="3">
        <f t="shared" si="351"/>
        <v>28607.433188849067</v>
      </c>
      <c r="R494" s="3">
        <f t="shared" si="352"/>
        <v>68751.341477647366</v>
      </c>
      <c r="S494" s="3">
        <f t="shared" si="353"/>
        <v>182191.0549157655</v>
      </c>
      <c r="T494">
        <f t="shared" si="354"/>
        <v>133.76666666666668</v>
      </c>
      <c r="U494">
        <f t="shared" si="355"/>
        <v>0.3</v>
      </c>
      <c r="V494">
        <v>2</v>
      </c>
      <c r="W494" t="s">
        <v>243</v>
      </c>
      <c r="X494">
        <v>88.6</v>
      </c>
      <c r="Z494">
        <v>82</v>
      </c>
      <c r="AA494">
        <v>112</v>
      </c>
      <c r="AB494">
        <v>203</v>
      </c>
      <c r="AC494">
        <v>134</v>
      </c>
      <c r="AD494">
        <v>183</v>
      </c>
      <c r="AG494">
        <f t="shared" ref="AG494:AG495" si="356">AVERAGE(X494:AD494)</f>
        <v>133.76666666666668</v>
      </c>
    </row>
    <row r="495" spans="1:33" x14ac:dyDescent="0.25">
      <c r="A495" t="s">
        <v>98</v>
      </c>
      <c r="B495" t="s">
        <v>99</v>
      </c>
      <c r="C495">
        <v>4</v>
      </c>
      <c r="D495">
        <v>3</v>
      </c>
      <c r="E495">
        <f t="shared" si="318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P495" s="3">
        <f t="shared" si="350"/>
        <v>124.77680924584615</v>
      </c>
      <c r="Q495" s="3">
        <f t="shared" si="351"/>
        <v>34274.414586449137</v>
      </c>
      <c r="R495" s="3">
        <f t="shared" si="352"/>
        <v>82370.619049385103</v>
      </c>
      <c r="S495" s="3">
        <f t="shared" si="353"/>
        <v>218282.14048087053</v>
      </c>
      <c r="T495">
        <f t="shared" si="354"/>
        <v>133.76666666666668</v>
      </c>
      <c r="U495">
        <f t="shared" si="355"/>
        <v>0.3</v>
      </c>
      <c r="V495">
        <v>3</v>
      </c>
      <c r="W495" t="s">
        <v>244</v>
      </c>
      <c r="X495">
        <v>0.3</v>
      </c>
      <c r="Z495">
        <v>0.5</v>
      </c>
      <c r="AA495">
        <v>0.1</v>
      </c>
      <c r="AB495">
        <v>0.2</v>
      </c>
      <c r="AC495">
        <v>0.2</v>
      </c>
      <c r="AD495">
        <v>0.5</v>
      </c>
      <c r="AG495">
        <f t="shared" si="356"/>
        <v>0.3</v>
      </c>
    </row>
    <row r="496" spans="1:33" x14ac:dyDescent="0.25">
      <c r="A496" t="s">
        <v>98</v>
      </c>
      <c r="B496" t="s">
        <v>99</v>
      </c>
      <c r="C496">
        <v>5</v>
      </c>
      <c r="D496">
        <v>3</v>
      </c>
      <c r="E496">
        <f t="shared" si="318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P496" s="3">
        <f t="shared" si="350"/>
        <v>128.83292830729414</v>
      </c>
      <c r="Q496" s="3">
        <f t="shared" si="351"/>
        <v>37678.476387287912</v>
      </c>
      <c r="R496" s="3">
        <f t="shared" si="352"/>
        <v>90551.493360461202</v>
      </c>
      <c r="S496" s="3">
        <f t="shared" si="353"/>
        <v>239961.45740522217</v>
      </c>
      <c r="T496">
        <f t="shared" si="354"/>
        <v>133.76666666666668</v>
      </c>
      <c r="U496">
        <f t="shared" si="355"/>
        <v>0.3</v>
      </c>
      <c r="V496">
        <v>4</v>
      </c>
      <c r="W496" t="s">
        <v>285</v>
      </c>
    </row>
    <row r="497" spans="1:30" x14ac:dyDescent="0.25">
      <c r="A497" t="s">
        <v>98</v>
      </c>
      <c r="B497" t="s">
        <v>99</v>
      </c>
      <c r="C497">
        <v>6</v>
      </c>
      <c r="D497">
        <v>3</v>
      </c>
      <c r="E497">
        <f t="shared" si="318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P497" s="3">
        <f t="shared" si="350"/>
        <v>131.05897364559959</v>
      </c>
      <c r="Q497" s="3">
        <f t="shared" si="351"/>
        <v>39638.333795720522</v>
      </c>
      <c r="R497" s="3">
        <f t="shared" si="352"/>
        <v>95261.556827013992</v>
      </c>
      <c r="S497" s="3">
        <f t="shared" si="353"/>
        <v>252443.12559158707</v>
      </c>
      <c r="T497">
        <f t="shared" si="354"/>
        <v>133.76666666666668</v>
      </c>
      <c r="U497">
        <f t="shared" si="355"/>
        <v>0.3</v>
      </c>
      <c r="V497">
        <v>5</v>
      </c>
      <c r="W497" t="s">
        <v>246</v>
      </c>
      <c r="X497" t="s">
        <v>258</v>
      </c>
      <c r="Z497" t="s">
        <v>258</v>
      </c>
      <c r="AA497" t="s">
        <v>258</v>
      </c>
      <c r="AB497" t="s">
        <v>258</v>
      </c>
      <c r="AC497" t="s">
        <v>258</v>
      </c>
      <c r="AD497" t="s">
        <v>258</v>
      </c>
    </row>
    <row r="498" spans="1:30" x14ac:dyDescent="0.25">
      <c r="A498" t="s">
        <v>98</v>
      </c>
      <c r="B498" t="s">
        <v>99</v>
      </c>
      <c r="C498">
        <v>7</v>
      </c>
      <c r="D498">
        <v>3</v>
      </c>
      <c r="E498">
        <f t="shared" si="318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P498" s="3">
        <f t="shared" si="350"/>
        <v>132.28065322973447</v>
      </c>
      <c r="Q498" s="3">
        <f t="shared" si="351"/>
        <v>40742.053315997917</v>
      </c>
      <c r="R498" s="3">
        <f t="shared" si="352"/>
        <v>97914.091122321362</v>
      </c>
      <c r="S498" s="3">
        <f t="shared" si="353"/>
        <v>259472.34147415159</v>
      </c>
      <c r="T498">
        <f t="shared" si="354"/>
        <v>133.76666666666668</v>
      </c>
      <c r="U498">
        <f t="shared" si="355"/>
        <v>0.3</v>
      </c>
      <c r="V498">
        <v>6</v>
      </c>
      <c r="W498" t="s">
        <v>279</v>
      </c>
      <c r="X498" s="5" t="s">
        <v>464</v>
      </c>
      <c r="Z498" s="5" t="s">
        <v>465</v>
      </c>
      <c r="AA498" s="5" t="s">
        <v>466</v>
      </c>
      <c r="AC498" s="5" t="s">
        <v>467</v>
      </c>
      <c r="AD498" s="5" t="s">
        <v>468</v>
      </c>
    </row>
    <row r="499" spans="1:30" x14ac:dyDescent="0.25">
      <c r="A499" t="s">
        <v>98</v>
      </c>
      <c r="B499" t="s">
        <v>99</v>
      </c>
      <c r="C499">
        <v>8</v>
      </c>
      <c r="D499">
        <v>3</v>
      </c>
      <c r="E499">
        <f t="shared" si="318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P499" s="3">
        <f t="shared" si="350"/>
        <v>132.9511252010862</v>
      </c>
      <c r="Q499" s="3">
        <f t="shared" si="351"/>
        <v>41356.34450021261</v>
      </c>
      <c r="R499" s="3">
        <f t="shared" si="352"/>
        <v>99390.397741438603</v>
      </c>
      <c r="S499" s="3">
        <f t="shared" si="353"/>
        <v>263384.55401481228</v>
      </c>
      <c r="T499">
        <f t="shared" si="354"/>
        <v>133.76666666666668</v>
      </c>
      <c r="U499">
        <f t="shared" si="355"/>
        <v>0.3</v>
      </c>
      <c r="V499">
        <v>7</v>
      </c>
    </row>
    <row r="500" spans="1:30" x14ac:dyDescent="0.25">
      <c r="A500" t="s">
        <v>98</v>
      </c>
      <c r="B500" t="s">
        <v>99</v>
      </c>
      <c r="C500">
        <v>9</v>
      </c>
      <c r="D500">
        <v>3</v>
      </c>
      <c r="E500">
        <f t="shared" si="318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P500" s="3">
        <f t="shared" si="350"/>
        <v>133.31908802063896</v>
      </c>
      <c r="Q500" s="3">
        <f t="shared" si="351"/>
        <v>41696.066099314681</v>
      </c>
      <c r="R500" s="3">
        <f t="shared" si="352"/>
        <v>100206.83994067456</v>
      </c>
      <c r="S500" s="3">
        <f t="shared" si="353"/>
        <v>265548.12584278756</v>
      </c>
      <c r="T500">
        <f t="shared" si="354"/>
        <v>133.76666666666668</v>
      </c>
      <c r="U500">
        <f t="shared" si="355"/>
        <v>0.3</v>
      </c>
      <c r="V500">
        <v>8</v>
      </c>
    </row>
    <row r="501" spans="1:30" x14ac:dyDescent="0.25">
      <c r="A501" t="s">
        <v>98</v>
      </c>
      <c r="B501" t="s">
        <v>99</v>
      </c>
      <c r="C501">
        <v>10</v>
      </c>
      <c r="D501">
        <v>3</v>
      </c>
      <c r="E501">
        <f t="shared" si="318"/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P501" s="3">
        <f t="shared" si="350"/>
        <v>133.52103029765945</v>
      </c>
      <c r="Q501" s="3">
        <f t="shared" si="351"/>
        <v>41883.292127343688</v>
      </c>
      <c r="R501" s="3">
        <f t="shared" si="352"/>
        <v>100656.79434593531</v>
      </c>
      <c r="S501" s="3">
        <f t="shared" si="353"/>
        <v>266740.5050167286</v>
      </c>
      <c r="T501">
        <f t="shared" si="354"/>
        <v>133.76666666666668</v>
      </c>
      <c r="U501">
        <f t="shared" si="355"/>
        <v>0.3</v>
      </c>
      <c r="V501">
        <v>9</v>
      </c>
      <c r="X501" t="s">
        <v>524</v>
      </c>
      <c r="Y501" t="s">
        <v>525</v>
      </c>
      <c r="Z501" t="s">
        <v>526</v>
      </c>
      <c r="AA501" t="s">
        <v>527</v>
      </c>
    </row>
    <row r="502" spans="1:30" x14ac:dyDescent="0.25">
      <c r="A502" t="s">
        <v>100</v>
      </c>
      <c r="B502" t="s">
        <v>101</v>
      </c>
      <c r="C502">
        <v>1</v>
      </c>
      <c r="D502">
        <v>7</v>
      </c>
      <c r="E502">
        <f t="shared" si="318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3">
        <v>1E-3</v>
      </c>
      <c r="M502">
        <v>3</v>
      </c>
      <c r="N502">
        <v>707.50350370000001</v>
      </c>
      <c r="P502" s="3">
        <f t="shared" ref="P502" si="357">T502*(1-EXP(-U502*(E502-V502)))</f>
        <v>2161.2090696800637</v>
      </c>
      <c r="Q502" s="3">
        <f t="shared" ref="Q502" si="358">L502*(P502^M502)</f>
        <v>10094628.581050098</v>
      </c>
      <c r="R502" s="3">
        <f t="shared" ref="R502" si="359">Q502/20/5.7/3.65*1000</f>
        <v>24260102.333694059</v>
      </c>
      <c r="S502" s="3">
        <f t="shared" ref="S502" si="360">R502*2.65</f>
        <v>64289271.184289254</v>
      </c>
      <c r="T502">
        <f>$AB$503*100</f>
        <v>2615.7600000000002</v>
      </c>
      <c r="U502">
        <v>0.25</v>
      </c>
      <c r="V502">
        <v>0</v>
      </c>
      <c r="W502" t="s">
        <v>442</v>
      </c>
      <c r="X502">
        <f>30*2000*0.453592</f>
        <v>27215.52</v>
      </c>
      <c r="Z502">
        <f>6600*0.453592</f>
        <v>2993.7071999999998</v>
      </c>
      <c r="AB502">
        <f>AVERAGE(X502:Z502)</f>
        <v>15104.613600000001</v>
      </c>
      <c r="AC502">
        <f>AB502*0.001</f>
        <v>15.1046136</v>
      </c>
      <c r="AD502">
        <f>Q502*0.000001</f>
        <v>10.094628581050097</v>
      </c>
    </row>
    <row r="503" spans="1:30" x14ac:dyDescent="0.25">
      <c r="A503" t="s">
        <v>100</v>
      </c>
      <c r="B503" t="s">
        <v>101</v>
      </c>
      <c r="C503">
        <v>2</v>
      </c>
      <c r="D503">
        <v>7</v>
      </c>
      <c r="E503">
        <f t="shared" si="318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3">
        <v>1E-3</v>
      </c>
      <c r="M503">
        <v>3</v>
      </c>
      <c r="N503">
        <v>726.6872836</v>
      </c>
      <c r="P503" s="3">
        <f t="shared" ref="P503:P511" si="361">T503*(1-EXP(-U503*(E503-V503)))</f>
        <v>2536.7708923392365</v>
      </c>
      <c r="Q503" s="3">
        <f t="shared" ref="Q503:Q511" si="362">L503*(P503^M503)</f>
        <v>16324644.688155601</v>
      </c>
      <c r="R503" s="3">
        <f t="shared" ref="R503:R511" si="363">Q503/20/5.7/3.65*1000</f>
        <v>39232503.456273966</v>
      </c>
      <c r="S503" s="3">
        <f t="shared" ref="S503:S511" si="364">R503*2.65</f>
        <v>103966134.159126</v>
      </c>
      <c r="T503">
        <f t="shared" ref="T503:T511" si="365">$AB$503*100</f>
        <v>2615.7600000000002</v>
      </c>
      <c r="U503">
        <v>0.25</v>
      </c>
      <c r="V503">
        <v>0</v>
      </c>
      <c r="W503" t="s">
        <v>443</v>
      </c>
      <c r="X503">
        <v>45</v>
      </c>
      <c r="Z503">
        <f>24*0.3048</f>
        <v>7.3152000000000008</v>
      </c>
      <c r="AB503">
        <f>AVERAGE(X503:Z503)</f>
        <v>26.157600000000002</v>
      </c>
      <c r="AD503">
        <f t="shared" ref="AD503:AD508" si="366">Q503*0.000001</f>
        <v>16.324644688155601</v>
      </c>
    </row>
    <row r="504" spans="1:30" x14ac:dyDescent="0.25">
      <c r="A504" t="s">
        <v>100</v>
      </c>
      <c r="B504" t="s">
        <v>101</v>
      </c>
      <c r="C504">
        <v>3</v>
      </c>
      <c r="D504">
        <v>7</v>
      </c>
      <c r="E504">
        <f t="shared" si="318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3">
        <v>1E-3</v>
      </c>
      <c r="M504">
        <v>3</v>
      </c>
      <c r="N504">
        <v>727.03865089999999</v>
      </c>
      <c r="P504" s="3">
        <f t="shared" si="361"/>
        <v>2602.0337512721576</v>
      </c>
      <c r="Q504" s="3">
        <f t="shared" si="362"/>
        <v>17617276.746136293</v>
      </c>
      <c r="R504" s="3">
        <f t="shared" si="363"/>
        <v>42339045.292324662</v>
      </c>
      <c r="S504" s="3">
        <f t="shared" si="364"/>
        <v>112198470.02466035</v>
      </c>
      <c r="T504">
        <f t="shared" si="365"/>
        <v>2615.7600000000002</v>
      </c>
      <c r="U504">
        <v>0.25</v>
      </c>
      <c r="V504">
        <v>0</v>
      </c>
      <c r="W504" t="s">
        <v>447</v>
      </c>
      <c r="X504">
        <v>60</v>
      </c>
      <c r="Z504">
        <f>2200*0.453592</f>
        <v>997.90239999999994</v>
      </c>
      <c r="AD504">
        <f t="shared" si="366"/>
        <v>17.617276746136291</v>
      </c>
    </row>
    <row r="505" spans="1:30" x14ac:dyDescent="0.25">
      <c r="A505" t="s">
        <v>100</v>
      </c>
      <c r="B505" t="s">
        <v>101</v>
      </c>
      <c r="C505">
        <v>4</v>
      </c>
      <c r="D505">
        <v>7</v>
      </c>
      <c r="E505">
        <f t="shared" si="318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3">
        <v>1E-3</v>
      </c>
      <c r="M505">
        <v>3</v>
      </c>
      <c r="N505">
        <v>727.04507169999999</v>
      </c>
      <c r="P505" s="3">
        <f t="shared" si="361"/>
        <v>2613.3747356297813</v>
      </c>
      <c r="Q505" s="3">
        <f t="shared" si="362"/>
        <v>17848637.322806895</v>
      </c>
      <c r="R505" s="3">
        <f t="shared" si="363"/>
        <v>42895066.865673862</v>
      </c>
      <c r="S505" s="3">
        <f t="shared" si="364"/>
        <v>113671927.19403574</v>
      </c>
      <c r="T505">
        <f t="shared" si="365"/>
        <v>2615.7600000000002</v>
      </c>
      <c r="U505">
        <v>0.25</v>
      </c>
      <c r="V505">
        <v>0</v>
      </c>
      <c r="W505" t="s">
        <v>444</v>
      </c>
      <c r="AD505">
        <f t="shared" si="366"/>
        <v>17.848637322806894</v>
      </c>
    </row>
    <row r="506" spans="1:30" x14ac:dyDescent="0.25">
      <c r="A506" t="s">
        <v>100</v>
      </c>
      <c r="B506" t="s">
        <v>101</v>
      </c>
      <c r="C506">
        <v>5</v>
      </c>
      <c r="D506">
        <v>7</v>
      </c>
      <c r="E506">
        <f t="shared" si="318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3">
        <v>1E-3</v>
      </c>
      <c r="M506">
        <v>3</v>
      </c>
      <c r="N506">
        <v>727.04518989999997</v>
      </c>
      <c r="P506" s="3">
        <f t="shared" si="361"/>
        <v>2615.3455032042152</v>
      </c>
      <c r="Q506" s="3">
        <f t="shared" si="362"/>
        <v>17889047.197464157</v>
      </c>
      <c r="R506" s="3">
        <f t="shared" si="363"/>
        <v>42992182.64230752</v>
      </c>
      <c r="S506" s="3">
        <f t="shared" si="364"/>
        <v>113929284.00211492</v>
      </c>
      <c r="T506">
        <f t="shared" si="365"/>
        <v>2615.7600000000002</v>
      </c>
      <c r="U506">
        <v>0.25</v>
      </c>
      <c r="V506">
        <v>0</v>
      </c>
      <c r="W506" t="s">
        <v>445</v>
      </c>
      <c r="X506">
        <f>13*0.3048</f>
        <v>3.9624000000000001</v>
      </c>
      <c r="Z506">
        <f>12*0.3048</f>
        <v>3.6576000000000004</v>
      </c>
      <c r="AD506">
        <f t="shared" si="366"/>
        <v>17.889047197464155</v>
      </c>
    </row>
    <row r="507" spans="1:30" x14ac:dyDescent="0.25">
      <c r="A507" t="s">
        <v>100</v>
      </c>
      <c r="B507" t="s">
        <v>101</v>
      </c>
      <c r="C507">
        <v>6</v>
      </c>
      <c r="D507">
        <v>7</v>
      </c>
      <c r="E507">
        <f t="shared" si="318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3">
        <v>1E-3</v>
      </c>
      <c r="M507">
        <v>3</v>
      </c>
      <c r="N507">
        <v>727.04520960000002</v>
      </c>
      <c r="P507" s="3">
        <f t="shared" si="361"/>
        <v>2615.687971257249</v>
      </c>
      <c r="Q507" s="3">
        <f t="shared" si="362"/>
        <v>17896075.59515084</v>
      </c>
      <c r="R507" s="3">
        <f t="shared" si="363"/>
        <v>43009073.768687427</v>
      </c>
      <c r="S507" s="3">
        <f t="shared" si="364"/>
        <v>113974045.48702168</v>
      </c>
      <c r="T507">
        <f t="shared" si="365"/>
        <v>2615.7600000000002</v>
      </c>
      <c r="U507">
        <v>0.25</v>
      </c>
      <c r="V507">
        <v>0</v>
      </c>
      <c r="W507" t="s">
        <v>441</v>
      </c>
      <c r="AD507">
        <f t="shared" si="366"/>
        <v>17.89607559515084</v>
      </c>
    </row>
    <row r="508" spans="1:30" x14ac:dyDescent="0.25">
      <c r="A508" t="s">
        <v>100</v>
      </c>
      <c r="B508" t="s">
        <v>101</v>
      </c>
      <c r="C508">
        <v>7</v>
      </c>
      <c r="D508">
        <v>7</v>
      </c>
      <c r="E508">
        <f t="shared" si="318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3">
        <v>1E-3</v>
      </c>
      <c r="M508">
        <v>3</v>
      </c>
      <c r="N508">
        <v>727.04522929999996</v>
      </c>
      <c r="P508" s="3">
        <f t="shared" si="361"/>
        <v>2615.7474832813305</v>
      </c>
      <c r="Q508" s="3">
        <f t="shared" si="362"/>
        <v>17897297.135248773</v>
      </c>
      <c r="R508" s="3">
        <f t="shared" si="363"/>
        <v>43012009.457459204</v>
      </c>
      <c r="S508" s="3">
        <f t="shared" si="364"/>
        <v>113981825.06226689</v>
      </c>
      <c r="T508">
        <f t="shared" si="365"/>
        <v>2615.7600000000002</v>
      </c>
      <c r="U508">
        <v>0.25</v>
      </c>
      <c r="V508">
        <v>0</v>
      </c>
      <c r="W508" t="s">
        <v>279</v>
      </c>
      <c r="X508" s="5" t="s">
        <v>529</v>
      </c>
      <c r="AD508">
        <f t="shared" si="366"/>
        <v>17.89729713524877</v>
      </c>
    </row>
    <row r="509" spans="1:30" x14ac:dyDescent="0.25">
      <c r="A509" t="s">
        <v>100</v>
      </c>
      <c r="B509" t="s">
        <v>101</v>
      </c>
      <c r="C509">
        <v>8</v>
      </c>
      <c r="D509">
        <v>7</v>
      </c>
      <c r="E509">
        <f t="shared" si="318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3">
        <v>1E-3</v>
      </c>
      <c r="M509">
        <v>3</v>
      </c>
      <c r="N509">
        <v>727.04524900000001</v>
      </c>
      <c r="P509" s="3">
        <f t="shared" si="361"/>
        <v>2615.757824920438</v>
      </c>
      <c r="Q509" s="3">
        <f t="shared" si="362"/>
        <v>17897509.412757501</v>
      </c>
      <c r="R509" s="3">
        <f t="shared" si="363"/>
        <v>43012519.61729753</v>
      </c>
      <c r="S509" s="3">
        <f t="shared" si="364"/>
        <v>113983176.98583846</v>
      </c>
      <c r="T509">
        <f t="shared" si="365"/>
        <v>2615.7600000000002</v>
      </c>
      <c r="U509">
        <v>0.25</v>
      </c>
      <c r="V509">
        <v>0</v>
      </c>
      <c r="W509" t="s">
        <v>448</v>
      </c>
      <c r="X509">
        <v>15</v>
      </c>
      <c r="Z509">
        <v>15</v>
      </c>
    </row>
    <row r="510" spans="1:30" x14ac:dyDescent="0.25">
      <c r="A510" t="s">
        <v>100</v>
      </c>
      <c r="B510" t="s">
        <v>101</v>
      </c>
      <c r="C510">
        <v>9</v>
      </c>
      <c r="D510">
        <v>7</v>
      </c>
      <c r="E510">
        <f t="shared" si="318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3">
        <v>1E-3</v>
      </c>
      <c r="M510">
        <v>3</v>
      </c>
      <c r="N510">
        <v>727.04526869999995</v>
      </c>
      <c r="P510" s="3">
        <f t="shared" si="361"/>
        <v>2615.7596220278474</v>
      </c>
      <c r="Q510" s="3">
        <f t="shared" si="362"/>
        <v>17897546.301228482</v>
      </c>
      <c r="R510" s="3">
        <f t="shared" si="363"/>
        <v>43012608.270195827</v>
      </c>
      <c r="S510" s="3">
        <f t="shared" si="364"/>
        <v>113983411.91601893</v>
      </c>
      <c r="T510">
        <f t="shared" si="365"/>
        <v>2615.7600000000002</v>
      </c>
      <c r="U510">
        <v>0.25</v>
      </c>
      <c r="V510">
        <v>0</v>
      </c>
      <c r="W510" t="s">
        <v>449</v>
      </c>
      <c r="X510">
        <v>9</v>
      </c>
      <c r="Z510">
        <v>10</v>
      </c>
    </row>
    <row r="511" spans="1:30" x14ac:dyDescent="0.25">
      <c r="A511" t="s">
        <v>100</v>
      </c>
      <c r="B511" t="s">
        <v>101</v>
      </c>
      <c r="C511">
        <v>10</v>
      </c>
      <c r="D511">
        <v>7</v>
      </c>
      <c r="E511">
        <f t="shared" si="318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3">
        <v>1E-3</v>
      </c>
      <c r="M511">
        <v>3</v>
      </c>
      <c r="N511">
        <v>727.04530810000006</v>
      </c>
      <c r="P511" s="3">
        <f t="shared" si="361"/>
        <v>2615.7599343182887</v>
      </c>
      <c r="Q511" s="3">
        <f t="shared" si="362"/>
        <v>17897552.71148872</v>
      </c>
      <c r="R511" s="3">
        <f t="shared" si="363"/>
        <v>43012623.675771981</v>
      </c>
      <c r="S511" s="3">
        <f t="shared" si="364"/>
        <v>113983452.74079575</v>
      </c>
      <c r="T511">
        <f t="shared" si="365"/>
        <v>2615.7600000000002</v>
      </c>
      <c r="U511">
        <v>0.25</v>
      </c>
      <c r="V511">
        <v>0</v>
      </c>
      <c r="W511" t="s">
        <v>450</v>
      </c>
      <c r="X511">
        <v>1</v>
      </c>
      <c r="Z511">
        <v>2</v>
      </c>
    </row>
    <row r="512" spans="1:30" x14ac:dyDescent="0.25">
      <c r="A512" t="s">
        <v>102</v>
      </c>
      <c r="B512" t="s">
        <v>103</v>
      </c>
      <c r="C512">
        <v>1</v>
      </c>
      <c r="D512">
        <v>2</v>
      </c>
      <c r="E512">
        <f t="shared" si="318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P512">
        <f>111*(1-EXP(-0.13*(E512-0.22)))</f>
        <v>22.930154254913251</v>
      </c>
      <c r="Q512">
        <f t="shared" ref="Q512" si="367">L512*(P512^M512)</f>
        <v>156.66977937661682</v>
      </c>
      <c r="R512">
        <f t="shared" ref="R512" si="368">Q512/20/5.7/3.65*1000</f>
        <v>376.51953707430141</v>
      </c>
      <c r="S512">
        <f t="shared" ref="S512" si="369">R512*2.65</f>
        <v>997.77677324689876</v>
      </c>
      <c r="T512">
        <v>111</v>
      </c>
      <c r="U512">
        <v>0.13</v>
      </c>
      <c r="V512">
        <v>0.22</v>
      </c>
      <c r="X512" t="s">
        <v>217</v>
      </c>
    </row>
    <row r="513" spans="1:24" x14ac:dyDescent="0.25">
      <c r="A513" t="s">
        <v>102</v>
      </c>
      <c r="B513" t="s">
        <v>103</v>
      </c>
      <c r="C513">
        <v>2</v>
      </c>
      <c r="D513">
        <v>2</v>
      </c>
      <c r="E513">
        <f t="shared" si="318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P513">
        <f t="shared" ref="P513:P521" si="370">111*(1-EXP(-0.13*(E513-0.22)))</f>
        <v>43.093605776775398</v>
      </c>
      <c r="Q513">
        <f t="shared" ref="Q513:Q521" si="371">L513*(P513^M513)</f>
        <v>1107.6521425180997</v>
      </c>
      <c r="R513">
        <f t="shared" ref="R513:R521" si="372">Q513/20/5.7/3.65*1000</f>
        <v>2661.9854422448925</v>
      </c>
      <c r="S513">
        <f t="shared" ref="S513:S521" si="373">R513*2.65</f>
        <v>7054.2614219489651</v>
      </c>
      <c r="T513">
        <v>111</v>
      </c>
      <c r="U513">
        <v>0.13</v>
      </c>
      <c r="V513">
        <v>0.22</v>
      </c>
    </row>
    <row r="514" spans="1:24" x14ac:dyDescent="0.25">
      <c r="A514" t="s">
        <v>102</v>
      </c>
      <c r="B514" t="s">
        <v>103</v>
      </c>
      <c r="C514">
        <v>3</v>
      </c>
      <c r="D514">
        <v>2</v>
      </c>
      <c r="E514">
        <f t="shared" si="318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P514">
        <f t="shared" si="370"/>
        <v>58.640667047980536</v>
      </c>
      <c r="Q514">
        <f t="shared" si="371"/>
        <v>2878.327459969747</v>
      </c>
      <c r="R514">
        <f t="shared" si="372"/>
        <v>6917.3935591678619</v>
      </c>
      <c r="S514">
        <f t="shared" si="373"/>
        <v>18331.092931794832</v>
      </c>
      <c r="T514">
        <v>111</v>
      </c>
      <c r="U514">
        <v>0.13</v>
      </c>
      <c r="V514">
        <v>0.22</v>
      </c>
    </row>
    <row r="515" spans="1:24" x14ac:dyDescent="0.25">
      <c r="A515" t="s">
        <v>102</v>
      </c>
      <c r="B515" t="s">
        <v>103</v>
      </c>
      <c r="C515">
        <v>4</v>
      </c>
      <c r="D515">
        <v>2</v>
      </c>
      <c r="E515">
        <f t="shared" ref="E515:E578" si="374">C515*D515</f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P515">
        <f t="shared" si="370"/>
        <v>70.62825329572847</v>
      </c>
      <c r="Q515">
        <f t="shared" si="371"/>
        <v>5123.38331347024</v>
      </c>
      <c r="R515">
        <f t="shared" si="372"/>
        <v>12312.865449339677</v>
      </c>
      <c r="S515">
        <f t="shared" si="373"/>
        <v>32629.093440750145</v>
      </c>
      <c r="T515">
        <v>111</v>
      </c>
      <c r="U515">
        <v>0.13</v>
      </c>
      <c r="V515">
        <v>0.22</v>
      </c>
    </row>
    <row r="516" spans="1:24" x14ac:dyDescent="0.25">
      <c r="A516" t="s">
        <v>102</v>
      </c>
      <c r="B516" t="s">
        <v>103</v>
      </c>
      <c r="C516">
        <v>5</v>
      </c>
      <c r="D516">
        <v>2</v>
      </c>
      <c r="E516">
        <f t="shared" si="374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P516">
        <f t="shared" si="370"/>
        <v>79.871300682011537</v>
      </c>
      <c r="Q516">
        <f t="shared" si="371"/>
        <v>7501.2726572146157</v>
      </c>
      <c r="R516">
        <f t="shared" si="372"/>
        <v>18027.571875065165</v>
      </c>
      <c r="S516">
        <f t="shared" si="373"/>
        <v>47773.065468922687</v>
      </c>
      <c r="T516">
        <v>111</v>
      </c>
      <c r="U516">
        <v>0.13</v>
      </c>
      <c r="V516">
        <v>0.22</v>
      </c>
    </row>
    <row r="517" spans="1:24" x14ac:dyDescent="0.25">
      <c r="A517" t="s">
        <v>102</v>
      </c>
      <c r="B517" t="s">
        <v>103</v>
      </c>
      <c r="C517">
        <v>6</v>
      </c>
      <c r="D517">
        <v>2</v>
      </c>
      <c r="E517">
        <f t="shared" si="374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P517">
        <f t="shared" si="370"/>
        <v>86.998167026862603</v>
      </c>
      <c r="Q517">
        <f t="shared" si="371"/>
        <v>9776.9844196191934</v>
      </c>
      <c r="R517">
        <f t="shared" si="372"/>
        <v>23496.71814376158</v>
      </c>
      <c r="S517">
        <f t="shared" si="373"/>
        <v>62266.303080968188</v>
      </c>
      <c r="T517">
        <v>111</v>
      </c>
      <c r="U517">
        <v>0.13</v>
      </c>
      <c r="V517">
        <v>0.22</v>
      </c>
    </row>
    <row r="518" spans="1:24" x14ac:dyDescent="0.25">
      <c r="A518" t="s">
        <v>102</v>
      </c>
      <c r="B518" t="s">
        <v>103</v>
      </c>
      <c r="C518">
        <v>7</v>
      </c>
      <c r="D518">
        <v>2</v>
      </c>
      <c r="E518">
        <f t="shared" si="374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P518">
        <f t="shared" si="370"/>
        <v>92.493348623870091</v>
      </c>
      <c r="Q518">
        <f t="shared" si="371"/>
        <v>11821.325186971071</v>
      </c>
      <c r="R518">
        <f t="shared" si="372"/>
        <v>28409.817800939851</v>
      </c>
      <c r="S518">
        <f t="shared" si="373"/>
        <v>75286.017172490596</v>
      </c>
      <c r="T518">
        <v>111</v>
      </c>
      <c r="U518">
        <v>0.13</v>
      </c>
      <c r="V518">
        <v>0.22</v>
      </c>
    </row>
    <row r="519" spans="1:24" x14ac:dyDescent="0.25">
      <c r="A519" t="s">
        <v>102</v>
      </c>
      <c r="B519" t="s">
        <v>103</v>
      </c>
      <c r="C519">
        <v>8</v>
      </c>
      <c r="D519">
        <v>2</v>
      </c>
      <c r="E519">
        <f t="shared" si="374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P519">
        <f t="shared" si="370"/>
        <v>96.73041710852128</v>
      </c>
      <c r="Q519">
        <f t="shared" si="371"/>
        <v>13582.167836600664</v>
      </c>
      <c r="R519">
        <f t="shared" si="372"/>
        <v>32641.595377555062</v>
      </c>
      <c r="S519">
        <f t="shared" si="373"/>
        <v>86500.227750520906</v>
      </c>
      <c r="T519">
        <v>111</v>
      </c>
      <c r="U519">
        <v>0.13</v>
      </c>
      <c r="V519">
        <v>0.22</v>
      </c>
    </row>
    <row r="520" spans="1:24" x14ac:dyDescent="0.25">
      <c r="A520" t="s">
        <v>102</v>
      </c>
      <c r="B520" t="s">
        <v>103</v>
      </c>
      <c r="C520">
        <v>9</v>
      </c>
      <c r="D520">
        <v>2</v>
      </c>
      <c r="E520">
        <f t="shared" si="374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P520">
        <f t="shared" si="370"/>
        <v>99.997415482769895</v>
      </c>
      <c r="Q520">
        <f t="shared" si="371"/>
        <v>15055.279034998446</v>
      </c>
      <c r="R520">
        <f t="shared" si="372"/>
        <v>36181.877036766273</v>
      </c>
      <c r="S520">
        <f t="shared" si="373"/>
        <v>95881.974147430621</v>
      </c>
      <c r="T520">
        <v>111</v>
      </c>
      <c r="U520">
        <v>0.13</v>
      </c>
      <c r="V520">
        <v>0.22</v>
      </c>
    </row>
    <row r="521" spans="1:24" x14ac:dyDescent="0.25">
      <c r="A521" t="s">
        <v>102</v>
      </c>
      <c r="B521" t="s">
        <v>103</v>
      </c>
      <c r="C521">
        <v>10</v>
      </c>
      <c r="D521">
        <v>2</v>
      </c>
      <c r="E521">
        <f t="shared" si="374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P521">
        <f t="shared" si="370"/>
        <v>102.51643976005195</v>
      </c>
      <c r="Q521">
        <f t="shared" si="371"/>
        <v>16262.357460260959</v>
      </c>
      <c r="R521">
        <f t="shared" si="372"/>
        <v>39082.810526942943</v>
      </c>
      <c r="S521">
        <f t="shared" si="373"/>
        <v>103569.44789639879</v>
      </c>
      <c r="T521">
        <v>111</v>
      </c>
      <c r="U521">
        <v>0.13</v>
      </c>
      <c r="V521">
        <v>0.22</v>
      </c>
    </row>
    <row r="522" spans="1:24" x14ac:dyDescent="0.25">
      <c r="A522" t="s">
        <v>104</v>
      </c>
      <c r="B522" t="s">
        <v>105</v>
      </c>
      <c r="C522">
        <v>1</v>
      </c>
      <c r="D522">
        <v>1</v>
      </c>
      <c r="E522">
        <f t="shared" si="374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P522">
        <f>136*(1-EXP(-0.1*(E522)))</f>
        <v>12.942111147109506</v>
      </c>
      <c r="Q522">
        <f t="shared" ref="Q522" si="375">L522*(P522^M522)</f>
        <v>25.171327616078905</v>
      </c>
      <c r="R522">
        <f t="shared" ref="R522" si="376">Q522/20/5.7/3.65*1000</f>
        <v>60.493457380627028</v>
      </c>
      <c r="S522">
        <f t="shared" ref="S522" si="377">R522*2.65</f>
        <v>160.30766205866161</v>
      </c>
      <c r="T522">
        <v>136</v>
      </c>
      <c r="U522">
        <v>0.1</v>
      </c>
      <c r="V522">
        <v>0</v>
      </c>
      <c r="X522" t="s">
        <v>216</v>
      </c>
    </row>
    <row r="523" spans="1:24" x14ac:dyDescent="0.25">
      <c r="A523" t="s">
        <v>104</v>
      </c>
      <c r="B523" t="s">
        <v>105</v>
      </c>
      <c r="C523">
        <v>2</v>
      </c>
      <c r="D523">
        <v>1</v>
      </c>
      <c r="E523">
        <f t="shared" si="374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P523">
        <f t="shared" ref="P523:P531" si="378">136*(1-EXP(-0.1*(E523)))</f>
        <v>24.652617581394473</v>
      </c>
      <c r="Q523">
        <f t="shared" ref="Q523:Q531" si="379">L523*(P523^M523)</f>
        <v>163.11506433652227</v>
      </c>
      <c r="R523">
        <f t="shared" ref="R523:R531" si="380">Q523/20/5.7/3.65*1000</f>
        <v>392.00928703802515</v>
      </c>
      <c r="S523">
        <f t="shared" ref="S523:S531" si="381">R523*2.65</f>
        <v>1038.8246106507665</v>
      </c>
      <c r="T523">
        <v>136</v>
      </c>
      <c r="U523">
        <v>0.1</v>
      </c>
      <c r="V523">
        <v>0</v>
      </c>
    </row>
    <row r="524" spans="1:24" x14ac:dyDescent="0.25">
      <c r="A524" t="s">
        <v>104</v>
      </c>
      <c r="B524" t="s">
        <v>105</v>
      </c>
      <c r="C524">
        <v>3</v>
      </c>
      <c r="D524">
        <v>1</v>
      </c>
      <c r="E524">
        <f t="shared" si="374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P524">
        <f t="shared" si="378"/>
        <v>35.248721987286366</v>
      </c>
      <c r="Q524">
        <f t="shared" si="379"/>
        <v>460.05213204372916</v>
      </c>
      <c r="R524">
        <f t="shared" si="380"/>
        <v>1105.6287720349176</v>
      </c>
      <c r="S524">
        <f t="shared" si="381"/>
        <v>2929.9162458925316</v>
      </c>
      <c r="T524">
        <v>136</v>
      </c>
      <c r="U524">
        <v>0.1</v>
      </c>
      <c r="V524">
        <v>0</v>
      </c>
    </row>
    <row r="525" spans="1:24" x14ac:dyDescent="0.25">
      <c r="A525" t="s">
        <v>104</v>
      </c>
      <c r="B525" t="s">
        <v>105</v>
      </c>
      <c r="C525">
        <v>4</v>
      </c>
      <c r="D525">
        <v>1</v>
      </c>
      <c r="E525">
        <f t="shared" si="374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P525">
        <f t="shared" si="378"/>
        <v>44.83647373915305</v>
      </c>
      <c r="Q525">
        <f t="shared" si="379"/>
        <v>924.32023765543681</v>
      </c>
      <c r="R525">
        <f t="shared" si="380"/>
        <v>2221.3896603110716</v>
      </c>
      <c r="S525">
        <f t="shared" si="381"/>
        <v>5886.6825998243394</v>
      </c>
      <c r="T525">
        <v>136</v>
      </c>
      <c r="U525">
        <v>0.1</v>
      </c>
      <c r="V525">
        <v>0</v>
      </c>
    </row>
    <row r="526" spans="1:24" x14ac:dyDescent="0.25">
      <c r="A526" t="s">
        <v>104</v>
      </c>
      <c r="B526" t="s">
        <v>105</v>
      </c>
      <c r="C526">
        <v>5</v>
      </c>
      <c r="D526">
        <v>1</v>
      </c>
      <c r="E526">
        <f t="shared" si="374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P526">
        <f t="shared" si="378"/>
        <v>53.511830279081856</v>
      </c>
      <c r="Q526">
        <f t="shared" si="379"/>
        <v>1543.8165596502884</v>
      </c>
      <c r="R526">
        <f t="shared" si="380"/>
        <v>3710.2056228077104</v>
      </c>
      <c r="S526">
        <f t="shared" si="381"/>
        <v>9832.0449004404327</v>
      </c>
      <c r="T526">
        <v>136</v>
      </c>
      <c r="U526">
        <v>0.1</v>
      </c>
      <c r="V526">
        <v>0</v>
      </c>
    </row>
    <row r="527" spans="1:24" x14ac:dyDescent="0.25">
      <c r="A527" t="s">
        <v>104</v>
      </c>
      <c r="B527" t="s">
        <v>105</v>
      </c>
      <c r="C527">
        <v>6</v>
      </c>
      <c r="D527">
        <v>1</v>
      </c>
      <c r="E527">
        <f t="shared" si="374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P527">
        <f t="shared" si="378"/>
        <v>61.361617491212414</v>
      </c>
      <c r="Q527">
        <f t="shared" si="379"/>
        <v>2296.1062271517753</v>
      </c>
      <c r="R527">
        <f t="shared" si="380"/>
        <v>5518.1596422777584</v>
      </c>
      <c r="S527">
        <f t="shared" si="381"/>
        <v>14623.123052036059</v>
      </c>
      <c r="T527">
        <v>136</v>
      </c>
      <c r="U527">
        <v>0.1</v>
      </c>
      <c r="V527">
        <v>0</v>
      </c>
    </row>
    <row r="528" spans="1:24" x14ac:dyDescent="0.25">
      <c r="A528" t="s">
        <v>104</v>
      </c>
      <c r="B528" t="s">
        <v>105</v>
      </c>
      <c r="C528">
        <v>7</v>
      </c>
      <c r="D528">
        <v>1</v>
      </c>
      <c r="E528">
        <f t="shared" si="374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P528">
        <f t="shared" si="378"/>
        <v>68.464398684368319</v>
      </c>
      <c r="Q528">
        <f t="shared" si="379"/>
        <v>3154.5627713873805</v>
      </c>
      <c r="R528">
        <f t="shared" si="380"/>
        <v>7581.2611665161767</v>
      </c>
      <c r="S528">
        <f t="shared" si="381"/>
        <v>20090.342091267867</v>
      </c>
      <c r="T528">
        <v>136</v>
      </c>
      <c r="U528">
        <v>0.1</v>
      </c>
      <c r="V528">
        <v>0</v>
      </c>
    </row>
    <row r="529" spans="1:24" x14ac:dyDescent="0.25">
      <c r="A529" t="s">
        <v>104</v>
      </c>
      <c r="B529" t="s">
        <v>105</v>
      </c>
      <c r="C529">
        <v>8</v>
      </c>
      <c r="D529">
        <v>1</v>
      </c>
      <c r="E529">
        <f t="shared" si="374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P529">
        <f t="shared" si="378"/>
        <v>74.891260880057871</v>
      </c>
      <c r="Q529">
        <f t="shared" si="379"/>
        <v>4092.0560363752252</v>
      </c>
      <c r="R529">
        <f t="shared" si="380"/>
        <v>9834.3091477414673</v>
      </c>
      <c r="S529">
        <f t="shared" si="381"/>
        <v>26060.919241514886</v>
      </c>
      <c r="T529">
        <v>136</v>
      </c>
      <c r="U529">
        <v>0.1</v>
      </c>
      <c r="V529">
        <v>0</v>
      </c>
    </row>
    <row r="530" spans="1:24" x14ac:dyDescent="0.25">
      <c r="A530" t="s">
        <v>104</v>
      </c>
      <c r="B530" t="s">
        <v>105</v>
      </c>
      <c r="C530">
        <v>9</v>
      </c>
      <c r="D530">
        <v>1</v>
      </c>
      <c r="E530">
        <f t="shared" si="374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P530">
        <f t="shared" si="378"/>
        <v>80.70652627527852</v>
      </c>
      <c r="Q530">
        <f t="shared" si="379"/>
        <v>5083.0731391647432</v>
      </c>
      <c r="R530">
        <f t="shared" si="380"/>
        <v>12215.989279415388</v>
      </c>
      <c r="S530">
        <f t="shared" si="381"/>
        <v>32372.371590450777</v>
      </c>
      <c r="T530">
        <v>136</v>
      </c>
      <c r="U530">
        <v>0.1</v>
      </c>
      <c r="V530">
        <v>0</v>
      </c>
    </row>
    <row r="531" spans="1:24" x14ac:dyDescent="0.25">
      <c r="A531" t="s">
        <v>104</v>
      </c>
      <c r="B531" t="s">
        <v>105</v>
      </c>
      <c r="C531">
        <v>10</v>
      </c>
      <c r="D531">
        <v>1</v>
      </c>
      <c r="E531">
        <f t="shared" si="374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P531">
        <f t="shared" si="378"/>
        <v>85.968396000683839</v>
      </c>
      <c r="Q531">
        <f t="shared" si="379"/>
        <v>6104.8338399565846</v>
      </c>
      <c r="R531">
        <f t="shared" si="380"/>
        <v>14671.554530056677</v>
      </c>
      <c r="S531">
        <f t="shared" si="381"/>
        <v>38879.619504650196</v>
      </c>
      <c r="T531">
        <v>136</v>
      </c>
      <c r="U531">
        <v>0.1</v>
      </c>
      <c r="V531">
        <v>0</v>
      </c>
    </row>
    <row r="532" spans="1:24" x14ac:dyDescent="0.25">
      <c r="A532" t="s">
        <v>106</v>
      </c>
      <c r="B532" t="s">
        <v>107</v>
      </c>
      <c r="C532">
        <v>1</v>
      </c>
      <c r="D532">
        <v>2</v>
      </c>
      <c r="E532">
        <f t="shared" si="374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P532">
        <f>62.2*(1-EXP(-0.31*(E532+0.05)))</f>
        <v>29.25448950077212</v>
      </c>
      <c r="Q532">
        <f t="shared" ref="Q532" si="382">L532*(P532^M532)</f>
        <v>350.51419254962514</v>
      </c>
      <c r="R532">
        <f t="shared" ref="R532" si="383">Q532/20/5.7/3.65*1000</f>
        <v>842.37969850907257</v>
      </c>
      <c r="S532">
        <f t="shared" ref="S532" si="384">R532*2.65</f>
        <v>2232.3062010490421</v>
      </c>
      <c r="T532">
        <v>62.2</v>
      </c>
      <c r="U532">
        <v>0.31</v>
      </c>
      <c r="V532">
        <v>-0.05</v>
      </c>
      <c r="X532" t="s">
        <v>218</v>
      </c>
    </row>
    <row r="533" spans="1:24" x14ac:dyDescent="0.25">
      <c r="A533" t="s">
        <v>106</v>
      </c>
      <c r="B533" t="s">
        <v>107</v>
      </c>
      <c r="C533">
        <v>2</v>
      </c>
      <c r="D533">
        <v>2</v>
      </c>
      <c r="E533">
        <f t="shared" si="374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P533">
        <f t="shared" ref="P533:P541" si="385">62.2*(1-EXP(-0.31*(E533+0.05)))</f>
        <v>44.477145883223415</v>
      </c>
      <c r="Q533">
        <f t="shared" ref="Q533:Q541" si="386">L533*(P533^M533)</f>
        <v>1231.7959377121272</v>
      </c>
      <c r="R533">
        <f t="shared" ref="R533:R541" si="387">Q533/20/5.7/3.65*1000</f>
        <v>2960.3363078878328</v>
      </c>
      <c r="S533">
        <f t="shared" ref="S533:S541" si="388">R533*2.65</f>
        <v>7844.8912159027568</v>
      </c>
      <c r="T533">
        <v>62.2</v>
      </c>
      <c r="U533">
        <v>0.31</v>
      </c>
      <c r="V533">
        <v>-0.05</v>
      </c>
    </row>
    <row r="534" spans="1:24" x14ac:dyDescent="0.25">
      <c r="A534" t="s">
        <v>106</v>
      </c>
      <c r="B534" t="s">
        <v>107</v>
      </c>
      <c r="C534">
        <v>3</v>
      </c>
      <c r="D534">
        <v>2</v>
      </c>
      <c r="E534">
        <f t="shared" si="374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P534">
        <f t="shared" si="385"/>
        <v>52.666089209578161</v>
      </c>
      <c r="Q534">
        <f t="shared" si="386"/>
        <v>2045.1315425715502</v>
      </c>
      <c r="R534">
        <f t="shared" si="387"/>
        <v>4915.0001023108625</v>
      </c>
      <c r="S534">
        <f t="shared" si="388"/>
        <v>13024.750271123785</v>
      </c>
      <c r="T534">
        <v>62.2</v>
      </c>
      <c r="U534">
        <v>0.31</v>
      </c>
      <c r="V534">
        <v>-0.05</v>
      </c>
    </row>
    <row r="535" spans="1:24" x14ac:dyDescent="0.25">
      <c r="A535" t="s">
        <v>106</v>
      </c>
      <c r="B535" t="s">
        <v>107</v>
      </c>
      <c r="C535">
        <v>4</v>
      </c>
      <c r="D535">
        <v>2</v>
      </c>
      <c r="E535">
        <f t="shared" si="374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P535">
        <f t="shared" si="385"/>
        <v>57.071285721768724</v>
      </c>
      <c r="Q535">
        <f t="shared" si="386"/>
        <v>2602.4416775725908</v>
      </c>
      <c r="R535">
        <f t="shared" si="387"/>
        <v>6254.3659638851022</v>
      </c>
      <c r="S535">
        <f t="shared" si="388"/>
        <v>16574.069804295519</v>
      </c>
      <c r="T535">
        <v>62.2</v>
      </c>
      <c r="U535">
        <v>0.31</v>
      </c>
      <c r="V535">
        <v>-0.05</v>
      </c>
    </row>
    <row r="536" spans="1:24" x14ac:dyDescent="0.25">
      <c r="A536" t="s">
        <v>106</v>
      </c>
      <c r="B536" t="s">
        <v>107</v>
      </c>
      <c r="C536">
        <v>5</v>
      </c>
      <c r="D536">
        <v>2</v>
      </c>
      <c r="E536">
        <f t="shared" si="374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P536">
        <f t="shared" si="385"/>
        <v>59.441036682013106</v>
      </c>
      <c r="Q536">
        <f t="shared" si="386"/>
        <v>2940.2696501024207</v>
      </c>
      <c r="R536">
        <f t="shared" si="387"/>
        <v>7066.257270133191</v>
      </c>
      <c r="S536">
        <f t="shared" si="388"/>
        <v>18725.581765852956</v>
      </c>
      <c r="T536">
        <v>62.2</v>
      </c>
      <c r="U536">
        <v>0.31</v>
      </c>
      <c r="V536">
        <v>-0.05</v>
      </c>
    </row>
    <row r="537" spans="1:24" x14ac:dyDescent="0.25">
      <c r="A537" t="s">
        <v>106</v>
      </c>
      <c r="B537" t="s">
        <v>107</v>
      </c>
      <c r="C537">
        <v>6</v>
      </c>
      <c r="D537">
        <v>2</v>
      </c>
      <c r="E537">
        <f t="shared" si="374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P537">
        <f t="shared" si="385"/>
        <v>60.715831029561201</v>
      </c>
      <c r="Q537">
        <f t="shared" si="386"/>
        <v>3133.5300703345247</v>
      </c>
      <c r="R537">
        <f t="shared" si="387"/>
        <v>7530.7139397609344</v>
      </c>
      <c r="S537">
        <f t="shared" si="388"/>
        <v>19956.391940366477</v>
      </c>
      <c r="T537">
        <v>62.2</v>
      </c>
      <c r="U537">
        <v>0.31</v>
      </c>
      <c r="V537">
        <v>-0.05</v>
      </c>
    </row>
    <row r="538" spans="1:24" x14ac:dyDescent="0.25">
      <c r="A538" t="s">
        <v>106</v>
      </c>
      <c r="B538" t="s">
        <v>107</v>
      </c>
      <c r="C538">
        <v>7</v>
      </c>
      <c r="D538">
        <v>2</v>
      </c>
      <c r="E538">
        <f t="shared" si="374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P538">
        <f t="shared" si="385"/>
        <v>61.401599557901832</v>
      </c>
      <c r="Q538">
        <f t="shared" si="386"/>
        <v>3240.9108939090565</v>
      </c>
      <c r="R538">
        <f t="shared" si="387"/>
        <v>7788.7788846648809</v>
      </c>
      <c r="S538">
        <f t="shared" si="388"/>
        <v>20640.264044361935</v>
      </c>
      <c r="T538">
        <v>62.2</v>
      </c>
      <c r="U538">
        <v>0.31</v>
      </c>
      <c r="V538">
        <v>-0.05</v>
      </c>
    </row>
    <row r="539" spans="1:24" x14ac:dyDescent="0.25">
      <c r="A539" t="s">
        <v>106</v>
      </c>
      <c r="B539" t="s">
        <v>107</v>
      </c>
      <c r="C539">
        <v>8</v>
      </c>
      <c r="D539">
        <v>2</v>
      </c>
      <c r="E539">
        <f t="shared" si="374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P539">
        <f t="shared" si="385"/>
        <v>61.770504923200164</v>
      </c>
      <c r="Q539">
        <f t="shared" si="386"/>
        <v>3299.6774570688749</v>
      </c>
      <c r="R539">
        <f t="shared" si="387"/>
        <v>7930.0107115329847</v>
      </c>
      <c r="S539">
        <f t="shared" si="388"/>
        <v>21014.528385562407</v>
      </c>
      <c r="T539">
        <v>62.2</v>
      </c>
      <c r="U539">
        <v>0.31</v>
      </c>
      <c r="V539">
        <v>-0.05</v>
      </c>
    </row>
    <row r="540" spans="1:24" x14ac:dyDescent="0.25">
      <c r="A540" t="s">
        <v>106</v>
      </c>
      <c r="B540" t="s">
        <v>107</v>
      </c>
      <c r="C540">
        <v>9</v>
      </c>
      <c r="D540">
        <v>2</v>
      </c>
      <c r="E540">
        <f t="shared" si="374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P540">
        <f t="shared" si="385"/>
        <v>61.968955512461228</v>
      </c>
      <c r="Q540">
        <f t="shared" si="386"/>
        <v>3331.5824387885464</v>
      </c>
      <c r="R540">
        <f t="shared" si="387"/>
        <v>8006.686947340896</v>
      </c>
      <c r="S540">
        <f t="shared" si="388"/>
        <v>21217.720410453374</v>
      </c>
      <c r="T540">
        <v>62.2</v>
      </c>
      <c r="U540">
        <v>0.31</v>
      </c>
      <c r="V540">
        <v>-0.05</v>
      </c>
    </row>
    <row r="541" spans="1:24" x14ac:dyDescent="0.25">
      <c r="A541" t="s">
        <v>106</v>
      </c>
      <c r="B541" t="s">
        <v>107</v>
      </c>
      <c r="C541">
        <v>10</v>
      </c>
      <c r="D541">
        <v>2</v>
      </c>
      <c r="E541">
        <f t="shared" si="374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P541">
        <f t="shared" si="385"/>
        <v>62.075710903091611</v>
      </c>
      <c r="Q541">
        <f t="shared" si="386"/>
        <v>3348.8303064528977</v>
      </c>
      <c r="R541">
        <f t="shared" si="387"/>
        <v>8048.1382034436365</v>
      </c>
      <c r="S541">
        <f t="shared" si="388"/>
        <v>21327.566239125637</v>
      </c>
      <c r="T541">
        <v>62.2</v>
      </c>
      <c r="U541">
        <v>0.31</v>
      </c>
      <c r="V541">
        <v>-0.05</v>
      </c>
    </row>
    <row r="542" spans="1:24" x14ac:dyDescent="0.25">
      <c r="A542" t="s">
        <v>108</v>
      </c>
      <c r="B542" t="s">
        <v>109</v>
      </c>
      <c r="C542">
        <v>1</v>
      </c>
      <c r="D542">
        <v>2</v>
      </c>
      <c r="E542">
        <f t="shared" si="374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P542">
        <f>158*(1-EXP(-0.043*(E542)))</f>
        <v>13.020111467216152</v>
      </c>
      <c r="Q542">
        <f t="shared" ref="Q542" si="389">L542*(P542^M542)</f>
        <v>20.276843800880997</v>
      </c>
      <c r="R542">
        <f t="shared" ref="R542" si="390">Q542/20/5.7/3.65*1000</f>
        <v>48.730698872581094</v>
      </c>
      <c r="S542">
        <f t="shared" ref="S542" si="391">R542*2.65</f>
        <v>129.1363520123399</v>
      </c>
      <c r="T542">
        <v>158</v>
      </c>
      <c r="U542">
        <v>4.2999999999999997E-2</v>
      </c>
      <c r="V542">
        <v>0</v>
      </c>
      <c r="X542" t="s">
        <v>219</v>
      </c>
    </row>
    <row r="543" spans="1:24" x14ac:dyDescent="0.25">
      <c r="A543" t="s">
        <v>108</v>
      </c>
      <c r="B543" t="s">
        <v>109</v>
      </c>
      <c r="C543">
        <v>2</v>
      </c>
      <c r="D543">
        <v>2</v>
      </c>
      <c r="E543">
        <f t="shared" si="374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P543">
        <f t="shared" ref="P543:P551" si="392">158*(1-EXP(-0.043*(E543)))</f>
        <v>24.967290639377016</v>
      </c>
      <c r="Q543">
        <f t="shared" ref="Q543:Q551" si="393">L543*(P543^M543)</f>
        <v>132.23295204481903</v>
      </c>
      <c r="R543">
        <f t="shared" ref="R543:R551" si="394">Q543/20/5.7/3.65*1000</f>
        <v>317.79128104979344</v>
      </c>
      <c r="S543">
        <f t="shared" ref="S543:S551" si="395">R543*2.65</f>
        <v>842.1468947819526</v>
      </c>
      <c r="T543">
        <v>158</v>
      </c>
      <c r="U543">
        <v>4.2999999999999997E-2</v>
      </c>
      <c r="V543">
        <v>0</v>
      </c>
    </row>
    <row r="544" spans="1:24" x14ac:dyDescent="0.25">
      <c r="A544" t="s">
        <v>108</v>
      </c>
      <c r="B544" t="s">
        <v>109</v>
      </c>
      <c r="C544">
        <v>3</v>
      </c>
      <c r="D544">
        <v>2</v>
      </c>
      <c r="E544">
        <f t="shared" si="374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P544">
        <f t="shared" si="392"/>
        <v>35.929953327105366</v>
      </c>
      <c r="Q544">
        <f t="shared" si="393"/>
        <v>377.24646058580981</v>
      </c>
      <c r="R544">
        <f t="shared" si="394"/>
        <v>906.624514745998</v>
      </c>
      <c r="S544">
        <f t="shared" si="395"/>
        <v>2402.5549640768945</v>
      </c>
      <c r="T544">
        <v>158</v>
      </c>
      <c r="U544">
        <v>4.2999999999999997E-2</v>
      </c>
      <c r="V544">
        <v>0</v>
      </c>
    </row>
    <row r="545" spans="1:24" x14ac:dyDescent="0.25">
      <c r="A545" t="s">
        <v>108</v>
      </c>
      <c r="B545" t="s">
        <v>109</v>
      </c>
      <c r="C545">
        <v>4</v>
      </c>
      <c r="D545">
        <v>2</v>
      </c>
      <c r="E545">
        <f t="shared" si="374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P545">
        <f t="shared" si="392"/>
        <v>45.989229368177291</v>
      </c>
      <c r="Q545">
        <f t="shared" si="393"/>
        <v>767.99726584738755</v>
      </c>
      <c r="R545">
        <f t="shared" si="394"/>
        <v>1845.703594922825</v>
      </c>
      <c r="S545">
        <f t="shared" si="395"/>
        <v>4891.1145265454861</v>
      </c>
      <c r="T545">
        <v>158</v>
      </c>
      <c r="U545">
        <v>4.2999999999999997E-2</v>
      </c>
      <c r="V545">
        <v>0</v>
      </c>
    </row>
    <row r="546" spans="1:24" x14ac:dyDescent="0.25">
      <c r="A546" t="s">
        <v>108</v>
      </c>
      <c r="B546" t="s">
        <v>109</v>
      </c>
      <c r="C546">
        <v>5</v>
      </c>
      <c r="D546">
        <v>2</v>
      </c>
      <c r="E546">
        <f t="shared" si="374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P546">
        <f t="shared" si="392"/>
        <v>55.219563033715971</v>
      </c>
      <c r="Q546">
        <f t="shared" si="393"/>
        <v>1300.5820447465842</v>
      </c>
      <c r="R546">
        <f t="shared" si="394"/>
        <v>3125.6477883840048</v>
      </c>
      <c r="S546">
        <f t="shared" si="395"/>
        <v>8282.9666392176132</v>
      </c>
      <c r="T546">
        <v>158</v>
      </c>
      <c r="U546">
        <v>4.2999999999999997E-2</v>
      </c>
      <c r="V546">
        <v>0</v>
      </c>
    </row>
    <row r="547" spans="1:24" x14ac:dyDescent="0.25">
      <c r="A547" t="s">
        <v>108</v>
      </c>
      <c r="B547" t="s">
        <v>109</v>
      </c>
      <c r="C547">
        <v>6</v>
      </c>
      <c r="D547">
        <v>2</v>
      </c>
      <c r="E547">
        <f t="shared" si="374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P547">
        <f t="shared" si="392"/>
        <v>63.689263957451438</v>
      </c>
      <c r="Q547">
        <f t="shared" si="393"/>
        <v>1961.6465330109577</v>
      </c>
      <c r="R547">
        <f t="shared" si="394"/>
        <v>4714.3632131962449</v>
      </c>
      <c r="S547">
        <f t="shared" si="395"/>
        <v>12493.062514970048</v>
      </c>
      <c r="T547">
        <v>158</v>
      </c>
      <c r="U547">
        <v>4.2999999999999997E-2</v>
      </c>
      <c r="V547">
        <v>0</v>
      </c>
    </row>
    <row r="548" spans="1:24" x14ac:dyDescent="0.25">
      <c r="A548" t="s">
        <v>108</v>
      </c>
      <c r="B548" t="s">
        <v>109</v>
      </c>
      <c r="C548">
        <v>7</v>
      </c>
      <c r="D548">
        <v>2</v>
      </c>
      <c r="E548">
        <f t="shared" si="374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P548">
        <f t="shared" si="392"/>
        <v>71.461012665231053</v>
      </c>
      <c r="Q548">
        <f t="shared" si="393"/>
        <v>2732.9344287040649</v>
      </c>
      <c r="R548">
        <f t="shared" si="394"/>
        <v>6567.9750749917439</v>
      </c>
      <c r="S548">
        <f t="shared" si="395"/>
        <v>17405.133948728122</v>
      </c>
      <c r="T548">
        <v>158</v>
      </c>
      <c r="U548">
        <v>4.2999999999999997E-2</v>
      </c>
      <c r="V548">
        <v>0</v>
      </c>
    </row>
    <row r="549" spans="1:24" x14ac:dyDescent="0.25">
      <c r="A549" t="s">
        <v>108</v>
      </c>
      <c r="B549" t="s">
        <v>109</v>
      </c>
      <c r="C549">
        <v>8</v>
      </c>
      <c r="D549">
        <v>2</v>
      </c>
      <c r="E549">
        <f t="shared" si="374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P549">
        <f t="shared" si="392"/>
        <v>78.592324445982314</v>
      </c>
      <c r="Q549">
        <f t="shared" si="393"/>
        <v>3594.2211705995564</v>
      </c>
      <c r="R549">
        <f t="shared" si="394"/>
        <v>8637.8783239595214</v>
      </c>
      <c r="S549">
        <f t="shared" si="395"/>
        <v>22890.377558492732</v>
      </c>
      <c r="T549">
        <v>158</v>
      </c>
      <c r="U549">
        <v>4.2999999999999997E-2</v>
      </c>
      <c r="V549">
        <v>0</v>
      </c>
    </row>
    <row r="550" spans="1:24" x14ac:dyDescent="0.25">
      <c r="A550" t="s">
        <v>108</v>
      </c>
      <c r="B550" t="s">
        <v>109</v>
      </c>
      <c r="C550">
        <v>9</v>
      </c>
      <c r="D550">
        <v>2</v>
      </c>
      <c r="E550">
        <f t="shared" si="374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P550">
        <f t="shared" si="392"/>
        <v>85.135974997031965</v>
      </c>
      <c r="Q550">
        <f t="shared" si="393"/>
        <v>4525.1791917625033</v>
      </c>
      <c r="R550">
        <f t="shared" si="394"/>
        <v>10875.220359919498</v>
      </c>
      <c r="S550">
        <f t="shared" si="395"/>
        <v>28819.33395378667</v>
      </c>
      <c r="T550">
        <v>158</v>
      </c>
      <c r="U550">
        <v>4.2999999999999997E-2</v>
      </c>
      <c r="V550">
        <v>0</v>
      </c>
    </row>
    <row r="551" spans="1:24" x14ac:dyDescent="0.25">
      <c r="A551" t="s">
        <v>108</v>
      </c>
      <c r="B551" t="s">
        <v>109</v>
      </c>
      <c r="C551">
        <v>10</v>
      </c>
      <c r="D551">
        <v>2</v>
      </c>
      <c r="E551">
        <f t="shared" si="374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P551">
        <f t="shared" si="392"/>
        <v>91.140390993795677</v>
      </c>
      <c r="Q551">
        <f t="shared" si="393"/>
        <v>5506.5218729766148</v>
      </c>
      <c r="R551">
        <f t="shared" si="394"/>
        <v>13233.650259496793</v>
      </c>
      <c r="S551">
        <f t="shared" si="395"/>
        <v>35069.1731876665</v>
      </c>
      <c r="T551">
        <v>158</v>
      </c>
      <c r="U551">
        <v>4.2999999999999997E-2</v>
      </c>
      <c r="V551">
        <v>0</v>
      </c>
    </row>
    <row r="552" spans="1:24" x14ac:dyDescent="0.25">
      <c r="A552" t="s">
        <v>110</v>
      </c>
      <c r="B552" t="s">
        <v>111</v>
      </c>
      <c r="C552">
        <v>1</v>
      </c>
      <c r="D552">
        <v>2</v>
      </c>
      <c r="E552">
        <f t="shared" si="374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P552">
        <f>45.7*(1-EXP(-0.2*(E552)))</f>
        <v>15.066373896171283</v>
      </c>
      <c r="Q552">
        <f t="shared" ref="Q552" si="396">L552*(P552^M552)</f>
        <v>36.505086715089078</v>
      </c>
      <c r="R552">
        <f t="shared" ref="R552" si="397">Q552/20/5.7/3.65*1000</f>
        <v>87.731522987476765</v>
      </c>
      <c r="S552">
        <f t="shared" ref="S552" si="398">R552*2.65</f>
        <v>232.48853591681342</v>
      </c>
      <c r="T552">
        <v>45.7</v>
      </c>
      <c r="U552">
        <v>0.2</v>
      </c>
      <c r="V552">
        <v>0</v>
      </c>
      <c r="X552" t="s">
        <v>216</v>
      </c>
    </row>
    <row r="553" spans="1:24" x14ac:dyDescent="0.25">
      <c r="A553" t="s">
        <v>110</v>
      </c>
      <c r="B553" t="s">
        <v>111</v>
      </c>
      <c r="C553">
        <v>2</v>
      </c>
      <c r="D553">
        <v>2</v>
      </c>
      <c r="E553">
        <f t="shared" si="374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P553">
        <f t="shared" ref="P553:P561" si="399">45.7*(1-EXP(-0.2*(E553)))</f>
        <v>25.165666339842975</v>
      </c>
      <c r="Q553">
        <f t="shared" ref="Q553:Q561" si="400">L553*(P553^M553)</f>
        <v>161.61158694284325</v>
      </c>
      <c r="R553">
        <f t="shared" ref="R553:R561" si="401">Q553/20/5.7/3.65*1000</f>
        <v>388.39602725989727</v>
      </c>
      <c r="S553">
        <f t="shared" ref="S553:S561" si="402">R553*2.65</f>
        <v>1029.2494722387278</v>
      </c>
      <c r="T553">
        <v>45.7</v>
      </c>
      <c r="U553">
        <v>0.2</v>
      </c>
      <c r="V553">
        <v>0</v>
      </c>
    </row>
    <row r="554" spans="1:24" x14ac:dyDescent="0.25">
      <c r="A554" t="s">
        <v>110</v>
      </c>
      <c r="B554" t="s">
        <v>111</v>
      </c>
      <c r="C554">
        <v>3</v>
      </c>
      <c r="D554">
        <v>2</v>
      </c>
      <c r="E554">
        <f t="shared" si="374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P554">
        <f t="shared" si="399"/>
        <v>31.935424515612372</v>
      </c>
      <c r="Q554">
        <f t="shared" si="400"/>
        <v>322.49192680133109</v>
      </c>
      <c r="R554">
        <f t="shared" si="401"/>
        <v>775.03467147640254</v>
      </c>
      <c r="S554">
        <f t="shared" si="402"/>
        <v>2053.8418794124668</v>
      </c>
      <c r="T554">
        <v>45.7</v>
      </c>
      <c r="U554">
        <v>0.2</v>
      </c>
      <c r="V554">
        <v>0</v>
      </c>
    </row>
    <row r="555" spans="1:24" x14ac:dyDescent="0.25">
      <c r="A555" t="s">
        <v>110</v>
      </c>
      <c r="B555" t="s">
        <v>111</v>
      </c>
      <c r="C555">
        <v>4</v>
      </c>
      <c r="D555">
        <v>2</v>
      </c>
      <c r="E555">
        <f t="shared" si="374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P555">
        <f t="shared" si="399"/>
        <v>36.473329127644256</v>
      </c>
      <c r="Q555">
        <f t="shared" si="400"/>
        <v>474.0855431269286</v>
      </c>
      <c r="R555">
        <f t="shared" si="401"/>
        <v>1139.3548260680811</v>
      </c>
      <c r="S555">
        <f t="shared" si="402"/>
        <v>3019.2902890804148</v>
      </c>
      <c r="T555">
        <v>45.7</v>
      </c>
      <c r="U555">
        <v>0.2</v>
      </c>
      <c r="V555">
        <v>0</v>
      </c>
    </row>
    <row r="556" spans="1:24" x14ac:dyDescent="0.25">
      <c r="A556" t="s">
        <v>110</v>
      </c>
      <c r="B556" t="s">
        <v>111</v>
      </c>
      <c r="C556">
        <v>5</v>
      </c>
      <c r="D556">
        <v>2</v>
      </c>
      <c r="E556">
        <f t="shared" si="374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P556">
        <f t="shared" si="399"/>
        <v>39.515177556086805</v>
      </c>
      <c r="Q556">
        <f t="shared" si="400"/>
        <v>598.05820783112767</v>
      </c>
      <c r="R556">
        <f t="shared" si="401"/>
        <v>1437.2944192048249</v>
      </c>
      <c r="S556">
        <f t="shared" si="402"/>
        <v>3808.8302108927855</v>
      </c>
      <c r="T556">
        <v>45.7</v>
      </c>
      <c r="U556">
        <v>0.2</v>
      </c>
      <c r="V556">
        <v>0</v>
      </c>
    </row>
    <row r="557" spans="1:24" x14ac:dyDescent="0.25">
      <c r="A557" t="s">
        <v>110</v>
      </c>
      <c r="B557" t="s">
        <v>111</v>
      </c>
      <c r="C557">
        <v>6</v>
      </c>
      <c r="D557">
        <v>2</v>
      </c>
      <c r="E557">
        <f t="shared" si="374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P557">
        <f t="shared" si="399"/>
        <v>41.554189534673853</v>
      </c>
      <c r="Q557">
        <f t="shared" si="400"/>
        <v>692.00782131257438</v>
      </c>
      <c r="R557">
        <f t="shared" si="401"/>
        <v>1663.0805607127479</v>
      </c>
      <c r="S557">
        <f t="shared" si="402"/>
        <v>4407.1634858887819</v>
      </c>
      <c r="T557">
        <v>45.7</v>
      </c>
      <c r="U557">
        <v>0.2</v>
      </c>
      <c r="V557">
        <v>0</v>
      </c>
    </row>
    <row r="558" spans="1:24" x14ac:dyDescent="0.25">
      <c r="A558" t="s">
        <v>110</v>
      </c>
      <c r="B558" t="s">
        <v>111</v>
      </c>
      <c r="C558">
        <v>7</v>
      </c>
      <c r="D558">
        <v>2</v>
      </c>
      <c r="E558">
        <f t="shared" si="374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P558">
        <f t="shared" si="399"/>
        <v>42.920980138027545</v>
      </c>
      <c r="Q558">
        <f t="shared" si="400"/>
        <v>760.09865717706373</v>
      </c>
      <c r="R558">
        <f t="shared" si="401"/>
        <v>1826.7211179453586</v>
      </c>
      <c r="S558">
        <f t="shared" si="402"/>
        <v>4840.8109625552006</v>
      </c>
      <c r="T558">
        <v>45.7</v>
      </c>
      <c r="U558">
        <v>0.2</v>
      </c>
      <c r="V558">
        <v>0</v>
      </c>
    </row>
    <row r="559" spans="1:24" x14ac:dyDescent="0.25">
      <c r="A559" t="s">
        <v>110</v>
      </c>
      <c r="B559" t="s">
        <v>111</v>
      </c>
      <c r="C559">
        <v>8</v>
      </c>
      <c r="D559">
        <v>2</v>
      </c>
      <c r="E559">
        <f t="shared" si="374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P559">
        <f t="shared" si="399"/>
        <v>43.837167278188666</v>
      </c>
      <c r="Q559">
        <f t="shared" si="400"/>
        <v>808.11140356816679</v>
      </c>
      <c r="R559">
        <f t="shared" si="401"/>
        <v>1942.1086363089805</v>
      </c>
      <c r="S559">
        <f t="shared" si="402"/>
        <v>5146.5878862187983</v>
      </c>
      <c r="T559">
        <v>45.7</v>
      </c>
      <c r="U559">
        <v>0.2</v>
      </c>
      <c r="V559">
        <v>0</v>
      </c>
    </row>
    <row r="560" spans="1:24" x14ac:dyDescent="0.25">
      <c r="A560" t="s">
        <v>110</v>
      </c>
      <c r="B560" t="s">
        <v>111</v>
      </c>
      <c r="C560">
        <v>9</v>
      </c>
      <c r="D560">
        <v>2</v>
      </c>
      <c r="E560">
        <f t="shared" si="374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P560">
        <f t="shared" si="399"/>
        <v>44.451305884158735</v>
      </c>
      <c r="Q560">
        <f t="shared" si="400"/>
        <v>841.38188165621079</v>
      </c>
      <c r="R560">
        <f t="shared" si="401"/>
        <v>2022.0665264508791</v>
      </c>
      <c r="S560">
        <f t="shared" si="402"/>
        <v>5358.4762950948298</v>
      </c>
      <c r="T560">
        <v>45.7</v>
      </c>
      <c r="U560">
        <v>0.2</v>
      </c>
      <c r="V560">
        <v>0</v>
      </c>
    </row>
    <row r="561" spans="1:24" x14ac:dyDescent="0.25">
      <c r="A561" t="s">
        <v>110</v>
      </c>
      <c r="B561" t="s">
        <v>111</v>
      </c>
      <c r="C561">
        <v>10</v>
      </c>
      <c r="D561">
        <v>2</v>
      </c>
      <c r="E561">
        <f t="shared" si="374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P561">
        <f t="shared" si="399"/>
        <v>44.862975302784847</v>
      </c>
      <c r="Q561">
        <f t="shared" si="400"/>
        <v>864.17847758364348</v>
      </c>
      <c r="R561">
        <f t="shared" si="401"/>
        <v>2076.8528660986385</v>
      </c>
      <c r="S561">
        <f t="shared" si="402"/>
        <v>5503.6600951613918</v>
      </c>
      <c r="T561">
        <v>45.7</v>
      </c>
      <c r="U561">
        <v>0.2</v>
      </c>
      <c r="V561">
        <v>0</v>
      </c>
    </row>
    <row r="562" spans="1:24" x14ac:dyDescent="0.25">
      <c r="A562" t="s">
        <v>112</v>
      </c>
      <c r="B562" t="s">
        <v>113</v>
      </c>
      <c r="C562">
        <v>1</v>
      </c>
      <c r="D562">
        <v>3</v>
      </c>
      <c r="E562">
        <f t="shared" si="374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P562">
        <f>114*(1-EXP(-0.1*(E562)))</f>
        <v>29.546722842284161</v>
      </c>
      <c r="Q562">
        <f t="shared" ref="Q562" si="403">L562*(P562^M562)</f>
        <v>459.60273867480845</v>
      </c>
      <c r="R562">
        <f t="shared" ref="R562" si="404">Q562/20/5.7/3.65*1000</f>
        <v>1104.5487591319595</v>
      </c>
      <c r="S562">
        <f t="shared" ref="S562" si="405">R562*2.65</f>
        <v>2927.0542116996926</v>
      </c>
      <c r="T562">
        <v>114</v>
      </c>
      <c r="U562">
        <v>0.1</v>
      </c>
      <c r="V562">
        <v>0</v>
      </c>
      <c r="X562" t="s">
        <v>216</v>
      </c>
    </row>
    <row r="563" spans="1:24" x14ac:dyDescent="0.25">
      <c r="A563" t="s">
        <v>112</v>
      </c>
      <c r="B563" t="s">
        <v>113</v>
      </c>
      <c r="C563">
        <v>2</v>
      </c>
      <c r="D563">
        <v>3</v>
      </c>
      <c r="E563">
        <f t="shared" si="374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P563">
        <f t="shared" ref="P563:P571" si="406">114*(1-EXP(-0.1*(E563)))</f>
        <v>51.435473485280994</v>
      </c>
      <c r="Q563">
        <f t="shared" ref="Q563:Q571" si="407">L563*(P563^M563)</f>
        <v>2562.820689226774</v>
      </c>
      <c r="R563">
        <f t="shared" ref="R563:R571" si="408">Q563/20/5.7/3.65*1000</f>
        <v>6159.1460928305069</v>
      </c>
      <c r="S563">
        <f t="shared" ref="S563:S571" si="409">R563*2.65</f>
        <v>16321.737146000843</v>
      </c>
      <c r="T563">
        <v>114</v>
      </c>
      <c r="U563">
        <v>0.1</v>
      </c>
      <c r="V563">
        <v>0</v>
      </c>
    </row>
    <row r="564" spans="1:24" x14ac:dyDescent="0.25">
      <c r="A564" t="s">
        <v>112</v>
      </c>
      <c r="B564" t="s">
        <v>113</v>
      </c>
      <c r="C564">
        <v>3</v>
      </c>
      <c r="D564">
        <v>3</v>
      </c>
      <c r="E564">
        <f t="shared" si="374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P564">
        <f t="shared" si="406"/>
        <v>67.651058789571707</v>
      </c>
      <c r="Q564">
        <f t="shared" si="407"/>
        <v>5993.1476155814644</v>
      </c>
      <c r="R564">
        <f t="shared" si="408"/>
        <v>14403.142551265233</v>
      </c>
      <c r="S564">
        <f t="shared" si="409"/>
        <v>38168.327760852866</v>
      </c>
      <c r="T564">
        <v>114</v>
      </c>
      <c r="U564">
        <v>0.1</v>
      </c>
      <c r="V564">
        <v>0</v>
      </c>
    </row>
    <row r="565" spans="1:24" x14ac:dyDescent="0.25">
      <c r="A565" t="s">
        <v>112</v>
      </c>
      <c r="B565" t="s">
        <v>113</v>
      </c>
      <c r="C565">
        <v>4</v>
      </c>
      <c r="D565">
        <v>3</v>
      </c>
      <c r="E565">
        <f t="shared" si="374"/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P565">
        <f t="shared" si="406"/>
        <v>79.663859842008975</v>
      </c>
      <c r="Q565">
        <f t="shared" si="407"/>
        <v>9947.4986753603225</v>
      </c>
      <c r="R565">
        <f t="shared" si="408"/>
        <v>23906.509674021447</v>
      </c>
      <c r="S565">
        <f t="shared" si="409"/>
        <v>63352.25063615683</v>
      </c>
      <c r="T565">
        <v>114</v>
      </c>
      <c r="U565">
        <v>0.1</v>
      </c>
      <c r="V565">
        <v>0</v>
      </c>
    </row>
    <row r="566" spans="1:24" x14ac:dyDescent="0.25">
      <c r="A566" t="s">
        <v>112</v>
      </c>
      <c r="B566" t="s">
        <v>113</v>
      </c>
      <c r="C566">
        <v>5</v>
      </c>
      <c r="D566">
        <v>3</v>
      </c>
      <c r="E566">
        <f t="shared" si="374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P566">
        <f t="shared" si="406"/>
        <v>88.563161743079007</v>
      </c>
      <c r="Q566">
        <f t="shared" si="407"/>
        <v>13813.011397614886</v>
      </c>
      <c r="R566">
        <f t="shared" si="408"/>
        <v>33196.374423491674</v>
      </c>
      <c r="S566">
        <f t="shared" si="409"/>
        <v>87970.392222252936</v>
      </c>
      <c r="T566">
        <v>114</v>
      </c>
      <c r="U566">
        <v>0.1</v>
      </c>
      <c r="V566">
        <v>0</v>
      </c>
    </row>
    <row r="567" spans="1:24" x14ac:dyDescent="0.25">
      <c r="A567" t="s">
        <v>112</v>
      </c>
      <c r="B567" t="s">
        <v>113</v>
      </c>
      <c r="C567">
        <v>6</v>
      </c>
      <c r="D567">
        <v>3</v>
      </c>
      <c r="E567">
        <f t="shared" si="374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P567">
        <f t="shared" si="406"/>
        <v>95.155926742739126</v>
      </c>
      <c r="Q567">
        <f t="shared" si="407"/>
        <v>17256.584213301328</v>
      </c>
      <c r="R567">
        <f t="shared" si="408"/>
        <v>41472.204309784494</v>
      </c>
      <c r="S567">
        <f t="shared" si="409"/>
        <v>109901.3414209289</v>
      </c>
      <c r="T567">
        <v>114</v>
      </c>
      <c r="U567">
        <v>0.1</v>
      </c>
      <c r="V567">
        <v>0</v>
      </c>
    </row>
    <row r="568" spans="1:24" x14ac:dyDescent="0.25">
      <c r="A568" t="s">
        <v>112</v>
      </c>
      <c r="B568" t="s">
        <v>113</v>
      </c>
      <c r="C568">
        <v>7</v>
      </c>
      <c r="D568">
        <v>3</v>
      </c>
      <c r="E568">
        <f t="shared" si="374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P568">
        <f t="shared" si="406"/>
        <v>100.03996717916007</v>
      </c>
      <c r="Q568">
        <f t="shared" si="407"/>
        <v>20153.092430026416</v>
      </c>
      <c r="R568">
        <f t="shared" si="408"/>
        <v>48433.291107970232</v>
      </c>
      <c r="S568">
        <f t="shared" si="409"/>
        <v>128348.22143612111</v>
      </c>
      <c r="T568">
        <v>114</v>
      </c>
      <c r="U568">
        <v>0.1</v>
      </c>
      <c r="V568">
        <v>0</v>
      </c>
    </row>
    <row r="569" spans="1:24" x14ac:dyDescent="0.25">
      <c r="A569" t="s">
        <v>112</v>
      </c>
      <c r="B569" t="s">
        <v>113</v>
      </c>
      <c r="C569">
        <v>8</v>
      </c>
      <c r="D569">
        <v>3</v>
      </c>
      <c r="E569">
        <f t="shared" si="374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P569">
        <f t="shared" si="406"/>
        <v>103.65815332500698</v>
      </c>
      <c r="Q569">
        <f t="shared" si="407"/>
        <v>22499.58307196404</v>
      </c>
      <c r="R569">
        <f t="shared" si="408"/>
        <v>54072.538024426911</v>
      </c>
      <c r="S569">
        <f t="shared" si="409"/>
        <v>143292.22576473129</v>
      </c>
      <c r="T569">
        <v>114</v>
      </c>
      <c r="U569">
        <v>0.1</v>
      </c>
      <c r="V569">
        <v>0</v>
      </c>
    </row>
    <row r="570" spans="1:24" x14ac:dyDescent="0.25">
      <c r="A570" t="s">
        <v>112</v>
      </c>
      <c r="B570" t="s">
        <v>113</v>
      </c>
      <c r="C570">
        <v>9</v>
      </c>
      <c r="D570">
        <v>3</v>
      </c>
      <c r="E570">
        <f t="shared" si="374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P570">
        <f t="shared" si="406"/>
        <v>106.33857154766854</v>
      </c>
      <c r="Q570">
        <f t="shared" si="407"/>
        <v>24352.596306280138</v>
      </c>
      <c r="R570">
        <f t="shared" si="408"/>
        <v>58525.826258784276</v>
      </c>
      <c r="S570">
        <f t="shared" si="409"/>
        <v>155093.43958577834</v>
      </c>
      <c r="T570">
        <v>114</v>
      </c>
      <c r="U570">
        <v>0.1</v>
      </c>
      <c r="V570">
        <v>0</v>
      </c>
    </row>
    <row r="571" spans="1:24" x14ac:dyDescent="0.25">
      <c r="A571" t="s">
        <v>112</v>
      </c>
      <c r="B571" t="s">
        <v>113</v>
      </c>
      <c r="C571">
        <v>10</v>
      </c>
      <c r="D571">
        <v>3</v>
      </c>
      <c r="E571">
        <f t="shared" si="374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P571">
        <f t="shared" si="406"/>
        <v>108.32427420606351</v>
      </c>
      <c r="Q571">
        <f t="shared" si="407"/>
        <v>25790.137840376858</v>
      </c>
      <c r="R571">
        <f t="shared" si="408"/>
        <v>61980.624466178459</v>
      </c>
      <c r="S571">
        <f t="shared" si="409"/>
        <v>164248.6548353729</v>
      </c>
      <c r="T571">
        <v>114</v>
      </c>
      <c r="U571">
        <v>0.1</v>
      </c>
      <c r="V571">
        <v>0</v>
      </c>
    </row>
    <row r="572" spans="1:24" x14ac:dyDescent="0.25">
      <c r="A572" t="s">
        <v>114</v>
      </c>
      <c r="B572" t="s">
        <v>115</v>
      </c>
      <c r="C572">
        <v>1</v>
      </c>
      <c r="D572">
        <v>2</v>
      </c>
      <c r="E572">
        <f t="shared" si="374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P572">
        <f>60.5*(1-EXP(-0.099*(E572)))</f>
        <v>10.867623885161221</v>
      </c>
      <c r="Q572">
        <f t="shared" ref="Q572" si="410">L572*(P572^M572)</f>
        <v>15.402281088118915</v>
      </c>
      <c r="R572">
        <f t="shared" ref="R572" si="411">Q572/20/5.7/3.65*1000</f>
        <v>37.015816121410516</v>
      </c>
      <c r="S572">
        <f t="shared" ref="S572" si="412">R572*2.65</f>
        <v>98.09191272173787</v>
      </c>
      <c r="T572">
        <v>60.5</v>
      </c>
      <c r="U572">
        <v>9.9000000000000005E-2</v>
      </c>
      <c r="V572">
        <v>0</v>
      </c>
      <c r="X572" t="s">
        <v>220</v>
      </c>
    </row>
    <row r="573" spans="1:24" x14ac:dyDescent="0.25">
      <c r="A573" t="s">
        <v>114</v>
      </c>
      <c r="B573" t="s">
        <v>115</v>
      </c>
      <c r="C573">
        <v>2</v>
      </c>
      <c r="D573">
        <v>2</v>
      </c>
      <c r="E573">
        <f t="shared" si="374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P573">
        <f t="shared" ref="P573:P581" si="413">60.5*(1-EXP(-0.099*(E573)))</f>
        <v>19.783094895788125</v>
      </c>
      <c r="Q573">
        <f t="shared" ref="Q573:Q581" si="414">L573*(P573^M573)</f>
        <v>92.910318473838259</v>
      </c>
      <c r="R573">
        <f t="shared" ref="R573:R581" si="415">Q573/20/5.7/3.65*1000</f>
        <v>223.28843661100279</v>
      </c>
      <c r="S573">
        <f t="shared" ref="S573:S581" si="416">R573*2.65</f>
        <v>591.71435701915743</v>
      </c>
      <c r="T573">
        <v>60.5</v>
      </c>
      <c r="U573">
        <v>9.9000000000000005E-2</v>
      </c>
      <c r="V573">
        <v>0</v>
      </c>
    </row>
    <row r="574" spans="1:24" x14ac:dyDescent="0.25">
      <c r="A574" t="s">
        <v>114</v>
      </c>
      <c r="B574" t="s">
        <v>115</v>
      </c>
      <c r="C574">
        <v>3</v>
      </c>
      <c r="D574">
        <v>2</v>
      </c>
      <c r="E574">
        <f t="shared" si="374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P574">
        <f t="shared" si="413"/>
        <v>27.097078539430697</v>
      </c>
      <c r="Q574">
        <f t="shared" si="414"/>
        <v>238.75290053153907</v>
      </c>
      <c r="R574">
        <f t="shared" si="415"/>
        <v>573.7873120200411</v>
      </c>
      <c r="S574">
        <f t="shared" si="416"/>
        <v>1520.5363768531088</v>
      </c>
      <c r="T574">
        <v>60.5</v>
      </c>
      <c r="U574">
        <v>9.9000000000000005E-2</v>
      </c>
      <c r="V574">
        <v>0</v>
      </c>
    </row>
    <row r="575" spans="1:24" x14ac:dyDescent="0.25">
      <c r="A575" t="s">
        <v>114</v>
      </c>
      <c r="B575" t="s">
        <v>115</v>
      </c>
      <c r="C575">
        <v>4</v>
      </c>
      <c r="D575">
        <v>2</v>
      </c>
      <c r="E575">
        <f t="shared" si="374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P575">
        <f t="shared" si="413"/>
        <v>33.097250227018264</v>
      </c>
      <c r="Q575">
        <f t="shared" si="414"/>
        <v>435.06784457378302</v>
      </c>
      <c r="R575">
        <f t="shared" si="415"/>
        <v>1045.5848223354553</v>
      </c>
      <c r="S575">
        <f t="shared" si="416"/>
        <v>2770.7997791889566</v>
      </c>
      <c r="T575">
        <v>60.5</v>
      </c>
      <c r="U575">
        <v>9.9000000000000005E-2</v>
      </c>
      <c r="V575">
        <v>0</v>
      </c>
    </row>
    <row r="576" spans="1:24" x14ac:dyDescent="0.25">
      <c r="A576" t="s">
        <v>114</v>
      </c>
      <c r="B576" t="s">
        <v>115</v>
      </c>
      <c r="C576">
        <v>5</v>
      </c>
      <c r="D576">
        <v>2</v>
      </c>
      <c r="E576">
        <f t="shared" si="374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P576">
        <f t="shared" si="413"/>
        <v>38.019610193166237</v>
      </c>
      <c r="Q576">
        <f t="shared" si="414"/>
        <v>659.48394244968597</v>
      </c>
      <c r="R576">
        <f t="shared" si="415"/>
        <v>1584.916948929791</v>
      </c>
      <c r="S576">
        <f t="shared" si="416"/>
        <v>4200.0299146639463</v>
      </c>
      <c r="T576">
        <v>60.5</v>
      </c>
      <c r="U576">
        <v>9.9000000000000005E-2</v>
      </c>
      <c r="V576">
        <v>0</v>
      </c>
    </row>
    <row r="577" spans="1:24" x14ac:dyDescent="0.25">
      <c r="A577" t="s">
        <v>114</v>
      </c>
      <c r="B577" t="s">
        <v>115</v>
      </c>
      <c r="C577">
        <v>6</v>
      </c>
      <c r="D577">
        <v>2</v>
      </c>
      <c r="E577">
        <f t="shared" si="374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P577">
        <f t="shared" si="413"/>
        <v>42.057765915686595</v>
      </c>
      <c r="Q577">
        <f t="shared" si="414"/>
        <v>892.72941441720616</v>
      </c>
      <c r="R577">
        <f t="shared" si="415"/>
        <v>2145.4684316683638</v>
      </c>
      <c r="S577">
        <f t="shared" si="416"/>
        <v>5685.4913439211641</v>
      </c>
      <c r="T577">
        <v>60.5</v>
      </c>
      <c r="U577">
        <v>9.9000000000000005E-2</v>
      </c>
      <c r="V577">
        <v>0</v>
      </c>
    </row>
    <row r="578" spans="1:24" x14ac:dyDescent="0.25">
      <c r="A578" t="s">
        <v>114</v>
      </c>
      <c r="B578" t="s">
        <v>115</v>
      </c>
      <c r="C578">
        <v>7</v>
      </c>
      <c r="D578">
        <v>2</v>
      </c>
      <c r="E578">
        <f t="shared" si="374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P578">
        <f t="shared" si="413"/>
        <v>45.370547132718308</v>
      </c>
      <c r="Q578">
        <f t="shared" si="414"/>
        <v>1120.7359308992993</v>
      </c>
      <c r="R578">
        <f t="shared" si="415"/>
        <v>2693.429298003603</v>
      </c>
      <c r="S578">
        <f t="shared" si="416"/>
        <v>7137.5876397095481</v>
      </c>
      <c r="T578">
        <v>60.5</v>
      </c>
      <c r="U578">
        <v>9.9000000000000005E-2</v>
      </c>
      <c r="V578">
        <v>0</v>
      </c>
    </row>
    <row r="579" spans="1:24" x14ac:dyDescent="0.25">
      <c r="A579" t="s">
        <v>114</v>
      </c>
      <c r="B579" t="s">
        <v>115</v>
      </c>
      <c r="C579">
        <v>8</v>
      </c>
      <c r="D579">
        <v>2</v>
      </c>
      <c r="E579">
        <f t="shared" ref="E579:E591" si="417">C579*D579</f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P579">
        <f t="shared" si="413"/>
        <v>48.088252973212384</v>
      </c>
      <c r="Q579">
        <f t="shared" si="414"/>
        <v>1334.4375215373411</v>
      </c>
      <c r="R579">
        <f t="shared" si="415"/>
        <v>3207.0115874485491</v>
      </c>
      <c r="S579">
        <f t="shared" si="416"/>
        <v>8498.580706738654</v>
      </c>
      <c r="T579">
        <v>60.5</v>
      </c>
      <c r="U579">
        <v>9.9000000000000005E-2</v>
      </c>
      <c r="V579">
        <v>0</v>
      </c>
    </row>
    <row r="580" spans="1:24" x14ac:dyDescent="0.25">
      <c r="A580" t="s">
        <v>114</v>
      </c>
      <c r="B580" t="s">
        <v>115</v>
      </c>
      <c r="C580">
        <v>9</v>
      </c>
      <c r="D580">
        <v>2</v>
      </c>
      <c r="E580">
        <f t="shared" si="417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P580">
        <f t="shared" si="413"/>
        <v>50.317776914450334</v>
      </c>
      <c r="Q580">
        <f t="shared" si="414"/>
        <v>1528.7820752793925</v>
      </c>
      <c r="R580">
        <f t="shared" si="415"/>
        <v>3674.0737209310082</v>
      </c>
      <c r="S580">
        <f t="shared" si="416"/>
        <v>9736.2953604671711</v>
      </c>
      <c r="T580">
        <v>60.5</v>
      </c>
      <c r="U580">
        <v>9.9000000000000005E-2</v>
      </c>
      <c r="V580">
        <v>0</v>
      </c>
    </row>
    <row r="581" spans="1:24" x14ac:dyDescent="0.25">
      <c r="A581" t="s">
        <v>114</v>
      </c>
      <c r="B581" t="s">
        <v>115</v>
      </c>
      <c r="C581">
        <v>10</v>
      </c>
      <c r="D581">
        <v>2</v>
      </c>
      <c r="E581">
        <f t="shared" si="417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P581">
        <f t="shared" si="413"/>
        <v>52.146811142690986</v>
      </c>
      <c r="Q581">
        <f t="shared" si="414"/>
        <v>1701.6275700194089</v>
      </c>
      <c r="R581">
        <f t="shared" si="415"/>
        <v>4089.4678443148491</v>
      </c>
      <c r="S581">
        <f t="shared" si="416"/>
        <v>10837.08978743435</v>
      </c>
      <c r="T581">
        <v>60.5</v>
      </c>
      <c r="U581">
        <v>9.9000000000000005E-2</v>
      </c>
      <c r="V581">
        <v>0</v>
      </c>
    </row>
    <row r="582" spans="1:24" x14ac:dyDescent="0.25">
      <c r="A582" t="s">
        <v>116</v>
      </c>
      <c r="B582" t="s">
        <v>117</v>
      </c>
      <c r="C582">
        <v>1</v>
      </c>
      <c r="D582">
        <v>1</v>
      </c>
      <c r="E582">
        <f t="shared" si="417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P582">
        <f>50*(1-EXP(-0.335*(E582)))</f>
        <v>14.233095682372005</v>
      </c>
      <c r="Q582">
        <f t="shared" ref="Q582" si="418">L582*(P582^M582)</f>
        <v>22.34674294714781</v>
      </c>
      <c r="R582">
        <f t="shared" ref="R582" si="419">Q582/20/5.7/3.65*1000</f>
        <v>53.705222175313168</v>
      </c>
      <c r="S582">
        <f t="shared" ref="S582" si="420">R582*2.65</f>
        <v>142.31883876457988</v>
      </c>
      <c r="T582">
        <v>50</v>
      </c>
      <c r="U582">
        <v>0.33500000000000002</v>
      </c>
      <c r="V582">
        <v>0</v>
      </c>
      <c r="X582" t="s">
        <v>221</v>
      </c>
    </row>
    <row r="583" spans="1:24" x14ac:dyDescent="0.25">
      <c r="A583" t="s">
        <v>116</v>
      </c>
      <c r="B583" t="s">
        <v>117</v>
      </c>
      <c r="C583">
        <v>2</v>
      </c>
      <c r="D583">
        <v>1</v>
      </c>
      <c r="E583">
        <f t="shared" si="417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P583">
        <f t="shared" ref="P583:P591" si="421">50*(1-EXP(-0.335*(E583)))</f>
        <v>24.414571110672878</v>
      </c>
      <c r="Q583">
        <f t="shared" ref="Q583:Q591" si="422">L583*(P583^M583)</f>
        <v>102.34826230305337</v>
      </c>
      <c r="R583">
        <f t="shared" ref="R583:R591" si="423">Q583/20/5.7/3.65*1000</f>
        <v>245.97034920224314</v>
      </c>
      <c r="S583">
        <f t="shared" ref="S583:S591" si="424">R583*2.65</f>
        <v>651.82142538594428</v>
      </c>
      <c r="T583">
        <v>50</v>
      </c>
      <c r="U583">
        <v>0.33500000000000002</v>
      </c>
      <c r="V583">
        <v>0</v>
      </c>
    </row>
    <row r="584" spans="1:24" x14ac:dyDescent="0.25">
      <c r="A584" t="s">
        <v>116</v>
      </c>
      <c r="B584" t="s">
        <v>117</v>
      </c>
      <c r="C584">
        <v>3</v>
      </c>
      <c r="D584">
        <v>1</v>
      </c>
      <c r="E584">
        <f t="shared" si="417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P584">
        <f t="shared" si="421"/>
        <v>31.697768259799229</v>
      </c>
      <c r="Q584">
        <f t="shared" si="422"/>
        <v>213.70314200022767</v>
      </c>
      <c r="R584">
        <f t="shared" si="423"/>
        <v>513.58601778473371</v>
      </c>
      <c r="S584">
        <f t="shared" si="424"/>
        <v>1361.0029471295443</v>
      </c>
      <c r="T584">
        <v>50</v>
      </c>
      <c r="U584">
        <v>0.33500000000000002</v>
      </c>
      <c r="V584">
        <v>0</v>
      </c>
    </row>
    <row r="585" spans="1:24" x14ac:dyDescent="0.25">
      <c r="A585" t="s">
        <v>116</v>
      </c>
      <c r="B585" t="s">
        <v>117</v>
      </c>
      <c r="C585">
        <v>4</v>
      </c>
      <c r="D585">
        <v>1</v>
      </c>
      <c r="E585">
        <f t="shared" si="417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P585">
        <f t="shared" si="421"/>
        <v>36.907716570983702</v>
      </c>
      <c r="Q585">
        <f t="shared" si="422"/>
        <v>328.23164678402168</v>
      </c>
      <c r="R585">
        <f t="shared" si="423"/>
        <v>788.8287593944284</v>
      </c>
      <c r="S585">
        <f t="shared" si="424"/>
        <v>2090.3962123952351</v>
      </c>
      <c r="T585">
        <v>50</v>
      </c>
      <c r="U585">
        <v>0.33500000000000002</v>
      </c>
      <c r="V585">
        <v>0</v>
      </c>
    </row>
    <row r="586" spans="1:24" x14ac:dyDescent="0.25">
      <c r="A586" t="s">
        <v>116</v>
      </c>
      <c r="B586" t="s">
        <v>117</v>
      </c>
      <c r="C586">
        <v>5</v>
      </c>
      <c r="D586">
        <v>1</v>
      </c>
      <c r="E586">
        <f t="shared" si="417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P586">
        <f t="shared" si="421"/>
        <v>40.634591025902154</v>
      </c>
      <c r="Q586">
        <f t="shared" si="422"/>
        <v>430.52307294985815</v>
      </c>
      <c r="R586">
        <f t="shared" si="423"/>
        <v>1034.6625161015577</v>
      </c>
      <c r="S586">
        <f t="shared" si="424"/>
        <v>2741.8556676691278</v>
      </c>
      <c r="T586">
        <v>50</v>
      </c>
      <c r="U586">
        <v>0.33500000000000002</v>
      </c>
      <c r="V586">
        <v>0</v>
      </c>
    </row>
    <row r="587" spans="1:24" x14ac:dyDescent="0.25">
      <c r="A587" t="s">
        <v>116</v>
      </c>
      <c r="B587" t="s">
        <v>117</v>
      </c>
      <c r="C587">
        <v>6</v>
      </c>
      <c r="D587">
        <v>1</v>
      </c>
      <c r="E587">
        <f t="shared" si="417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P587">
        <f t="shared" si="421"/>
        <v>43.300566266559755</v>
      </c>
      <c r="Q587">
        <f t="shared" si="422"/>
        <v>515.01739410924904</v>
      </c>
      <c r="R587">
        <f t="shared" si="423"/>
        <v>1237.7250519328265</v>
      </c>
      <c r="S587">
        <f t="shared" si="424"/>
        <v>3279.9713876219903</v>
      </c>
      <c r="T587">
        <v>50</v>
      </c>
      <c r="U587">
        <v>0.33500000000000002</v>
      </c>
      <c r="V587">
        <v>0</v>
      </c>
    </row>
    <row r="588" spans="1:24" x14ac:dyDescent="0.25">
      <c r="A588" t="s">
        <v>116</v>
      </c>
      <c r="B588" t="s">
        <v>117</v>
      </c>
      <c r="C588">
        <v>7</v>
      </c>
      <c r="D588">
        <v>1</v>
      </c>
      <c r="E588">
        <f t="shared" si="417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P588">
        <f t="shared" si="421"/>
        <v>45.207639893475069</v>
      </c>
      <c r="Q588">
        <f t="shared" si="422"/>
        <v>581.57722029877402</v>
      </c>
      <c r="R588">
        <f t="shared" si="423"/>
        <v>1397.686181924475</v>
      </c>
      <c r="S588">
        <f t="shared" si="424"/>
        <v>3703.8683820998585</v>
      </c>
      <c r="T588">
        <v>50</v>
      </c>
      <c r="U588">
        <v>0.33500000000000002</v>
      </c>
      <c r="V588">
        <v>0</v>
      </c>
    </row>
    <row r="589" spans="1:24" x14ac:dyDescent="0.25">
      <c r="A589" t="s">
        <v>116</v>
      </c>
      <c r="B589" t="s">
        <v>117</v>
      </c>
      <c r="C589">
        <v>8</v>
      </c>
      <c r="D589">
        <v>1</v>
      </c>
      <c r="E589">
        <f t="shared" si="417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P589">
        <f t="shared" si="421"/>
        <v>46.571842292286107</v>
      </c>
      <c r="Q589">
        <f t="shared" si="422"/>
        <v>632.43813909693336</v>
      </c>
      <c r="R589">
        <f t="shared" si="423"/>
        <v>1519.9186231601377</v>
      </c>
      <c r="S589">
        <f t="shared" si="424"/>
        <v>4027.7843513743646</v>
      </c>
      <c r="T589">
        <v>50</v>
      </c>
      <c r="U589">
        <v>0.33500000000000002</v>
      </c>
      <c r="V589">
        <v>0</v>
      </c>
    </row>
    <row r="590" spans="1:24" x14ac:dyDescent="0.25">
      <c r="A590" t="s">
        <v>116</v>
      </c>
      <c r="B590" t="s">
        <v>117</v>
      </c>
      <c r="C590">
        <v>9</v>
      </c>
      <c r="D590">
        <v>1</v>
      </c>
      <c r="E590">
        <f t="shared" si="417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P590">
        <f t="shared" si="421"/>
        <v>47.547708225649167</v>
      </c>
      <c r="Q590">
        <f t="shared" si="422"/>
        <v>670.5257398689505</v>
      </c>
      <c r="R590">
        <f t="shared" si="423"/>
        <v>1611.4533522445338</v>
      </c>
      <c r="S590">
        <f t="shared" si="424"/>
        <v>4270.3513834480145</v>
      </c>
      <c r="T590">
        <v>50</v>
      </c>
      <c r="U590">
        <v>0.33500000000000002</v>
      </c>
      <c r="V590">
        <v>0</v>
      </c>
    </row>
    <row r="591" spans="1:24" x14ac:dyDescent="0.25">
      <c r="A591" t="s">
        <v>116</v>
      </c>
      <c r="B591" t="s">
        <v>117</v>
      </c>
      <c r="C591">
        <v>10</v>
      </c>
      <c r="D591">
        <v>1</v>
      </c>
      <c r="E591">
        <f t="shared" si="417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P591">
        <f t="shared" si="421"/>
        <v>48.245782294957749</v>
      </c>
      <c r="Q591">
        <f t="shared" si="422"/>
        <v>698.65920903228539</v>
      </c>
      <c r="R591">
        <f t="shared" si="423"/>
        <v>1679.0656309355575</v>
      </c>
      <c r="S591">
        <f t="shared" si="424"/>
        <v>4449.5239219792275</v>
      </c>
      <c r="T591">
        <v>50</v>
      </c>
      <c r="U591">
        <v>0.33500000000000002</v>
      </c>
      <c r="V591">
        <v>0</v>
      </c>
    </row>
  </sheetData>
  <hyperlinks>
    <hyperlink ref="Z58" r:id="rId1"/>
    <hyperlink ref="Y58" r:id="rId2"/>
    <hyperlink ref="X58" r:id="rId3"/>
    <hyperlink ref="AA58" r:id="rId4"/>
    <hyperlink ref="AB58" r:id="rId5"/>
    <hyperlink ref="AC58" r:id="rId6"/>
    <hyperlink ref="AE58" r:id="rId7"/>
    <hyperlink ref="AD58" r:id="rId8"/>
    <hyperlink ref="AF58" r:id="rId9"/>
    <hyperlink ref="AG58" r:id="rId10"/>
    <hyperlink ref="AH58" r:id="rId11"/>
    <hyperlink ref="AI58" r:id="rId12"/>
    <hyperlink ref="AJ58" r:id="rId13"/>
    <hyperlink ref="AK58" r:id="rId14"/>
    <hyperlink ref="AL58" r:id="rId15"/>
    <hyperlink ref="AM58" r:id="rId16"/>
    <hyperlink ref="AN58" r:id="rId17"/>
    <hyperlink ref="AO58" r:id="rId18"/>
    <hyperlink ref="X118" r:id="rId19"/>
    <hyperlink ref="Y118" r:id="rId20"/>
    <hyperlink ref="Z118" r:id="rId21"/>
    <hyperlink ref="X138" r:id="rId22"/>
    <hyperlink ref="Y138" r:id="rId23"/>
    <hyperlink ref="Z138" r:id="rId24"/>
    <hyperlink ref="AA138" r:id="rId25"/>
    <hyperlink ref="AB138" r:id="rId26"/>
    <hyperlink ref="AC138" r:id="rId27"/>
    <hyperlink ref="AD138" r:id="rId28"/>
    <hyperlink ref="AE138" r:id="rId29"/>
    <hyperlink ref="X148" r:id="rId30"/>
    <hyperlink ref="Y148" r:id="rId31"/>
    <hyperlink ref="Z148" r:id="rId32"/>
    <hyperlink ref="AA148" r:id="rId33"/>
    <hyperlink ref="X88" r:id="rId34"/>
    <hyperlink ref="AA88" r:id="rId35"/>
    <hyperlink ref="Z88" r:id="rId36"/>
    <hyperlink ref="Z258" r:id="rId37"/>
    <hyperlink ref="AA258" r:id="rId38"/>
    <hyperlink ref="Y258" r:id="rId39"/>
    <hyperlink ref="X498" r:id="rId40"/>
    <hyperlink ref="Z498" r:id="rId41"/>
    <hyperlink ref="AA498" r:id="rId42"/>
    <hyperlink ref="AC498" r:id="rId43"/>
    <hyperlink ref="AD498" r:id="rId44"/>
    <hyperlink ref="Z428" r:id="rId45"/>
    <hyperlink ref="AA428" r:id="rId46"/>
    <hyperlink ref="AB428" r:id="rId47"/>
    <hyperlink ref="AC428" r:id="rId48"/>
    <hyperlink ref="AD428" r:id="rId49"/>
    <hyperlink ref="AE428" r:id="rId50"/>
    <hyperlink ref="X408" r:id="rId51"/>
    <hyperlink ref="AA408" r:id="rId52"/>
    <hyperlink ref="AE408" r:id="rId53"/>
    <hyperlink ref="AB408" r:id="rId54"/>
    <hyperlink ref="X328" r:id="rId55"/>
    <hyperlink ref="Y328" r:id="rId56"/>
    <hyperlink ref="Z328" r:id="rId57"/>
    <hyperlink ref="AA328" r:id="rId58"/>
    <hyperlink ref="AB328" r:id="rId59"/>
    <hyperlink ref="AC328" r:id="rId60"/>
    <hyperlink ref="AD328" r:id="rId61"/>
    <hyperlink ref="AE328" r:id="rId62"/>
    <hyperlink ref="AF328" r:id="rId63"/>
    <hyperlink ref="AG328" r:id="rId64"/>
    <hyperlink ref="X158" r:id="rId65"/>
    <hyperlink ref="Y158" r:id="rId66"/>
    <hyperlink ref="Z158" r:id="rId67"/>
    <hyperlink ref="X128" r:id="rId68"/>
    <hyperlink ref="Y128" r:id="rId69"/>
    <hyperlink ref="Z128" r:id="rId70"/>
    <hyperlink ref="AA128" r:id="rId71"/>
    <hyperlink ref="AB128" r:id="rId72"/>
    <hyperlink ref="AC128" r:id="rId73"/>
    <hyperlink ref="AD128" r:id="rId74"/>
    <hyperlink ref="AE128" r:id="rId75"/>
    <hyperlink ref="AF128" r:id="rId76"/>
    <hyperlink ref="AG128" r:id="rId77"/>
    <hyperlink ref="AH128" r:id="rId78"/>
    <hyperlink ref="X288" r:id="rId79"/>
    <hyperlink ref="Y288" r:id="rId80"/>
    <hyperlink ref="Z288" r:id="rId81"/>
    <hyperlink ref="X478" r:id="rId82"/>
    <hyperlink ref="Y478" r:id="rId83"/>
    <hyperlink ref="Z478" r:id="rId84"/>
    <hyperlink ref="X508" r:id="rId85"/>
    <hyperlink ref="X368" r:id="rId86"/>
    <hyperlink ref="X348" r:id="rId87"/>
    <hyperlink ref="Y348" r:id="rId88"/>
    <hyperlink ref="AA348" r:id="rId89"/>
    <hyperlink ref="Y385" r:id="rId90"/>
    <hyperlink ref="W385" r:id="rId91"/>
  </hyperlinks>
  <pageMargins left="0.7" right="0.7" top="0.75" bottom="0.75" header="0.3" footer="0.3"/>
  <pageSetup orientation="portrait" r:id="rId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D44" sqref="D44"/>
    </sheetView>
  </sheetViews>
  <sheetFormatPr defaultRowHeight="15" x14ac:dyDescent="0.25"/>
  <cols>
    <col min="1" max="1" width="14" bestFit="1" customWidth="1"/>
    <col min="2" max="2" width="5.28515625" bestFit="1" customWidth="1"/>
    <col min="3" max="3" width="14.85546875" bestFit="1" customWidth="1"/>
    <col min="4" max="4" width="10.140625" bestFit="1" customWidth="1"/>
    <col min="5" max="5" width="12" bestFit="1" customWidth="1"/>
    <col min="6" max="6" width="8.28515625" bestFit="1" customWidth="1"/>
  </cols>
  <sheetData>
    <row r="1" spans="1:6" x14ac:dyDescent="0.25">
      <c r="C1" s="2" t="s">
        <v>189</v>
      </c>
      <c r="D1" t="s">
        <v>190</v>
      </c>
      <c r="E1" t="s">
        <v>191</v>
      </c>
      <c r="F1" t="s">
        <v>192</v>
      </c>
    </row>
    <row r="2" spans="1:6" x14ac:dyDescent="0.25">
      <c r="A2" t="s">
        <v>141</v>
      </c>
      <c r="B2" t="s">
        <v>12</v>
      </c>
      <c r="C2">
        <v>3</v>
      </c>
      <c r="D2">
        <v>1</v>
      </c>
      <c r="E2">
        <v>10</v>
      </c>
      <c r="F2">
        <f t="shared" ref="F2:F33" si="0">E2*D2</f>
        <v>10</v>
      </c>
    </row>
    <row r="3" spans="1:6" x14ac:dyDescent="0.25">
      <c r="A3" t="s">
        <v>136</v>
      </c>
      <c r="B3" t="s">
        <v>14</v>
      </c>
      <c r="C3">
        <v>3</v>
      </c>
      <c r="D3">
        <v>3</v>
      </c>
      <c r="E3">
        <v>10</v>
      </c>
      <c r="F3">
        <f t="shared" si="0"/>
        <v>30</v>
      </c>
    </row>
    <row r="4" spans="1:6" x14ac:dyDescent="0.25">
      <c r="A4" t="s">
        <v>138</v>
      </c>
      <c r="B4" t="s">
        <v>16</v>
      </c>
      <c r="C4">
        <v>3</v>
      </c>
      <c r="D4">
        <v>3</v>
      </c>
      <c r="E4">
        <v>10</v>
      </c>
      <c r="F4">
        <f t="shared" si="0"/>
        <v>30</v>
      </c>
    </row>
    <row r="5" spans="1:6" x14ac:dyDescent="0.25">
      <c r="A5" t="s">
        <v>127</v>
      </c>
      <c r="B5" t="s">
        <v>18</v>
      </c>
      <c r="C5">
        <v>1</v>
      </c>
      <c r="D5">
        <v>1</v>
      </c>
      <c r="E5">
        <v>10</v>
      </c>
      <c r="F5">
        <f t="shared" si="0"/>
        <v>10</v>
      </c>
    </row>
    <row r="6" spans="1:6" x14ac:dyDescent="0.25">
      <c r="A6" t="s">
        <v>169</v>
      </c>
      <c r="B6" t="s">
        <v>20</v>
      </c>
      <c r="C6">
        <v>2</v>
      </c>
      <c r="D6">
        <v>7</v>
      </c>
      <c r="E6">
        <v>10</v>
      </c>
      <c r="F6">
        <f t="shared" si="0"/>
        <v>70</v>
      </c>
    </row>
    <row r="7" spans="1:6" x14ac:dyDescent="0.25">
      <c r="A7" t="s">
        <v>142</v>
      </c>
      <c r="B7" s="3" t="s">
        <v>185</v>
      </c>
      <c r="C7">
        <v>3</v>
      </c>
      <c r="D7">
        <v>1</v>
      </c>
      <c r="E7">
        <v>10</v>
      </c>
      <c r="F7">
        <f t="shared" si="0"/>
        <v>10</v>
      </c>
    </row>
    <row r="8" spans="1:6" x14ac:dyDescent="0.25">
      <c r="A8" t="s">
        <v>151</v>
      </c>
      <c r="B8" t="s">
        <v>22</v>
      </c>
      <c r="C8">
        <v>1</v>
      </c>
      <c r="D8">
        <v>2</v>
      </c>
      <c r="E8">
        <v>10</v>
      </c>
      <c r="F8">
        <f t="shared" si="0"/>
        <v>20</v>
      </c>
    </row>
    <row r="9" spans="1:6" x14ac:dyDescent="0.25">
      <c r="A9" t="s">
        <v>140</v>
      </c>
      <c r="B9" t="s">
        <v>24</v>
      </c>
      <c r="C9">
        <v>3</v>
      </c>
      <c r="D9">
        <v>1</v>
      </c>
      <c r="E9">
        <v>10</v>
      </c>
      <c r="F9">
        <f t="shared" si="0"/>
        <v>10</v>
      </c>
    </row>
    <row r="10" spans="1:6" x14ac:dyDescent="0.25">
      <c r="A10" t="s">
        <v>179</v>
      </c>
      <c r="B10" t="s">
        <v>26</v>
      </c>
      <c r="C10">
        <v>3</v>
      </c>
      <c r="D10">
        <v>9</v>
      </c>
      <c r="E10">
        <v>10</v>
      </c>
      <c r="F10">
        <f t="shared" si="0"/>
        <v>90</v>
      </c>
    </row>
    <row r="11" spans="1:6" x14ac:dyDescent="0.25">
      <c r="A11" t="s">
        <v>146</v>
      </c>
      <c r="B11" t="s">
        <v>28</v>
      </c>
      <c r="C11">
        <v>2</v>
      </c>
      <c r="D11">
        <v>2</v>
      </c>
      <c r="E11">
        <v>10</v>
      </c>
      <c r="F11">
        <f t="shared" si="0"/>
        <v>20</v>
      </c>
    </row>
    <row r="12" spans="1:6" x14ac:dyDescent="0.25">
      <c r="A12" t="s">
        <v>165</v>
      </c>
      <c r="B12" t="s">
        <v>30</v>
      </c>
      <c r="C12">
        <v>3</v>
      </c>
      <c r="D12">
        <v>4</v>
      </c>
      <c r="E12">
        <v>10</v>
      </c>
      <c r="F12">
        <f t="shared" si="0"/>
        <v>40</v>
      </c>
    </row>
    <row r="13" spans="1:6" x14ac:dyDescent="0.25">
      <c r="A13" t="s">
        <v>157</v>
      </c>
      <c r="B13" t="s">
        <v>32</v>
      </c>
      <c r="C13">
        <v>1</v>
      </c>
      <c r="D13">
        <v>2</v>
      </c>
      <c r="E13">
        <v>10</v>
      </c>
      <c r="F13">
        <f t="shared" si="0"/>
        <v>20</v>
      </c>
    </row>
    <row r="14" spans="1:6" x14ac:dyDescent="0.25">
      <c r="A14" t="s">
        <v>168</v>
      </c>
      <c r="B14" t="s">
        <v>34</v>
      </c>
      <c r="C14">
        <v>2</v>
      </c>
      <c r="D14">
        <v>5</v>
      </c>
      <c r="E14">
        <v>10</v>
      </c>
      <c r="F14">
        <f t="shared" si="0"/>
        <v>50</v>
      </c>
    </row>
    <row r="15" spans="1:6" x14ac:dyDescent="0.25">
      <c r="A15" t="s">
        <v>145</v>
      </c>
      <c r="B15" s="3" t="s">
        <v>186</v>
      </c>
      <c r="C15">
        <v>2</v>
      </c>
      <c r="D15">
        <v>1</v>
      </c>
      <c r="E15">
        <v>10</v>
      </c>
      <c r="F15">
        <f t="shared" si="0"/>
        <v>10</v>
      </c>
    </row>
    <row r="16" spans="1:6" x14ac:dyDescent="0.25">
      <c r="A16" t="s">
        <v>162</v>
      </c>
      <c r="B16" s="3" t="s">
        <v>187</v>
      </c>
      <c r="C16">
        <v>1</v>
      </c>
      <c r="D16">
        <v>2</v>
      </c>
      <c r="E16">
        <v>10</v>
      </c>
      <c r="F16">
        <f t="shared" si="0"/>
        <v>20</v>
      </c>
    </row>
    <row r="17" spans="1:6" x14ac:dyDescent="0.25">
      <c r="A17" t="s">
        <v>135</v>
      </c>
      <c r="B17" s="3" t="s">
        <v>183</v>
      </c>
      <c r="C17">
        <v>3</v>
      </c>
      <c r="D17">
        <v>2</v>
      </c>
      <c r="E17">
        <v>10</v>
      </c>
      <c r="F17">
        <f t="shared" si="0"/>
        <v>20</v>
      </c>
    </row>
    <row r="18" spans="1:6" x14ac:dyDescent="0.25">
      <c r="A18" t="s">
        <v>134</v>
      </c>
      <c r="B18" t="s">
        <v>36</v>
      </c>
      <c r="C18">
        <v>3</v>
      </c>
      <c r="D18">
        <v>2</v>
      </c>
      <c r="E18">
        <v>10</v>
      </c>
      <c r="F18">
        <f t="shared" si="0"/>
        <v>20</v>
      </c>
    </row>
    <row r="19" spans="1:6" x14ac:dyDescent="0.25">
      <c r="A19" t="s">
        <v>143</v>
      </c>
      <c r="B19" t="s">
        <v>38</v>
      </c>
      <c r="C19">
        <v>3</v>
      </c>
      <c r="D19">
        <v>1</v>
      </c>
      <c r="E19">
        <v>10</v>
      </c>
      <c r="F19">
        <f t="shared" si="0"/>
        <v>10</v>
      </c>
    </row>
    <row r="20" spans="1:6" x14ac:dyDescent="0.25">
      <c r="A20" t="s">
        <v>163</v>
      </c>
      <c r="B20" t="s">
        <v>40</v>
      </c>
      <c r="C20">
        <v>1</v>
      </c>
      <c r="D20">
        <v>2</v>
      </c>
      <c r="E20">
        <v>10</v>
      </c>
      <c r="F20">
        <f t="shared" si="0"/>
        <v>20</v>
      </c>
    </row>
    <row r="21" spans="1:6" x14ac:dyDescent="0.25">
      <c r="A21" t="s">
        <v>132</v>
      </c>
      <c r="B21" t="s">
        <v>42</v>
      </c>
      <c r="C21">
        <v>3</v>
      </c>
      <c r="D21">
        <v>2</v>
      </c>
      <c r="E21">
        <v>10</v>
      </c>
      <c r="F21">
        <f t="shared" si="0"/>
        <v>20</v>
      </c>
    </row>
    <row r="22" spans="1:6" x14ac:dyDescent="0.25">
      <c r="A22" t="s">
        <v>125</v>
      </c>
      <c r="B22" t="s">
        <v>44</v>
      </c>
      <c r="C22">
        <v>2</v>
      </c>
      <c r="D22">
        <v>1</v>
      </c>
      <c r="E22">
        <v>10</v>
      </c>
      <c r="F22">
        <f t="shared" si="0"/>
        <v>10</v>
      </c>
    </row>
    <row r="23" spans="1:6" x14ac:dyDescent="0.25">
      <c r="A23" t="s">
        <v>182</v>
      </c>
      <c r="B23" t="s">
        <v>46</v>
      </c>
      <c r="C23">
        <v>1</v>
      </c>
      <c r="D23">
        <v>2</v>
      </c>
      <c r="E23">
        <v>10</v>
      </c>
      <c r="F23">
        <f t="shared" si="0"/>
        <v>20</v>
      </c>
    </row>
    <row r="24" spans="1:6" x14ac:dyDescent="0.25">
      <c r="A24" t="s">
        <v>173</v>
      </c>
      <c r="B24" t="s">
        <v>48</v>
      </c>
      <c r="C24">
        <v>2</v>
      </c>
      <c r="D24">
        <v>3</v>
      </c>
      <c r="E24">
        <v>10</v>
      </c>
      <c r="F24">
        <f t="shared" si="0"/>
        <v>30</v>
      </c>
    </row>
    <row r="25" spans="1:6" x14ac:dyDescent="0.25">
      <c r="A25" t="s">
        <v>124</v>
      </c>
      <c r="B25" t="s">
        <v>50</v>
      </c>
      <c r="C25">
        <v>2</v>
      </c>
      <c r="D25">
        <v>1</v>
      </c>
      <c r="E25">
        <v>10</v>
      </c>
      <c r="F25">
        <f t="shared" si="0"/>
        <v>10</v>
      </c>
    </row>
    <row r="26" spans="1:6" x14ac:dyDescent="0.25">
      <c r="A26" t="s">
        <v>144</v>
      </c>
      <c r="B26" t="s">
        <v>52</v>
      </c>
      <c r="C26">
        <v>2</v>
      </c>
      <c r="D26">
        <v>1</v>
      </c>
      <c r="E26">
        <v>10</v>
      </c>
      <c r="F26">
        <f t="shared" si="0"/>
        <v>10</v>
      </c>
    </row>
    <row r="27" spans="1:6" x14ac:dyDescent="0.25">
      <c r="A27" t="s">
        <v>139</v>
      </c>
      <c r="B27" s="3" t="s">
        <v>184</v>
      </c>
      <c r="C27">
        <v>2</v>
      </c>
      <c r="D27">
        <v>1</v>
      </c>
      <c r="E27">
        <v>10</v>
      </c>
      <c r="F27">
        <f t="shared" si="0"/>
        <v>10</v>
      </c>
    </row>
    <row r="28" spans="1:6" x14ac:dyDescent="0.25">
      <c r="A28" t="s">
        <v>148</v>
      </c>
      <c r="B28" t="s">
        <v>54</v>
      </c>
      <c r="C28">
        <v>1</v>
      </c>
      <c r="D28">
        <v>2</v>
      </c>
      <c r="E28">
        <v>10</v>
      </c>
      <c r="F28">
        <f t="shared" si="0"/>
        <v>20</v>
      </c>
    </row>
    <row r="29" spans="1:6" x14ac:dyDescent="0.25">
      <c r="A29" t="s">
        <v>155</v>
      </c>
      <c r="B29" t="s">
        <v>56</v>
      </c>
      <c r="C29">
        <v>1</v>
      </c>
      <c r="D29">
        <v>2</v>
      </c>
      <c r="E29">
        <v>10</v>
      </c>
      <c r="F29">
        <f t="shared" si="0"/>
        <v>20</v>
      </c>
    </row>
    <row r="30" spans="1:6" x14ac:dyDescent="0.25">
      <c r="A30" t="s">
        <v>176</v>
      </c>
      <c r="B30" t="s">
        <v>58</v>
      </c>
      <c r="C30">
        <v>3</v>
      </c>
      <c r="D30">
        <v>3</v>
      </c>
      <c r="E30">
        <v>10</v>
      </c>
      <c r="F30">
        <f t="shared" si="0"/>
        <v>30</v>
      </c>
    </row>
    <row r="31" spans="1:6" x14ac:dyDescent="0.25">
      <c r="A31" t="s">
        <v>133</v>
      </c>
      <c r="B31" t="s">
        <v>60</v>
      </c>
      <c r="C31">
        <v>3</v>
      </c>
      <c r="D31">
        <v>2</v>
      </c>
      <c r="E31">
        <v>10</v>
      </c>
      <c r="F31">
        <f t="shared" si="0"/>
        <v>20</v>
      </c>
    </row>
    <row r="32" spans="1:6" x14ac:dyDescent="0.25">
      <c r="A32" t="s">
        <v>149</v>
      </c>
      <c r="B32" t="s">
        <v>62</v>
      </c>
      <c r="C32">
        <v>1</v>
      </c>
      <c r="D32">
        <v>2</v>
      </c>
      <c r="E32">
        <v>10</v>
      </c>
      <c r="F32">
        <f t="shared" si="0"/>
        <v>20</v>
      </c>
    </row>
    <row r="33" spans="1:6" x14ac:dyDescent="0.25">
      <c r="A33" t="s">
        <v>170</v>
      </c>
      <c r="B33" t="s">
        <v>64</v>
      </c>
      <c r="C33">
        <v>2</v>
      </c>
      <c r="D33">
        <v>7</v>
      </c>
      <c r="E33">
        <v>10</v>
      </c>
      <c r="F33">
        <f t="shared" si="0"/>
        <v>70</v>
      </c>
    </row>
    <row r="34" spans="1:6" x14ac:dyDescent="0.25">
      <c r="A34" t="s">
        <v>171</v>
      </c>
      <c r="B34" t="s">
        <v>66</v>
      </c>
      <c r="C34">
        <v>2</v>
      </c>
      <c r="D34">
        <v>7</v>
      </c>
      <c r="E34">
        <v>10</v>
      </c>
      <c r="F34">
        <f t="shared" ref="F34:F60" si="1">E34*D34</f>
        <v>70</v>
      </c>
    </row>
    <row r="35" spans="1:6" x14ac:dyDescent="0.25">
      <c r="A35" t="s">
        <v>154</v>
      </c>
      <c r="B35" t="s">
        <v>68</v>
      </c>
      <c r="C35">
        <v>1</v>
      </c>
      <c r="D35">
        <v>2</v>
      </c>
      <c r="E35">
        <v>10</v>
      </c>
      <c r="F35">
        <f t="shared" si="1"/>
        <v>20</v>
      </c>
    </row>
    <row r="36" spans="1:6" x14ac:dyDescent="0.25">
      <c r="A36" t="s">
        <v>177</v>
      </c>
      <c r="B36" t="s">
        <v>70</v>
      </c>
      <c r="C36">
        <v>2</v>
      </c>
      <c r="D36">
        <v>8</v>
      </c>
      <c r="E36">
        <v>10</v>
      </c>
      <c r="F36">
        <f t="shared" si="1"/>
        <v>80</v>
      </c>
    </row>
    <row r="37" spans="1:6" x14ac:dyDescent="0.25">
      <c r="A37" t="s">
        <v>150</v>
      </c>
      <c r="B37" t="s">
        <v>72</v>
      </c>
      <c r="C37">
        <v>1</v>
      </c>
      <c r="D37">
        <v>2</v>
      </c>
      <c r="E37">
        <v>10</v>
      </c>
      <c r="F37">
        <f t="shared" si="1"/>
        <v>20</v>
      </c>
    </row>
    <row r="38" spans="1:6" x14ac:dyDescent="0.25">
      <c r="A38" t="s">
        <v>178</v>
      </c>
      <c r="B38" t="s">
        <v>74</v>
      </c>
      <c r="C38">
        <v>3</v>
      </c>
      <c r="D38">
        <v>9</v>
      </c>
      <c r="E38">
        <v>10</v>
      </c>
      <c r="F38">
        <f t="shared" si="1"/>
        <v>90</v>
      </c>
    </row>
    <row r="39" spans="1:6" x14ac:dyDescent="0.25">
      <c r="A39" t="s">
        <v>156</v>
      </c>
      <c r="B39" t="s">
        <v>76</v>
      </c>
      <c r="C39">
        <v>1</v>
      </c>
      <c r="D39">
        <v>2</v>
      </c>
      <c r="E39">
        <v>10</v>
      </c>
      <c r="F39">
        <f t="shared" si="1"/>
        <v>20</v>
      </c>
    </row>
    <row r="40" spans="1:6" x14ac:dyDescent="0.25">
      <c r="A40" t="s">
        <v>175</v>
      </c>
      <c r="B40" t="s">
        <v>78</v>
      </c>
      <c r="C40">
        <v>1</v>
      </c>
      <c r="D40">
        <v>2</v>
      </c>
      <c r="E40">
        <v>10</v>
      </c>
      <c r="F40">
        <f t="shared" si="1"/>
        <v>20</v>
      </c>
    </row>
    <row r="41" spans="1:6" x14ac:dyDescent="0.25">
      <c r="A41" t="s">
        <v>152</v>
      </c>
      <c r="B41" t="s">
        <v>80</v>
      </c>
      <c r="C41">
        <v>1</v>
      </c>
      <c r="D41">
        <v>2</v>
      </c>
      <c r="E41">
        <v>10</v>
      </c>
      <c r="F41">
        <f t="shared" si="1"/>
        <v>20</v>
      </c>
    </row>
    <row r="42" spans="1:6" x14ac:dyDescent="0.25">
      <c r="A42" t="s">
        <v>161</v>
      </c>
      <c r="B42" t="s">
        <v>82</v>
      </c>
      <c r="C42">
        <v>1</v>
      </c>
      <c r="D42">
        <v>2</v>
      </c>
      <c r="E42">
        <v>10</v>
      </c>
      <c r="F42">
        <f t="shared" si="1"/>
        <v>20</v>
      </c>
    </row>
    <row r="43" spans="1:6" x14ac:dyDescent="0.25">
      <c r="A43" t="s">
        <v>147</v>
      </c>
      <c r="B43" t="s">
        <v>84</v>
      </c>
      <c r="C43">
        <v>3</v>
      </c>
      <c r="D43">
        <v>1</v>
      </c>
      <c r="E43">
        <v>10</v>
      </c>
      <c r="F43">
        <f t="shared" si="1"/>
        <v>10</v>
      </c>
    </row>
    <row r="44" spans="1:6" x14ac:dyDescent="0.25">
      <c r="A44" t="s">
        <v>174</v>
      </c>
      <c r="B44" s="3" t="s">
        <v>188</v>
      </c>
      <c r="C44">
        <v>2</v>
      </c>
      <c r="D44">
        <v>3</v>
      </c>
      <c r="E44">
        <v>10</v>
      </c>
      <c r="F44">
        <f t="shared" si="1"/>
        <v>30</v>
      </c>
    </row>
    <row r="45" spans="1:6" x14ac:dyDescent="0.25">
      <c r="A45" t="s">
        <v>166</v>
      </c>
      <c r="B45" t="s">
        <v>86</v>
      </c>
      <c r="C45">
        <v>2</v>
      </c>
      <c r="D45">
        <v>5</v>
      </c>
      <c r="E45">
        <v>10</v>
      </c>
      <c r="F45">
        <f t="shared" si="1"/>
        <v>50</v>
      </c>
    </row>
    <row r="46" spans="1:6" x14ac:dyDescent="0.25">
      <c r="A46" t="s">
        <v>167</v>
      </c>
      <c r="B46" t="s">
        <v>88</v>
      </c>
      <c r="C46">
        <v>2</v>
      </c>
      <c r="D46">
        <v>5</v>
      </c>
      <c r="E46">
        <v>10</v>
      </c>
      <c r="F46">
        <f t="shared" si="1"/>
        <v>50</v>
      </c>
    </row>
    <row r="47" spans="1:6" x14ac:dyDescent="0.25">
      <c r="A47" t="s">
        <v>158</v>
      </c>
      <c r="B47" t="s">
        <v>90</v>
      </c>
      <c r="C47">
        <v>1</v>
      </c>
      <c r="D47">
        <v>2</v>
      </c>
      <c r="E47">
        <v>10</v>
      </c>
      <c r="F47">
        <f t="shared" si="1"/>
        <v>20</v>
      </c>
    </row>
    <row r="48" spans="1:6" x14ac:dyDescent="0.25">
      <c r="A48" t="s">
        <v>129</v>
      </c>
      <c r="B48" t="s">
        <v>92</v>
      </c>
      <c r="C48">
        <v>3</v>
      </c>
      <c r="D48">
        <v>2</v>
      </c>
      <c r="E48">
        <v>10</v>
      </c>
      <c r="F48">
        <f t="shared" si="1"/>
        <v>20</v>
      </c>
    </row>
    <row r="49" spans="1:6" x14ac:dyDescent="0.25">
      <c r="A49" t="s">
        <v>180</v>
      </c>
      <c r="B49" t="s">
        <v>94</v>
      </c>
      <c r="C49">
        <v>3</v>
      </c>
      <c r="D49">
        <v>7</v>
      </c>
      <c r="E49">
        <v>10</v>
      </c>
      <c r="F49">
        <f t="shared" si="1"/>
        <v>70</v>
      </c>
    </row>
    <row r="50" spans="1:6" x14ac:dyDescent="0.25">
      <c r="A50" t="s">
        <v>159</v>
      </c>
      <c r="B50" t="s">
        <v>96</v>
      </c>
      <c r="C50">
        <v>1</v>
      </c>
      <c r="D50">
        <v>2</v>
      </c>
      <c r="E50">
        <v>10</v>
      </c>
      <c r="F50">
        <f t="shared" si="1"/>
        <v>20</v>
      </c>
    </row>
    <row r="51" spans="1:6" x14ac:dyDescent="0.25">
      <c r="A51" t="s">
        <v>137</v>
      </c>
      <c r="B51" t="s">
        <v>98</v>
      </c>
      <c r="C51">
        <v>3</v>
      </c>
      <c r="D51">
        <v>3</v>
      </c>
      <c r="E51">
        <v>10</v>
      </c>
      <c r="F51">
        <f t="shared" si="1"/>
        <v>30</v>
      </c>
    </row>
    <row r="52" spans="1:6" x14ac:dyDescent="0.25">
      <c r="A52" t="s">
        <v>181</v>
      </c>
      <c r="B52" t="s">
        <v>100</v>
      </c>
      <c r="C52">
        <v>3</v>
      </c>
      <c r="D52">
        <v>7</v>
      </c>
      <c r="E52">
        <v>10</v>
      </c>
      <c r="F52">
        <f t="shared" si="1"/>
        <v>70</v>
      </c>
    </row>
    <row r="53" spans="1:6" x14ac:dyDescent="0.25">
      <c r="A53" t="s">
        <v>153</v>
      </c>
      <c r="B53" t="s">
        <v>102</v>
      </c>
      <c r="C53">
        <v>1</v>
      </c>
      <c r="D53">
        <v>2</v>
      </c>
      <c r="E53">
        <v>10</v>
      </c>
      <c r="F53">
        <f t="shared" si="1"/>
        <v>20</v>
      </c>
    </row>
    <row r="54" spans="1:6" x14ac:dyDescent="0.25">
      <c r="A54" t="s">
        <v>126</v>
      </c>
      <c r="B54" t="s">
        <v>104</v>
      </c>
      <c r="C54">
        <v>3</v>
      </c>
      <c r="D54">
        <v>1</v>
      </c>
      <c r="E54">
        <v>10</v>
      </c>
      <c r="F54">
        <f t="shared" si="1"/>
        <v>10</v>
      </c>
    </row>
    <row r="55" spans="1:6" x14ac:dyDescent="0.25">
      <c r="A55" t="s">
        <v>130</v>
      </c>
      <c r="B55" t="s">
        <v>106</v>
      </c>
      <c r="C55">
        <v>3</v>
      </c>
      <c r="D55">
        <v>2</v>
      </c>
      <c r="E55">
        <v>10</v>
      </c>
      <c r="F55">
        <f t="shared" si="1"/>
        <v>20</v>
      </c>
    </row>
    <row r="56" spans="1:6" x14ac:dyDescent="0.25">
      <c r="A56" t="s">
        <v>160</v>
      </c>
      <c r="B56" t="s">
        <v>108</v>
      </c>
      <c r="C56">
        <v>1</v>
      </c>
      <c r="D56">
        <v>2</v>
      </c>
      <c r="E56">
        <v>10</v>
      </c>
      <c r="F56">
        <f t="shared" si="1"/>
        <v>20</v>
      </c>
    </row>
    <row r="57" spans="1:6" x14ac:dyDescent="0.25">
      <c r="A57" t="s">
        <v>128</v>
      </c>
      <c r="B57" t="s">
        <v>110</v>
      </c>
      <c r="C57">
        <v>3</v>
      </c>
      <c r="D57">
        <v>2</v>
      </c>
      <c r="E57">
        <v>10</v>
      </c>
      <c r="F57">
        <f t="shared" si="1"/>
        <v>20</v>
      </c>
    </row>
    <row r="58" spans="1:6" x14ac:dyDescent="0.25">
      <c r="A58" t="s">
        <v>172</v>
      </c>
      <c r="B58" t="s">
        <v>112</v>
      </c>
      <c r="C58">
        <v>2</v>
      </c>
      <c r="D58">
        <v>3</v>
      </c>
      <c r="E58">
        <v>10</v>
      </c>
      <c r="F58">
        <f t="shared" si="1"/>
        <v>30</v>
      </c>
    </row>
    <row r="59" spans="1:6" x14ac:dyDescent="0.25">
      <c r="A59" t="s">
        <v>131</v>
      </c>
      <c r="B59" t="s">
        <v>114</v>
      </c>
      <c r="C59">
        <v>3</v>
      </c>
      <c r="D59">
        <v>2</v>
      </c>
      <c r="E59">
        <v>10</v>
      </c>
      <c r="F59">
        <f t="shared" si="1"/>
        <v>20</v>
      </c>
    </row>
    <row r="60" spans="1:6" x14ac:dyDescent="0.25">
      <c r="A60" t="s">
        <v>164</v>
      </c>
      <c r="B60" t="s">
        <v>116</v>
      </c>
      <c r="C60">
        <v>2</v>
      </c>
      <c r="D60">
        <v>1</v>
      </c>
      <c r="E60">
        <v>10</v>
      </c>
      <c r="F60">
        <f t="shared" si="1"/>
        <v>10</v>
      </c>
    </row>
  </sheetData>
  <sortState ref="A1:G59">
    <sortCondition ref="B1:B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length_weight_v15_data</vt:lpstr>
      <vt:lpstr>length_weight_v15_calc_doc</vt:lpstr>
      <vt:lpstr>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2018-06-28T16:53:20Z</dcterms:created>
  <dcterms:modified xsi:type="dcterms:W3CDTF">2018-07-09T21:08:40Z</dcterms:modified>
</cp:coreProperties>
</file>