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681"/>
  </bookViews>
  <sheets>
    <sheet name="length_weight_v15_data" sheetId="1" r:id="rId1"/>
    <sheet name="Recruit_weights" sheetId="2" r:id="rId2"/>
    <sheet name="scrap" sheetId="3" r:id="rId3"/>
    <sheet name="length_weight_v15_calc_doc" sheetId="4" r:id="rId4"/>
    <sheet name="age" sheetId="5" r:id="rId5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0" i="5" l="1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Q591" i="4"/>
  <c r="R591" i="4" s="1"/>
  <c r="P591" i="4"/>
  <c r="E591" i="4"/>
  <c r="Q590" i="4"/>
  <c r="R590" i="4" s="1"/>
  <c r="S590" i="4" s="1"/>
  <c r="T590" i="4" s="1"/>
  <c r="P590" i="4"/>
  <c r="E590" i="4"/>
  <c r="E589" i="4"/>
  <c r="Q589" i="4" s="1"/>
  <c r="E588" i="4"/>
  <c r="Q588" i="4" s="1"/>
  <c r="E587" i="4"/>
  <c r="Q587" i="4" s="1"/>
  <c r="Q586" i="4"/>
  <c r="R586" i="4" s="1"/>
  <c r="P586" i="4"/>
  <c r="E586" i="4"/>
  <c r="E585" i="4"/>
  <c r="Q585" i="4" s="1"/>
  <c r="E584" i="4"/>
  <c r="Q584" i="4" s="1"/>
  <c r="R583" i="4"/>
  <c r="Q583" i="4"/>
  <c r="P583" i="4" s="1"/>
  <c r="E583" i="4"/>
  <c r="Q582" i="4"/>
  <c r="E582" i="4"/>
  <c r="R581" i="4"/>
  <c r="S581" i="4" s="1"/>
  <c r="T581" i="4" s="1"/>
  <c r="P581" i="4"/>
  <c r="O581" i="4"/>
  <c r="E581" i="4"/>
  <c r="Q581" i="4" s="1"/>
  <c r="E580" i="4"/>
  <c r="Q580" i="4" s="1"/>
  <c r="P579" i="4"/>
  <c r="E579" i="4"/>
  <c r="Q579" i="4" s="1"/>
  <c r="R579" i="4" s="1"/>
  <c r="Q578" i="4"/>
  <c r="E578" i="4"/>
  <c r="E577" i="4"/>
  <c r="Q577" i="4" s="1"/>
  <c r="Q576" i="4"/>
  <c r="E576" i="4"/>
  <c r="Q575" i="4"/>
  <c r="R575" i="4" s="1"/>
  <c r="P575" i="4"/>
  <c r="E575" i="4"/>
  <c r="S574" i="4"/>
  <c r="T574" i="4" s="1"/>
  <c r="Q574" i="4"/>
  <c r="R574" i="4" s="1"/>
  <c r="O574" i="4"/>
  <c r="E574" i="4"/>
  <c r="R573" i="4"/>
  <c r="S573" i="4" s="1"/>
  <c r="T573" i="4" s="1"/>
  <c r="P573" i="4"/>
  <c r="O573" i="4"/>
  <c r="E573" i="4"/>
  <c r="Q573" i="4" s="1"/>
  <c r="S572" i="4"/>
  <c r="T572" i="4" s="1"/>
  <c r="R572" i="4"/>
  <c r="O572" i="4" s="1"/>
  <c r="E572" i="4"/>
  <c r="Q572" i="4" s="1"/>
  <c r="P572" i="4" s="1"/>
  <c r="E571" i="4"/>
  <c r="Q571" i="4" s="1"/>
  <c r="Q570" i="4"/>
  <c r="E570" i="4"/>
  <c r="R569" i="4"/>
  <c r="O569" i="4" s="1"/>
  <c r="E569" i="4"/>
  <c r="Q569" i="4" s="1"/>
  <c r="P569" i="4" s="1"/>
  <c r="E568" i="4"/>
  <c r="Q568" i="4" s="1"/>
  <c r="Q567" i="4"/>
  <c r="E567" i="4"/>
  <c r="Q566" i="4"/>
  <c r="E566" i="4"/>
  <c r="R565" i="4"/>
  <c r="P565" i="4"/>
  <c r="E565" i="4"/>
  <c r="Q565" i="4" s="1"/>
  <c r="Q564" i="4"/>
  <c r="E564" i="4"/>
  <c r="R563" i="4"/>
  <c r="E563" i="4"/>
  <c r="Q563" i="4" s="1"/>
  <c r="P563" i="4" s="1"/>
  <c r="T562" i="4"/>
  <c r="Q562" i="4"/>
  <c r="R562" i="4" s="1"/>
  <c r="S562" i="4" s="1"/>
  <c r="P562" i="4"/>
  <c r="O562" i="4"/>
  <c r="E562" i="4"/>
  <c r="E561" i="4"/>
  <c r="Q561" i="4" s="1"/>
  <c r="P561" i="4" s="1"/>
  <c r="E560" i="4"/>
  <c r="Q560" i="4" s="1"/>
  <c r="Q559" i="4"/>
  <c r="R559" i="4" s="1"/>
  <c r="P559" i="4"/>
  <c r="E559" i="4"/>
  <c r="Q558" i="4"/>
  <c r="E558" i="4"/>
  <c r="R557" i="4"/>
  <c r="S557" i="4" s="1"/>
  <c r="T557" i="4" s="1"/>
  <c r="P557" i="4"/>
  <c r="O557" i="4"/>
  <c r="E557" i="4"/>
  <c r="Q557" i="4" s="1"/>
  <c r="R556" i="4"/>
  <c r="O556" i="4" s="1"/>
  <c r="E556" i="4"/>
  <c r="Q556" i="4" s="1"/>
  <c r="P556" i="4" s="1"/>
  <c r="E555" i="4"/>
  <c r="Q555" i="4" s="1"/>
  <c r="R555" i="4" s="1"/>
  <c r="Q554" i="4"/>
  <c r="E554" i="4"/>
  <c r="S553" i="4"/>
  <c r="T553" i="4" s="1"/>
  <c r="R553" i="4"/>
  <c r="O553" i="4" s="1"/>
  <c r="E553" i="4"/>
  <c r="Q553" i="4" s="1"/>
  <c r="P553" i="4" s="1"/>
  <c r="E552" i="4"/>
  <c r="Q552" i="4" s="1"/>
  <c r="Q551" i="4"/>
  <c r="R551" i="4" s="1"/>
  <c r="P551" i="4"/>
  <c r="E551" i="4"/>
  <c r="Q550" i="4"/>
  <c r="E550" i="4"/>
  <c r="R549" i="4"/>
  <c r="P549" i="4"/>
  <c r="E549" i="4"/>
  <c r="Q549" i="4" s="1"/>
  <c r="E548" i="4"/>
  <c r="Q548" i="4" s="1"/>
  <c r="R547" i="4"/>
  <c r="E547" i="4"/>
  <c r="Q547" i="4" s="1"/>
  <c r="P547" i="4" s="1"/>
  <c r="T546" i="4"/>
  <c r="Q546" i="4"/>
  <c r="R546" i="4" s="1"/>
  <c r="S546" i="4" s="1"/>
  <c r="P546" i="4"/>
  <c r="O546" i="4"/>
  <c r="E546" i="4"/>
  <c r="E545" i="4"/>
  <c r="Q545" i="4" s="1"/>
  <c r="P545" i="4" s="1"/>
  <c r="Q544" i="4"/>
  <c r="E544" i="4"/>
  <c r="Q543" i="4"/>
  <c r="R543" i="4" s="1"/>
  <c r="P543" i="4"/>
  <c r="E543" i="4"/>
  <c r="Q542" i="4"/>
  <c r="E542" i="4"/>
  <c r="R541" i="4"/>
  <c r="P541" i="4"/>
  <c r="E541" i="4"/>
  <c r="Q541" i="4" s="1"/>
  <c r="E540" i="4"/>
  <c r="Q540" i="4" s="1"/>
  <c r="P539" i="4"/>
  <c r="E539" i="4"/>
  <c r="Q539" i="4" s="1"/>
  <c r="R539" i="4" s="1"/>
  <c r="Q538" i="4"/>
  <c r="E538" i="4"/>
  <c r="E537" i="4"/>
  <c r="Q537" i="4" s="1"/>
  <c r="E536" i="4"/>
  <c r="Q536" i="4" s="1"/>
  <c r="R535" i="4"/>
  <c r="Q535" i="4"/>
  <c r="P535" i="4"/>
  <c r="E535" i="4"/>
  <c r="Q534" i="4"/>
  <c r="E534" i="4"/>
  <c r="R533" i="4"/>
  <c r="P533" i="4"/>
  <c r="E533" i="4"/>
  <c r="Q533" i="4" s="1"/>
  <c r="E532" i="4"/>
  <c r="Q532" i="4" s="1"/>
  <c r="R531" i="4"/>
  <c r="E531" i="4"/>
  <c r="Q531" i="4" s="1"/>
  <c r="P531" i="4" s="1"/>
  <c r="T530" i="4"/>
  <c r="Q530" i="4"/>
  <c r="R530" i="4" s="1"/>
  <c r="S530" i="4" s="1"/>
  <c r="P530" i="4"/>
  <c r="O530" i="4"/>
  <c r="E530" i="4"/>
  <c r="E529" i="4"/>
  <c r="Q529" i="4" s="1"/>
  <c r="P529" i="4" s="1"/>
  <c r="E528" i="4"/>
  <c r="Q528" i="4" s="1"/>
  <c r="Q527" i="4"/>
  <c r="R527" i="4" s="1"/>
  <c r="P527" i="4"/>
  <c r="E527" i="4"/>
  <c r="Q526" i="4"/>
  <c r="E526" i="4"/>
  <c r="R525" i="4"/>
  <c r="P525" i="4"/>
  <c r="E525" i="4"/>
  <c r="Q525" i="4" s="1"/>
  <c r="E524" i="4"/>
  <c r="Q524" i="4" s="1"/>
  <c r="E523" i="4"/>
  <c r="Q523" i="4" s="1"/>
  <c r="R523" i="4" s="1"/>
  <c r="Q522" i="4"/>
  <c r="E522" i="4"/>
  <c r="E521" i="4"/>
  <c r="Q521" i="4" s="1"/>
  <c r="P521" i="4" s="1"/>
  <c r="E520" i="4"/>
  <c r="Q520" i="4" s="1"/>
  <c r="Q519" i="4"/>
  <c r="E519" i="4"/>
  <c r="Q518" i="4"/>
  <c r="E518" i="4"/>
  <c r="R517" i="4"/>
  <c r="P517" i="4"/>
  <c r="E517" i="4"/>
  <c r="Q517" i="4" s="1"/>
  <c r="E516" i="4"/>
  <c r="Q516" i="4" s="1"/>
  <c r="R515" i="4"/>
  <c r="E515" i="4"/>
  <c r="Q515" i="4" s="1"/>
  <c r="P515" i="4" s="1"/>
  <c r="T514" i="4"/>
  <c r="Q514" i="4"/>
  <c r="R514" i="4" s="1"/>
  <c r="S514" i="4" s="1"/>
  <c r="P514" i="4"/>
  <c r="O514" i="4"/>
  <c r="E514" i="4"/>
  <c r="E513" i="4"/>
  <c r="Q513" i="4" s="1"/>
  <c r="P513" i="4" s="1"/>
  <c r="E512" i="4"/>
  <c r="Q512" i="4" s="1"/>
  <c r="E511" i="4"/>
  <c r="E510" i="4"/>
  <c r="E509" i="4"/>
  <c r="E508" i="4"/>
  <c r="E507" i="4"/>
  <c r="AA506" i="4"/>
  <c r="Y506" i="4"/>
  <c r="E506" i="4"/>
  <c r="E505" i="4"/>
  <c r="AA504" i="4"/>
  <c r="E504" i="4"/>
  <c r="AA503" i="4"/>
  <c r="AC503" i="4" s="1"/>
  <c r="U503" i="4"/>
  <c r="Q503" i="4" s="1"/>
  <c r="E503" i="4"/>
  <c r="AA502" i="4"/>
  <c r="Y502" i="4"/>
  <c r="AC502" i="4" s="1"/>
  <c r="AD502" i="4" s="1"/>
  <c r="E502" i="4"/>
  <c r="V501" i="4"/>
  <c r="E501" i="4"/>
  <c r="E500" i="4"/>
  <c r="V499" i="4"/>
  <c r="E499" i="4"/>
  <c r="V498" i="4"/>
  <c r="U498" i="4"/>
  <c r="Q498" i="4" s="1"/>
  <c r="E498" i="4"/>
  <c r="V497" i="4"/>
  <c r="E497" i="4"/>
  <c r="V496" i="4"/>
  <c r="E496" i="4"/>
  <c r="AH495" i="4"/>
  <c r="V495" i="4"/>
  <c r="U495" i="4"/>
  <c r="Q495" i="4" s="1"/>
  <c r="E495" i="4"/>
  <c r="AH494" i="4"/>
  <c r="E494" i="4"/>
  <c r="AH493" i="4"/>
  <c r="E493" i="4"/>
  <c r="U492" i="4"/>
  <c r="E492" i="4"/>
  <c r="E491" i="4"/>
  <c r="Q491" i="4" s="1"/>
  <c r="P491" i="4" s="1"/>
  <c r="E490" i="4"/>
  <c r="Q490" i="4" s="1"/>
  <c r="Q489" i="4"/>
  <c r="E489" i="4"/>
  <c r="R488" i="4"/>
  <c r="E488" i="4"/>
  <c r="Q488" i="4" s="1"/>
  <c r="P488" i="4" s="1"/>
  <c r="E487" i="4"/>
  <c r="Q487" i="4" s="1"/>
  <c r="E486" i="4"/>
  <c r="Q486" i="4" s="1"/>
  <c r="Q485" i="4"/>
  <c r="R485" i="4" s="1"/>
  <c r="S485" i="4" s="1"/>
  <c r="T485" i="4" s="1"/>
  <c r="P485" i="4"/>
  <c r="O485" i="4"/>
  <c r="E485" i="4"/>
  <c r="E484" i="4"/>
  <c r="Q484" i="4" s="1"/>
  <c r="E483" i="4"/>
  <c r="Q483" i="4" s="1"/>
  <c r="P483" i="4" s="1"/>
  <c r="E482" i="4"/>
  <c r="Q482" i="4" s="1"/>
  <c r="AA481" i="4"/>
  <c r="E481" i="4"/>
  <c r="U480" i="4"/>
  <c r="Q480" i="4" s="1"/>
  <c r="E480" i="4"/>
  <c r="E479" i="4"/>
  <c r="E478" i="4"/>
  <c r="E477" i="4"/>
  <c r="AA476" i="4"/>
  <c r="Z476" i="4"/>
  <c r="U476" i="4"/>
  <c r="Q476" i="4"/>
  <c r="E476" i="4"/>
  <c r="AA475" i="4"/>
  <c r="E475" i="4"/>
  <c r="U474" i="4"/>
  <c r="E474" i="4"/>
  <c r="AC473" i="4"/>
  <c r="AA473" i="4"/>
  <c r="Z473" i="4"/>
  <c r="Y473" i="4"/>
  <c r="E473" i="4"/>
  <c r="AA472" i="4"/>
  <c r="Z472" i="4"/>
  <c r="Y472" i="4"/>
  <c r="E472" i="4"/>
  <c r="E471" i="4"/>
  <c r="Q471" i="4" s="1"/>
  <c r="P470" i="4"/>
  <c r="E470" i="4"/>
  <c r="Q470" i="4" s="1"/>
  <c r="R470" i="4" s="1"/>
  <c r="S469" i="4"/>
  <c r="T469" i="4" s="1"/>
  <c r="Q469" i="4"/>
  <c r="R469" i="4" s="1"/>
  <c r="O469" i="4" s="1"/>
  <c r="P469" i="4"/>
  <c r="E469" i="4"/>
  <c r="T468" i="4"/>
  <c r="S468" i="4"/>
  <c r="E468" i="4"/>
  <c r="Q468" i="4" s="1"/>
  <c r="R468" i="4" s="1"/>
  <c r="O468" i="4" s="1"/>
  <c r="E467" i="4"/>
  <c r="Q467" i="4" s="1"/>
  <c r="Q466" i="4"/>
  <c r="P466" i="4" s="1"/>
  <c r="E466" i="4"/>
  <c r="Q465" i="4"/>
  <c r="E465" i="4"/>
  <c r="E464" i="4"/>
  <c r="Q464" i="4" s="1"/>
  <c r="E463" i="4"/>
  <c r="Q463" i="4" s="1"/>
  <c r="P463" i="4" s="1"/>
  <c r="E462" i="4"/>
  <c r="Q462" i="4" s="1"/>
  <c r="Q461" i="4"/>
  <c r="E461" i="4"/>
  <c r="E460" i="4"/>
  <c r="Q460" i="4" s="1"/>
  <c r="Q459" i="4"/>
  <c r="E459" i="4"/>
  <c r="E458" i="4"/>
  <c r="Q458" i="4" s="1"/>
  <c r="T457" i="4"/>
  <c r="Q457" i="4"/>
  <c r="R457" i="4" s="1"/>
  <c r="S457" i="4" s="1"/>
  <c r="P457" i="4"/>
  <c r="O457" i="4"/>
  <c r="E457" i="4"/>
  <c r="S456" i="4"/>
  <c r="T456" i="4" s="1"/>
  <c r="P456" i="4"/>
  <c r="O456" i="4"/>
  <c r="E456" i="4"/>
  <c r="Q456" i="4" s="1"/>
  <c r="R456" i="4" s="1"/>
  <c r="R455" i="4"/>
  <c r="E455" i="4"/>
  <c r="Q455" i="4" s="1"/>
  <c r="P455" i="4" s="1"/>
  <c r="Q454" i="4"/>
  <c r="E454" i="4"/>
  <c r="E453" i="4"/>
  <c r="Q453" i="4" s="1"/>
  <c r="O452" i="4"/>
  <c r="E452" i="4"/>
  <c r="Q452" i="4" s="1"/>
  <c r="R452" i="4" s="1"/>
  <c r="S452" i="4" s="1"/>
  <c r="T452" i="4" s="1"/>
  <c r="E451" i="4"/>
  <c r="Q451" i="4" s="1"/>
  <c r="P451" i="4" s="1"/>
  <c r="R450" i="4"/>
  <c r="Q450" i="4"/>
  <c r="P450" i="4"/>
  <c r="E450" i="4"/>
  <c r="R449" i="4"/>
  <c r="Q449" i="4"/>
  <c r="P449" i="4"/>
  <c r="E449" i="4"/>
  <c r="R448" i="4"/>
  <c r="Q448" i="4"/>
  <c r="P448" i="4"/>
  <c r="E448" i="4"/>
  <c r="E447" i="4"/>
  <c r="Q447" i="4" s="1"/>
  <c r="Q446" i="4"/>
  <c r="P446" i="4" s="1"/>
  <c r="E446" i="4"/>
  <c r="S445" i="4"/>
  <c r="T445" i="4" s="1"/>
  <c r="Q445" i="4"/>
  <c r="R445" i="4" s="1"/>
  <c r="P445" i="4"/>
  <c r="O445" i="4"/>
  <c r="E445" i="4"/>
  <c r="E444" i="4"/>
  <c r="Q444" i="4" s="1"/>
  <c r="R444" i="4" s="1"/>
  <c r="T443" i="4"/>
  <c r="Q443" i="4"/>
  <c r="R443" i="4" s="1"/>
  <c r="S443" i="4" s="1"/>
  <c r="P443" i="4"/>
  <c r="O443" i="4"/>
  <c r="E443" i="4"/>
  <c r="E442" i="4"/>
  <c r="Q442" i="4" s="1"/>
  <c r="E441" i="4"/>
  <c r="Q441" i="4" s="1"/>
  <c r="E440" i="4"/>
  <c r="Q440" i="4" s="1"/>
  <c r="R439" i="4"/>
  <c r="Q439" i="4"/>
  <c r="P439" i="4"/>
  <c r="E439" i="4"/>
  <c r="Q438" i="4"/>
  <c r="R438" i="4" s="1"/>
  <c r="P438" i="4"/>
  <c r="E438" i="4"/>
  <c r="E437" i="4"/>
  <c r="Q437" i="4" s="1"/>
  <c r="P436" i="4"/>
  <c r="E436" i="4"/>
  <c r="Q436" i="4" s="1"/>
  <c r="R436" i="4" s="1"/>
  <c r="S436" i="4" s="1"/>
  <c r="T436" i="4" s="1"/>
  <c r="P435" i="4"/>
  <c r="E435" i="4"/>
  <c r="Q435" i="4" s="1"/>
  <c r="R435" i="4" s="1"/>
  <c r="S434" i="4"/>
  <c r="T434" i="4" s="1"/>
  <c r="P434" i="4"/>
  <c r="E434" i="4"/>
  <c r="Q434" i="4" s="1"/>
  <c r="R434" i="4" s="1"/>
  <c r="O434" i="4" s="1"/>
  <c r="T433" i="4"/>
  <c r="R433" i="4"/>
  <c r="S433" i="4" s="1"/>
  <c r="O433" i="4"/>
  <c r="E433" i="4"/>
  <c r="Q433" i="4" s="1"/>
  <c r="P433" i="4" s="1"/>
  <c r="Q432" i="4"/>
  <c r="E432" i="4"/>
  <c r="W431" i="4"/>
  <c r="V431" i="4"/>
  <c r="U431" i="4"/>
  <c r="Q431" i="4" s="1"/>
  <c r="N431" i="4"/>
  <c r="K431" i="4"/>
  <c r="I431" i="4"/>
  <c r="J431" i="4" s="1"/>
  <c r="H431" i="4"/>
  <c r="E431" i="4"/>
  <c r="W430" i="4"/>
  <c r="H430" i="4"/>
  <c r="E430" i="4"/>
  <c r="N429" i="4"/>
  <c r="K429" i="4"/>
  <c r="J429" i="4"/>
  <c r="I429" i="4"/>
  <c r="H429" i="4"/>
  <c r="E429" i="4"/>
  <c r="I428" i="4"/>
  <c r="H428" i="4"/>
  <c r="N428" i="4" s="1"/>
  <c r="E428" i="4"/>
  <c r="W427" i="4"/>
  <c r="J427" i="4"/>
  <c r="I427" i="4"/>
  <c r="K427" i="4" s="1"/>
  <c r="H427" i="4"/>
  <c r="N427" i="4" s="1"/>
  <c r="E427" i="4"/>
  <c r="AH426" i="4"/>
  <c r="W426" i="4"/>
  <c r="H426" i="4"/>
  <c r="E426" i="4"/>
  <c r="AH425" i="4"/>
  <c r="W425" i="4"/>
  <c r="U425" i="4"/>
  <c r="I425" i="4"/>
  <c r="H425" i="4"/>
  <c r="N425" i="4" s="1"/>
  <c r="E425" i="4"/>
  <c r="AH424" i="4"/>
  <c r="W424" i="4"/>
  <c r="U424" i="4"/>
  <c r="I424" i="4"/>
  <c r="K424" i="4" s="1"/>
  <c r="H424" i="4"/>
  <c r="N424" i="4" s="1"/>
  <c r="E424" i="4"/>
  <c r="AH423" i="4"/>
  <c r="W423" i="4"/>
  <c r="U423" i="4"/>
  <c r="H423" i="4"/>
  <c r="E423" i="4"/>
  <c r="W422" i="4"/>
  <c r="N422" i="4"/>
  <c r="H422" i="4"/>
  <c r="I422" i="4" s="1"/>
  <c r="K422" i="4" s="1"/>
  <c r="E422" i="4"/>
  <c r="R421" i="4"/>
  <c r="S421" i="4" s="1"/>
  <c r="T421" i="4" s="1"/>
  <c r="P421" i="4"/>
  <c r="O421" i="4"/>
  <c r="E421" i="4"/>
  <c r="Q421" i="4" s="1"/>
  <c r="E420" i="4"/>
  <c r="Q420" i="4" s="1"/>
  <c r="E419" i="4"/>
  <c r="Q419" i="4" s="1"/>
  <c r="T418" i="4"/>
  <c r="R418" i="4"/>
  <c r="S418" i="4" s="1"/>
  <c r="Q418" i="4"/>
  <c r="P418" i="4"/>
  <c r="O418" i="4"/>
  <c r="E418" i="4"/>
  <c r="E417" i="4"/>
  <c r="Q417" i="4" s="1"/>
  <c r="Q416" i="4"/>
  <c r="R416" i="4" s="1"/>
  <c r="S416" i="4" s="1"/>
  <c r="T416" i="4" s="1"/>
  <c r="P416" i="4"/>
  <c r="O416" i="4"/>
  <c r="E416" i="4"/>
  <c r="O415" i="4"/>
  <c r="E415" i="4"/>
  <c r="Q415" i="4" s="1"/>
  <c r="R415" i="4" s="1"/>
  <c r="S415" i="4" s="1"/>
  <c r="T415" i="4" s="1"/>
  <c r="P414" i="4"/>
  <c r="E414" i="4"/>
  <c r="Q414" i="4" s="1"/>
  <c r="R414" i="4" s="1"/>
  <c r="E413" i="4"/>
  <c r="Q413" i="4" s="1"/>
  <c r="Q412" i="4"/>
  <c r="E412" i="4"/>
  <c r="E411" i="4"/>
  <c r="U410" i="4"/>
  <c r="E410" i="4"/>
  <c r="U409" i="4"/>
  <c r="E409" i="4"/>
  <c r="U408" i="4"/>
  <c r="E408" i="4"/>
  <c r="E407" i="4"/>
  <c r="E406" i="4"/>
  <c r="AH405" i="4"/>
  <c r="V406" i="4" s="1"/>
  <c r="V405" i="4"/>
  <c r="U405" i="4"/>
  <c r="Q405" i="4"/>
  <c r="E405" i="4"/>
  <c r="AH404" i="4"/>
  <c r="V404" i="4"/>
  <c r="U404" i="4"/>
  <c r="Q404" i="4"/>
  <c r="E404" i="4"/>
  <c r="AH403" i="4"/>
  <c r="V403" i="4"/>
  <c r="U403" i="4"/>
  <c r="E403" i="4"/>
  <c r="V402" i="4"/>
  <c r="E402" i="4"/>
  <c r="R401" i="4"/>
  <c r="O401" i="4" s="1"/>
  <c r="Q401" i="4"/>
  <c r="P401" i="4"/>
  <c r="E401" i="4"/>
  <c r="E400" i="4"/>
  <c r="Q400" i="4" s="1"/>
  <c r="Q399" i="4"/>
  <c r="E399" i="4"/>
  <c r="E398" i="4"/>
  <c r="Q398" i="4" s="1"/>
  <c r="Q397" i="4"/>
  <c r="E397" i="4"/>
  <c r="Q396" i="4"/>
  <c r="E396" i="4"/>
  <c r="R395" i="4"/>
  <c r="S395" i="4" s="1"/>
  <c r="T395" i="4" s="1"/>
  <c r="Q395" i="4"/>
  <c r="P395" i="4"/>
  <c r="O395" i="4"/>
  <c r="E395" i="4"/>
  <c r="E394" i="4"/>
  <c r="Q394" i="4" s="1"/>
  <c r="E393" i="4"/>
  <c r="Q393" i="4" s="1"/>
  <c r="Q392" i="4"/>
  <c r="E392" i="4"/>
  <c r="E391" i="4"/>
  <c r="Q391" i="4" s="1"/>
  <c r="Q390" i="4"/>
  <c r="R390" i="4" s="1"/>
  <c r="P390" i="4"/>
  <c r="E390" i="4"/>
  <c r="P389" i="4"/>
  <c r="E389" i="4"/>
  <c r="Q389" i="4" s="1"/>
  <c r="R389" i="4" s="1"/>
  <c r="T388" i="4"/>
  <c r="P388" i="4"/>
  <c r="E388" i="4"/>
  <c r="Q388" i="4" s="1"/>
  <c r="R388" i="4" s="1"/>
  <c r="S388" i="4" s="1"/>
  <c r="Y387" i="4"/>
  <c r="E387" i="4"/>
  <c r="Q387" i="4" s="1"/>
  <c r="AD386" i="4"/>
  <c r="AB386" i="4"/>
  <c r="R386" i="4"/>
  <c r="E386" i="4"/>
  <c r="Q386" i="4" s="1"/>
  <c r="P386" i="4" s="1"/>
  <c r="Q385" i="4"/>
  <c r="R385" i="4" s="1"/>
  <c r="S385" i="4" s="1"/>
  <c r="T385" i="4" s="1"/>
  <c r="P385" i="4"/>
  <c r="O385" i="4"/>
  <c r="E385" i="4"/>
  <c r="T384" i="4"/>
  <c r="S384" i="4"/>
  <c r="P384" i="4"/>
  <c r="E384" i="4"/>
  <c r="Q384" i="4" s="1"/>
  <c r="R384" i="4" s="1"/>
  <c r="O384" i="4" s="1"/>
  <c r="E383" i="4"/>
  <c r="Q383" i="4" s="1"/>
  <c r="AE382" i="4"/>
  <c r="AE386" i="4" s="1"/>
  <c r="AD382" i="4"/>
  <c r="AC382" i="4"/>
  <c r="AC386" i="4" s="1"/>
  <c r="AB382" i="4"/>
  <c r="AA382" i="4"/>
  <c r="AA386" i="4" s="1"/>
  <c r="AG386" i="4" s="1"/>
  <c r="Y388" i="4" s="1"/>
  <c r="Z382" i="4"/>
  <c r="R382" i="4"/>
  <c r="P382" i="4"/>
  <c r="E382" i="4"/>
  <c r="Q382" i="4" s="1"/>
  <c r="E381" i="4"/>
  <c r="Q381" i="4" s="1"/>
  <c r="AH380" i="4"/>
  <c r="E380" i="4"/>
  <c r="Q380" i="4" s="1"/>
  <c r="Q379" i="4"/>
  <c r="P379" i="4" s="1"/>
  <c r="E379" i="4"/>
  <c r="Q378" i="4"/>
  <c r="E378" i="4"/>
  <c r="E377" i="4"/>
  <c r="Q377" i="4" s="1"/>
  <c r="E376" i="4"/>
  <c r="Q376" i="4" s="1"/>
  <c r="E375" i="4"/>
  <c r="Q375" i="4" s="1"/>
  <c r="P375" i="4" s="1"/>
  <c r="Q374" i="4"/>
  <c r="E374" i="4"/>
  <c r="Q373" i="4"/>
  <c r="E373" i="4"/>
  <c r="Q372" i="4"/>
  <c r="E372" i="4"/>
  <c r="E371" i="4"/>
  <c r="E370" i="4"/>
  <c r="E369" i="4"/>
  <c r="E368" i="4"/>
  <c r="Y367" i="4"/>
  <c r="U367" i="4"/>
  <c r="Q367" i="4"/>
  <c r="P367" i="4" s="1"/>
  <c r="E367" i="4"/>
  <c r="Y366" i="4"/>
  <c r="U366" i="4"/>
  <c r="R366" i="4"/>
  <c r="Q366" i="4"/>
  <c r="P366" i="4" s="1"/>
  <c r="E366" i="4"/>
  <c r="Y365" i="4"/>
  <c r="U365" i="4"/>
  <c r="Q365" i="4" s="1"/>
  <c r="R365" i="4" s="1"/>
  <c r="AA365" i="4" s="1"/>
  <c r="S365" i="4"/>
  <c r="T365" i="4" s="1"/>
  <c r="P365" i="4"/>
  <c r="O365" i="4"/>
  <c r="E365" i="4"/>
  <c r="U364" i="4"/>
  <c r="E364" i="4"/>
  <c r="Q364" i="4" s="1"/>
  <c r="Y363" i="4"/>
  <c r="E363" i="4"/>
  <c r="Y362" i="4"/>
  <c r="Z362" i="4" s="1"/>
  <c r="U362" i="4"/>
  <c r="R362" i="4"/>
  <c r="Q362" i="4"/>
  <c r="P362" i="4" s="1"/>
  <c r="E362" i="4"/>
  <c r="Q361" i="4"/>
  <c r="E361" i="4"/>
  <c r="R360" i="4"/>
  <c r="Q360" i="4"/>
  <c r="P360" i="4"/>
  <c r="E360" i="4"/>
  <c r="R359" i="4"/>
  <c r="Q359" i="4"/>
  <c r="P359" i="4"/>
  <c r="E359" i="4"/>
  <c r="R358" i="4"/>
  <c r="P358" i="4"/>
  <c r="E358" i="4"/>
  <c r="Q358" i="4" s="1"/>
  <c r="E357" i="4"/>
  <c r="Q357" i="4" s="1"/>
  <c r="S356" i="4"/>
  <c r="T356" i="4" s="1"/>
  <c r="P356" i="4"/>
  <c r="O356" i="4"/>
  <c r="E356" i="4"/>
  <c r="Q356" i="4" s="1"/>
  <c r="R356" i="4" s="1"/>
  <c r="E355" i="4"/>
  <c r="Q355" i="4" s="1"/>
  <c r="E354" i="4"/>
  <c r="Q354" i="4" s="1"/>
  <c r="Q353" i="4"/>
  <c r="E353" i="4"/>
  <c r="S352" i="4"/>
  <c r="T352" i="4" s="1"/>
  <c r="Q352" i="4"/>
  <c r="R352" i="4" s="1"/>
  <c r="O352" i="4" s="1"/>
  <c r="P352" i="4"/>
  <c r="E352" i="4"/>
  <c r="E351" i="4"/>
  <c r="E350" i="4"/>
  <c r="E349" i="4"/>
  <c r="U348" i="4"/>
  <c r="Q348" i="4" s="1"/>
  <c r="E348" i="4"/>
  <c r="E347" i="4"/>
  <c r="E346" i="4"/>
  <c r="U345" i="4"/>
  <c r="Q345" i="4" s="1"/>
  <c r="E345" i="4"/>
  <c r="AC344" i="4"/>
  <c r="AB344" i="4"/>
  <c r="AA344" i="4"/>
  <c r="Z344" i="4"/>
  <c r="Y344" i="4"/>
  <c r="AE344" i="4" s="1"/>
  <c r="E344" i="4"/>
  <c r="AC343" i="4"/>
  <c r="AB343" i="4"/>
  <c r="AA343" i="4"/>
  <c r="Z343" i="4"/>
  <c r="Y343" i="4"/>
  <c r="AE343" i="4" s="1"/>
  <c r="E343" i="4"/>
  <c r="U342" i="4"/>
  <c r="Q342" i="4" s="1"/>
  <c r="E342" i="4"/>
  <c r="S341" i="4"/>
  <c r="T341" i="4" s="1"/>
  <c r="O341" i="4"/>
  <c r="E341" i="4"/>
  <c r="Q341" i="4" s="1"/>
  <c r="R341" i="4" s="1"/>
  <c r="Q340" i="4"/>
  <c r="E340" i="4"/>
  <c r="Q339" i="4"/>
  <c r="R339" i="4" s="1"/>
  <c r="P339" i="4"/>
  <c r="E339" i="4"/>
  <c r="R338" i="4"/>
  <c r="S338" i="4" s="1"/>
  <c r="T338" i="4" s="1"/>
  <c r="Q338" i="4"/>
  <c r="P338" i="4"/>
  <c r="O338" i="4"/>
  <c r="E338" i="4"/>
  <c r="Q337" i="4"/>
  <c r="E337" i="4"/>
  <c r="E336" i="4"/>
  <c r="Q336" i="4" s="1"/>
  <c r="R335" i="4"/>
  <c r="Q335" i="4"/>
  <c r="P335" i="4"/>
  <c r="E335" i="4"/>
  <c r="E334" i="4"/>
  <c r="Q334" i="4" s="1"/>
  <c r="E333" i="4"/>
  <c r="Q333" i="4" s="1"/>
  <c r="E332" i="4"/>
  <c r="Q332" i="4" s="1"/>
  <c r="V331" i="4"/>
  <c r="E331" i="4"/>
  <c r="V330" i="4"/>
  <c r="U330" i="4"/>
  <c r="E330" i="4"/>
  <c r="U329" i="4"/>
  <c r="E329" i="4"/>
  <c r="U328" i="4"/>
  <c r="E328" i="4"/>
  <c r="V327" i="4"/>
  <c r="E327" i="4"/>
  <c r="U326" i="4"/>
  <c r="Q326" i="4" s="1"/>
  <c r="E326" i="4"/>
  <c r="AK325" i="4"/>
  <c r="V326" i="4" s="1"/>
  <c r="V325" i="4"/>
  <c r="Q325" i="4" s="1"/>
  <c r="U325" i="4"/>
  <c r="E325" i="4"/>
  <c r="AK324" i="4"/>
  <c r="V324" i="4"/>
  <c r="U324" i="4"/>
  <c r="Q324" i="4"/>
  <c r="E324" i="4"/>
  <c r="AK323" i="4"/>
  <c r="E323" i="4"/>
  <c r="V322" i="4"/>
  <c r="E322" i="4"/>
  <c r="E321" i="4"/>
  <c r="Q321" i="4" s="1"/>
  <c r="Q320" i="4"/>
  <c r="E320" i="4"/>
  <c r="Q319" i="4"/>
  <c r="E319" i="4"/>
  <c r="S318" i="4"/>
  <c r="T318" i="4" s="1"/>
  <c r="P318" i="4"/>
  <c r="O318" i="4"/>
  <c r="E318" i="4"/>
  <c r="Q318" i="4" s="1"/>
  <c r="R318" i="4" s="1"/>
  <c r="E317" i="4"/>
  <c r="Q317" i="4" s="1"/>
  <c r="R316" i="4"/>
  <c r="E316" i="4"/>
  <c r="Q316" i="4" s="1"/>
  <c r="P316" i="4" s="1"/>
  <c r="Q315" i="4"/>
  <c r="E315" i="4"/>
  <c r="S314" i="4"/>
  <c r="T314" i="4" s="1"/>
  <c r="R314" i="4"/>
  <c r="Q314" i="4"/>
  <c r="P314" i="4"/>
  <c r="O314" i="4"/>
  <c r="E314" i="4"/>
  <c r="Q313" i="4"/>
  <c r="R313" i="4" s="1"/>
  <c r="P313" i="4"/>
  <c r="E313" i="4"/>
  <c r="E312" i="4"/>
  <c r="Q312" i="4" s="1"/>
  <c r="R312" i="4" s="1"/>
  <c r="Q311" i="4"/>
  <c r="E311" i="4"/>
  <c r="S310" i="4"/>
  <c r="T310" i="4" s="1"/>
  <c r="R310" i="4"/>
  <c r="P310" i="4"/>
  <c r="O310" i="4"/>
  <c r="E310" i="4"/>
  <c r="Q310" i="4" s="1"/>
  <c r="E309" i="4"/>
  <c r="Q309" i="4" s="1"/>
  <c r="E308" i="4"/>
  <c r="Q308" i="4" s="1"/>
  <c r="R308" i="4" s="1"/>
  <c r="R307" i="4"/>
  <c r="Q307" i="4"/>
  <c r="P307" i="4"/>
  <c r="E307" i="4"/>
  <c r="Q306" i="4"/>
  <c r="E306" i="4"/>
  <c r="Q305" i="4"/>
  <c r="R305" i="4" s="1"/>
  <c r="O305" i="4" s="1"/>
  <c r="P305" i="4"/>
  <c r="E305" i="4"/>
  <c r="E304" i="4"/>
  <c r="Q304" i="4" s="1"/>
  <c r="E303" i="4"/>
  <c r="Q303" i="4" s="1"/>
  <c r="E302" i="4"/>
  <c r="Q302" i="4" s="1"/>
  <c r="Q301" i="4"/>
  <c r="E301" i="4"/>
  <c r="Q300" i="4"/>
  <c r="E300" i="4"/>
  <c r="T299" i="4"/>
  <c r="Q299" i="4"/>
  <c r="R299" i="4" s="1"/>
  <c r="S299" i="4" s="1"/>
  <c r="P299" i="4"/>
  <c r="O299" i="4"/>
  <c r="E299" i="4"/>
  <c r="O298" i="4"/>
  <c r="E298" i="4"/>
  <c r="Q298" i="4" s="1"/>
  <c r="R298" i="4" s="1"/>
  <c r="S298" i="4" s="1"/>
  <c r="T298" i="4" s="1"/>
  <c r="Q297" i="4"/>
  <c r="P297" i="4" s="1"/>
  <c r="E297" i="4"/>
  <c r="Q296" i="4"/>
  <c r="E296" i="4"/>
  <c r="E295" i="4"/>
  <c r="Q295" i="4" s="1"/>
  <c r="P294" i="4"/>
  <c r="O294" i="4"/>
  <c r="E294" i="4"/>
  <c r="Q294" i="4" s="1"/>
  <c r="R294" i="4" s="1"/>
  <c r="S294" i="4" s="1"/>
  <c r="T294" i="4" s="1"/>
  <c r="E293" i="4"/>
  <c r="Q293" i="4" s="1"/>
  <c r="Q292" i="4"/>
  <c r="R292" i="4" s="1"/>
  <c r="E292" i="4"/>
  <c r="Z291" i="4"/>
  <c r="Y291" i="4"/>
  <c r="E291" i="4"/>
  <c r="E290" i="4"/>
  <c r="E289" i="4"/>
  <c r="E288" i="4"/>
  <c r="E287" i="4"/>
  <c r="E286" i="4"/>
  <c r="Z285" i="4"/>
  <c r="Y285" i="4"/>
  <c r="U285" i="4"/>
  <c r="Q285" i="4" s="1"/>
  <c r="E285" i="4"/>
  <c r="U284" i="4"/>
  <c r="Q284" i="4" s="1"/>
  <c r="R284" i="4" s="1"/>
  <c r="P284" i="4"/>
  <c r="E284" i="4"/>
  <c r="AB283" i="4"/>
  <c r="AC283" i="4" s="1"/>
  <c r="AA283" i="4"/>
  <c r="Z283" i="4"/>
  <c r="Y283" i="4"/>
  <c r="U283" i="4"/>
  <c r="Q283" i="4" s="1"/>
  <c r="E283" i="4"/>
  <c r="AB282" i="4"/>
  <c r="AA282" i="4"/>
  <c r="Z282" i="4"/>
  <c r="Y282" i="4"/>
  <c r="E282" i="4"/>
  <c r="R281" i="4"/>
  <c r="E281" i="4"/>
  <c r="Q281" i="4" s="1"/>
  <c r="P281" i="4" s="1"/>
  <c r="Q280" i="4"/>
  <c r="R280" i="4" s="1"/>
  <c r="S280" i="4" s="1"/>
  <c r="T280" i="4" s="1"/>
  <c r="P280" i="4"/>
  <c r="O280" i="4"/>
  <c r="E280" i="4"/>
  <c r="E279" i="4"/>
  <c r="Q279" i="4" s="1"/>
  <c r="R278" i="4"/>
  <c r="P278" i="4"/>
  <c r="E278" i="4"/>
  <c r="Q278" i="4" s="1"/>
  <c r="E277" i="4"/>
  <c r="Q277" i="4" s="1"/>
  <c r="Q276" i="4"/>
  <c r="E276" i="4"/>
  <c r="T275" i="4"/>
  <c r="S275" i="4"/>
  <c r="R275" i="4"/>
  <c r="Q275" i="4"/>
  <c r="P275" i="4"/>
  <c r="O275" i="4"/>
  <c r="E275" i="4"/>
  <c r="R274" i="4"/>
  <c r="O274" i="4" s="1"/>
  <c r="Q274" i="4"/>
  <c r="P274" i="4" s="1"/>
  <c r="E274" i="4"/>
  <c r="E273" i="4"/>
  <c r="Q273" i="4" s="1"/>
  <c r="E272" i="4"/>
  <c r="Q272" i="4" s="1"/>
  <c r="S271" i="4"/>
  <c r="T271" i="4" s="1"/>
  <c r="Q271" i="4"/>
  <c r="R271" i="4" s="1"/>
  <c r="O271" i="4" s="1"/>
  <c r="P271" i="4"/>
  <c r="E271" i="4"/>
  <c r="E270" i="4"/>
  <c r="Q270" i="4" s="1"/>
  <c r="E269" i="4"/>
  <c r="Q269" i="4" s="1"/>
  <c r="S268" i="4"/>
  <c r="T268" i="4" s="1"/>
  <c r="R268" i="4"/>
  <c r="O268" i="4" s="1"/>
  <c r="E268" i="4"/>
  <c r="Q268" i="4" s="1"/>
  <c r="P268" i="4" s="1"/>
  <c r="R267" i="4"/>
  <c r="Q267" i="4"/>
  <c r="P267" i="4"/>
  <c r="E267" i="4"/>
  <c r="R266" i="4"/>
  <c r="Q266" i="4"/>
  <c r="P266" i="4"/>
  <c r="E266" i="4"/>
  <c r="P265" i="4"/>
  <c r="E265" i="4"/>
  <c r="Q265" i="4" s="1"/>
  <c r="R265" i="4" s="1"/>
  <c r="Q264" i="4"/>
  <c r="E264" i="4"/>
  <c r="E263" i="4"/>
  <c r="Q263" i="4" s="1"/>
  <c r="T262" i="4"/>
  <c r="R262" i="4"/>
  <c r="S262" i="4" s="1"/>
  <c r="P262" i="4"/>
  <c r="O262" i="4"/>
  <c r="E262" i="4"/>
  <c r="Q262" i="4" s="1"/>
  <c r="W261" i="4"/>
  <c r="V261" i="4"/>
  <c r="U261" i="4"/>
  <c r="Q261" i="4"/>
  <c r="H261" i="4"/>
  <c r="E261" i="4"/>
  <c r="W260" i="4"/>
  <c r="V260" i="4"/>
  <c r="U260" i="4"/>
  <c r="H260" i="4"/>
  <c r="E260" i="4"/>
  <c r="W259" i="4"/>
  <c r="Q259" i="4" s="1"/>
  <c r="V259" i="4"/>
  <c r="U259" i="4"/>
  <c r="H259" i="4"/>
  <c r="I259" i="4" s="1"/>
  <c r="E259" i="4"/>
  <c r="W258" i="4"/>
  <c r="V258" i="4"/>
  <c r="U258" i="4"/>
  <c r="N258" i="4"/>
  <c r="K258" i="4"/>
  <c r="H258" i="4"/>
  <c r="I258" i="4" s="1"/>
  <c r="J258" i="4" s="1"/>
  <c r="E258" i="4"/>
  <c r="W257" i="4"/>
  <c r="V257" i="4"/>
  <c r="Q257" i="4" s="1"/>
  <c r="U257" i="4"/>
  <c r="N257" i="4"/>
  <c r="I257" i="4"/>
  <c r="H257" i="4"/>
  <c r="E257" i="4"/>
  <c r="W256" i="4"/>
  <c r="V256" i="4"/>
  <c r="U256" i="4"/>
  <c r="N256" i="4"/>
  <c r="I256" i="4"/>
  <c r="H256" i="4"/>
  <c r="E256" i="4"/>
  <c r="W255" i="4"/>
  <c r="V255" i="4"/>
  <c r="U255" i="4"/>
  <c r="Q255" i="4" s="1"/>
  <c r="P255" i="4" s="1"/>
  <c r="N255" i="4"/>
  <c r="H255" i="4"/>
  <c r="I255" i="4" s="1"/>
  <c r="E255" i="4"/>
  <c r="W254" i="4"/>
  <c r="V254" i="4"/>
  <c r="U254" i="4"/>
  <c r="Q254" i="4" s="1"/>
  <c r="H254" i="4"/>
  <c r="N254" i="4" s="1"/>
  <c r="E254" i="4"/>
  <c r="W253" i="4"/>
  <c r="V253" i="4"/>
  <c r="U253" i="4"/>
  <c r="R253" i="4"/>
  <c r="Q253" i="4"/>
  <c r="P253" i="4" s="1"/>
  <c r="I253" i="4"/>
  <c r="J253" i="4" s="1"/>
  <c r="H253" i="4"/>
  <c r="N253" i="4" s="1"/>
  <c r="E253" i="4"/>
  <c r="W252" i="4"/>
  <c r="V252" i="4"/>
  <c r="U252" i="4"/>
  <c r="I252" i="4"/>
  <c r="H252" i="4"/>
  <c r="N252" i="4" s="1"/>
  <c r="E252" i="4"/>
  <c r="S251" i="4"/>
  <c r="T251" i="4" s="1"/>
  <c r="R251" i="4"/>
  <c r="O251" i="4" s="1"/>
  <c r="E251" i="4"/>
  <c r="Q251" i="4" s="1"/>
  <c r="P251" i="4" s="1"/>
  <c r="R250" i="4"/>
  <c r="S250" i="4" s="1"/>
  <c r="T250" i="4" s="1"/>
  <c r="Q250" i="4"/>
  <c r="P250" i="4" s="1"/>
  <c r="O250" i="4"/>
  <c r="E250" i="4"/>
  <c r="Q249" i="4"/>
  <c r="E249" i="4"/>
  <c r="Q248" i="4"/>
  <c r="E248" i="4"/>
  <c r="S247" i="4"/>
  <c r="T247" i="4" s="1"/>
  <c r="E247" i="4"/>
  <c r="Q247" i="4" s="1"/>
  <c r="R247" i="4" s="1"/>
  <c r="O247" i="4" s="1"/>
  <c r="E246" i="4"/>
  <c r="Q246" i="4" s="1"/>
  <c r="Q245" i="4"/>
  <c r="E245" i="4"/>
  <c r="P244" i="4"/>
  <c r="O244" i="4"/>
  <c r="E244" i="4"/>
  <c r="Q244" i="4" s="1"/>
  <c r="R244" i="4" s="1"/>
  <c r="S244" i="4" s="1"/>
  <c r="T244" i="4" s="1"/>
  <c r="E243" i="4"/>
  <c r="Q243" i="4" s="1"/>
  <c r="R243" i="4" s="1"/>
  <c r="E242" i="4"/>
  <c r="Q242" i="4" s="1"/>
  <c r="P242" i="4" s="1"/>
  <c r="R241" i="4"/>
  <c r="O241" i="4" s="1"/>
  <c r="Q241" i="4"/>
  <c r="P241" i="4"/>
  <c r="E241" i="4"/>
  <c r="Q240" i="4"/>
  <c r="R240" i="4" s="1"/>
  <c r="S240" i="4" s="1"/>
  <c r="T240" i="4" s="1"/>
  <c r="P240" i="4"/>
  <c r="O240" i="4"/>
  <c r="E240" i="4"/>
  <c r="O239" i="4"/>
  <c r="E239" i="4"/>
  <c r="Q239" i="4" s="1"/>
  <c r="R239" i="4" s="1"/>
  <c r="S239" i="4" s="1"/>
  <c r="T239" i="4" s="1"/>
  <c r="P238" i="4"/>
  <c r="E238" i="4"/>
  <c r="Q238" i="4" s="1"/>
  <c r="R238" i="4" s="1"/>
  <c r="O238" i="4" s="1"/>
  <c r="E237" i="4"/>
  <c r="Q237" i="4" s="1"/>
  <c r="Q236" i="4"/>
  <c r="R236" i="4" s="1"/>
  <c r="P236" i="4"/>
  <c r="E236" i="4"/>
  <c r="O235" i="4"/>
  <c r="E235" i="4"/>
  <c r="Q235" i="4" s="1"/>
  <c r="R235" i="4" s="1"/>
  <c r="S235" i="4" s="1"/>
  <c r="T235" i="4" s="1"/>
  <c r="E234" i="4"/>
  <c r="Q234" i="4" s="1"/>
  <c r="E233" i="4"/>
  <c r="Q233" i="4" s="1"/>
  <c r="Q232" i="4"/>
  <c r="R232" i="4" s="1"/>
  <c r="E232" i="4"/>
  <c r="Q231" i="4"/>
  <c r="E231" i="4"/>
  <c r="R230" i="4"/>
  <c r="P230" i="4"/>
  <c r="E230" i="4"/>
  <c r="Q230" i="4" s="1"/>
  <c r="E229" i="4"/>
  <c r="Q229" i="4" s="1"/>
  <c r="Q228" i="4"/>
  <c r="E228" i="4"/>
  <c r="R227" i="4"/>
  <c r="S227" i="4" s="1"/>
  <c r="T227" i="4" s="1"/>
  <c r="P227" i="4"/>
  <c r="O227" i="4"/>
  <c r="E227" i="4"/>
  <c r="Q227" i="4" s="1"/>
  <c r="Q226" i="4"/>
  <c r="E226" i="4"/>
  <c r="E225" i="4"/>
  <c r="Q225" i="4" s="1"/>
  <c r="R224" i="4"/>
  <c r="S224" i="4" s="1"/>
  <c r="T224" i="4" s="1"/>
  <c r="Q224" i="4"/>
  <c r="P224" i="4"/>
  <c r="O224" i="4"/>
  <c r="E224" i="4"/>
  <c r="Q223" i="4"/>
  <c r="E223" i="4"/>
  <c r="Q222" i="4"/>
  <c r="E222" i="4"/>
  <c r="R221" i="4"/>
  <c r="P221" i="4"/>
  <c r="E221" i="4"/>
  <c r="Q221" i="4" s="1"/>
  <c r="E220" i="4"/>
  <c r="Q220" i="4" s="1"/>
  <c r="S219" i="4"/>
  <c r="T219" i="4" s="1"/>
  <c r="R219" i="4"/>
  <c r="O219" i="4" s="1"/>
  <c r="E219" i="4"/>
  <c r="Q219" i="4" s="1"/>
  <c r="P219" i="4" s="1"/>
  <c r="R218" i="4"/>
  <c r="S218" i="4" s="1"/>
  <c r="T218" i="4" s="1"/>
  <c r="Q218" i="4"/>
  <c r="P218" i="4" s="1"/>
  <c r="O218" i="4"/>
  <c r="E218" i="4"/>
  <c r="Q217" i="4"/>
  <c r="E217" i="4"/>
  <c r="Q216" i="4"/>
  <c r="E216" i="4"/>
  <c r="S215" i="4"/>
  <c r="T215" i="4" s="1"/>
  <c r="E215" i="4"/>
  <c r="Q215" i="4" s="1"/>
  <c r="R215" i="4" s="1"/>
  <c r="O215" i="4" s="1"/>
  <c r="E214" i="4"/>
  <c r="Q214" i="4" s="1"/>
  <c r="Q213" i="4"/>
  <c r="E213" i="4"/>
  <c r="P212" i="4"/>
  <c r="O212" i="4"/>
  <c r="E212" i="4"/>
  <c r="Q212" i="4" s="1"/>
  <c r="R212" i="4" s="1"/>
  <c r="S212" i="4" s="1"/>
  <c r="T212" i="4" s="1"/>
  <c r="E211" i="4"/>
  <c r="Q211" i="4" s="1"/>
  <c r="R211" i="4" s="1"/>
  <c r="E210" i="4"/>
  <c r="Q210" i="4" s="1"/>
  <c r="P210" i="4" s="1"/>
  <c r="S209" i="4"/>
  <c r="T209" i="4" s="1"/>
  <c r="R209" i="4"/>
  <c r="O209" i="4" s="1"/>
  <c r="Q209" i="4"/>
  <c r="P209" i="4"/>
  <c r="E209" i="4"/>
  <c r="Q208" i="4"/>
  <c r="R208" i="4" s="1"/>
  <c r="S208" i="4" s="1"/>
  <c r="T208" i="4" s="1"/>
  <c r="P208" i="4"/>
  <c r="O208" i="4"/>
  <c r="E208" i="4"/>
  <c r="O207" i="4"/>
  <c r="E207" i="4"/>
  <c r="Q207" i="4" s="1"/>
  <c r="R207" i="4" s="1"/>
  <c r="S207" i="4" s="1"/>
  <c r="T207" i="4" s="1"/>
  <c r="P206" i="4"/>
  <c r="E206" i="4"/>
  <c r="Q206" i="4" s="1"/>
  <c r="R206" i="4" s="1"/>
  <c r="O206" i="4" s="1"/>
  <c r="E205" i="4"/>
  <c r="Q205" i="4" s="1"/>
  <c r="Q204" i="4"/>
  <c r="R204" i="4" s="1"/>
  <c r="P204" i="4"/>
  <c r="E204" i="4"/>
  <c r="O203" i="4"/>
  <c r="E203" i="4"/>
  <c r="Q203" i="4" s="1"/>
  <c r="R203" i="4" s="1"/>
  <c r="S203" i="4" s="1"/>
  <c r="T203" i="4" s="1"/>
  <c r="Q202" i="4"/>
  <c r="E202" i="4"/>
  <c r="E201" i="4"/>
  <c r="Q201" i="4" s="1"/>
  <c r="Q200" i="4"/>
  <c r="R200" i="4" s="1"/>
  <c r="E200" i="4"/>
  <c r="Q199" i="4"/>
  <c r="E199" i="4"/>
  <c r="R198" i="4"/>
  <c r="P198" i="4"/>
  <c r="E198" i="4"/>
  <c r="Q198" i="4" s="1"/>
  <c r="E197" i="4"/>
  <c r="Q197" i="4" s="1"/>
  <c r="E196" i="4"/>
  <c r="Q196" i="4" s="1"/>
  <c r="R195" i="4"/>
  <c r="S195" i="4" s="1"/>
  <c r="T195" i="4" s="1"/>
  <c r="P195" i="4"/>
  <c r="O195" i="4"/>
  <c r="E195" i="4"/>
  <c r="Q195" i="4" s="1"/>
  <c r="E194" i="4"/>
  <c r="Q194" i="4" s="1"/>
  <c r="Q193" i="4"/>
  <c r="R193" i="4" s="1"/>
  <c r="P193" i="4"/>
  <c r="E193" i="4"/>
  <c r="S192" i="4"/>
  <c r="T192" i="4" s="1"/>
  <c r="R192" i="4"/>
  <c r="Q192" i="4"/>
  <c r="P192" i="4"/>
  <c r="O192" i="4"/>
  <c r="E192" i="4"/>
  <c r="R191" i="4"/>
  <c r="E191" i="4"/>
  <c r="Q191" i="4" s="1"/>
  <c r="P191" i="4" s="1"/>
  <c r="R190" i="4"/>
  <c r="O190" i="4" s="1"/>
  <c r="Q190" i="4"/>
  <c r="P190" i="4" s="1"/>
  <c r="E190" i="4"/>
  <c r="E189" i="4"/>
  <c r="Q189" i="4" s="1"/>
  <c r="O188" i="4"/>
  <c r="E188" i="4"/>
  <c r="Q188" i="4" s="1"/>
  <c r="R188" i="4" s="1"/>
  <c r="S188" i="4" s="1"/>
  <c r="T188" i="4" s="1"/>
  <c r="E187" i="4"/>
  <c r="Q187" i="4" s="1"/>
  <c r="P187" i="4" s="1"/>
  <c r="R186" i="4"/>
  <c r="S186" i="4" s="1"/>
  <c r="T186" i="4" s="1"/>
  <c r="Q186" i="4"/>
  <c r="P186" i="4" s="1"/>
  <c r="O186" i="4"/>
  <c r="E186" i="4"/>
  <c r="S185" i="4"/>
  <c r="T185" i="4" s="1"/>
  <c r="R185" i="4"/>
  <c r="O185" i="4" s="1"/>
  <c r="E185" i="4"/>
  <c r="Q185" i="4" s="1"/>
  <c r="P185" i="4" s="1"/>
  <c r="Q184" i="4"/>
  <c r="R184" i="4" s="1"/>
  <c r="S184" i="4" s="1"/>
  <c r="T184" i="4" s="1"/>
  <c r="P184" i="4"/>
  <c r="O184" i="4"/>
  <c r="E184" i="4"/>
  <c r="E183" i="4"/>
  <c r="Q183" i="4" s="1"/>
  <c r="R183" i="4" s="1"/>
  <c r="Q182" i="4"/>
  <c r="P182" i="4" s="1"/>
  <c r="E182" i="4"/>
  <c r="R181" i="4"/>
  <c r="S181" i="4" s="1"/>
  <c r="T181" i="4" s="1"/>
  <c r="Q181" i="4"/>
  <c r="P181" i="4"/>
  <c r="O181" i="4"/>
  <c r="E181" i="4"/>
  <c r="E180" i="4"/>
  <c r="Q180" i="4" s="1"/>
  <c r="O179" i="4"/>
  <c r="E179" i="4"/>
  <c r="Q179" i="4" s="1"/>
  <c r="R179" i="4" s="1"/>
  <c r="S179" i="4" s="1"/>
  <c r="T179" i="4" s="1"/>
  <c r="R178" i="4"/>
  <c r="E178" i="4"/>
  <c r="Q178" i="4" s="1"/>
  <c r="P178" i="4" s="1"/>
  <c r="Q177" i="4"/>
  <c r="E177" i="4"/>
  <c r="Q176" i="4"/>
  <c r="E176" i="4"/>
  <c r="E175" i="4"/>
  <c r="Q175" i="4" s="1"/>
  <c r="S174" i="4"/>
  <c r="T174" i="4" s="1"/>
  <c r="P174" i="4"/>
  <c r="O174" i="4"/>
  <c r="E174" i="4"/>
  <c r="Q174" i="4" s="1"/>
  <c r="R174" i="4" s="1"/>
  <c r="E173" i="4"/>
  <c r="Q173" i="4" s="1"/>
  <c r="P173" i="4" s="1"/>
  <c r="Q172" i="4"/>
  <c r="E172" i="4"/>
  <c r="R171" i="4"/>
  <c r="E171" i="4"/>
  <c r="Q171" i="4" s="1"/>
  <c r="P171" i="4" s="1"/>
  <c r="E170" i="4"/>
  <c r="Q170" i="4" s="1"/>
  <c r="R169" i="4"/>
  <c r="O169" i="4" s="1"/>
  <c r="E169" i="4"/>
  <c r="Q169" i="4" s="1"/>
  <c r="P169" i="4" s="1"/>
  <c r="R168" i="4"/>
  <c r="Q168" i="4"/>
  <c r="P168" i="4"/>
  <c r="E168" i="4"/>
  <c r="Q167" i="4"/>
  <c r="R167" i="4" s="1"/>
  <c r="O167" i="4" s="1"/>
  <c r="P167" i="4"/>
  <c r="E167" i="4"/>
  <c r="R166" i="4"/>
  <c r="Q166" i="4"/>
  <c r="P166" i="4"/>
  <c r="E166" i="4"/>
  <c r="E165" i="4"/>
  <c r="Q165" i="4" s="1"/>
  <c r="E164" i="4"/>
  <c r="Q164" i="4" s="1"/>
  <c r="Q163" i="4"/>
  <c r="R163" i="4" s="1"/>
  <c r="P163" i="4"/>
  <c r="E163" i="4"/>
  <c r="R162" i="4"/>
  <c r="S162" i="4" s="1"/>
  <c r="T162" i="4" s="1"/>
  <c r="Q162" i="4"/>
  <c r="P162" i="4"/>
  <c r="O162" i="4"/>
  <c r="E162" i="4"/>
  <c r="W161" i="4"/>
  <c r="V161" i="4"/>
  <c r="U161" i="4"/>
  <c r="R161" i="4"/>
  <c r="Q161" i="4"/>
  <c r="P161" i="4" s="1"/>
  <c r="H161" i="4"/>
  <c r="I161" i="4" s="1"/>
  <c r="J161" i="4" s="1"/>
  <c r="E161" i="4"/>
  <c r="W160" i="4"/>
  <c r="V160" i="4"/>
  <c r="U160" i="4"/>
  <c r="Q160" i="4"/>
  <c r="I160" i="4"/>
  <c r="J160" i="4" s="1"/>
  <c r="H160" i="4"/>
  <c r="N160" i="4" s="1"/>
  <c r="E160" i="4"/>
  <c r="W159" i="4"/>
  <c r="V159" i="4"/>
  <c r="U159" i="4"/>
  <c r="H159" i="4"/>
  <c r="E159" i="4"/>
  <c r="Q159" i="4" s="1"/>
  <c r="P159" i="4" s="1"/>
  <c r="W158" i="4"/>
  <c r="V158" i="4"/>
  <c r="Q158" i="4" s="1"/>
  <c r="P158" i="4" s="1"/>
  <c r="U158" i="4"/>
  <c r="R158" i="4"/>
  <c r="N158" i="4"/>
  <c r="I158" i="4"/>
  <c r="H158" i="4"/>
  <c r="E158" i="4"/>
  <c r="W157" i="4"/>
  <c r="V157" i="4"/>
  <c r="U157" i="4"/>
  <c r="K157" i="4"/>
  <c r="H157" i="4"/>
  <c r="I157" i="4" s="1"/>
  <c r="J157" i="4" s="1"/>
  <c r="E157" i="4"/>
  <c r="Q157" i="4" s="1"/>
  <c r="W156" i="4"/>
  <c r="V156" i="4"/>
  <c r="U156" i="4"/>
  <c r="N156" i="4"/>
  <c r="H156" i="4"/>
  <c r="I156" i="4" s="1"/>
  <c r="K156" i="4" s="1"/>
  <c r="E156" i="4"/>
  <c r="W155" i="4"/>
  <c r="V155" i="4"/>
  <c r="U155" i="4"/>
  <c r="N155" i="4"/>
  <c r="J155" i="4"/>
  <c r="I155" i="4"/>
  <c r="K155" i="4" s="1"/>
  <c r="H155" i="4"/>
  <c r="E155" i="4"/>
  <c r="W154" i="4"/>
  <c r="V154" i="4"/>
  <c r="U154" i="4"/>
  <c r="N154" i="4"/>
  <c r="H154" i="4"/>
  <c r="I154" i="4" s="1"/>
  <c r="E154" i="4"/>
  <c r="W153" i="4"/>
  <c r="V153" i="4"/>
  <c r="U153" i="4"/>
  <c r="H153" i="4"/>
  <c r="N153" i="4" s="1"/>
  <c r="E153" i="4"/>
  <c r="W152" i="4"/>
  <c r="V152" i="4"/>
  <c r="U152" i="4"/>
  <c r="Q152" i="4"/>
  <c r="R152" i="4" s="1"/>
  <c r="P152" i="4"/>
  <c r="I152" i="4"/>
  <c r="H152" i="4"/>
  <c r="N152" i="4" s="1"/>
  <c r="E152" i="4"/>
  <c r="V151" i="4"/>
  <c r="Q151" i="4" s="1"/>
  <c r="R151" i="4" s="1"/>
  <c r="O151" i="4" s="1"/>
  <c r="U151" i="4"/>
  <c r="S151" i="4"/>
  <c r="T151" i="4" s="1"/>
  <c r="P151" i="4"/>
  <c r="N151" i="4"/>
  <c r="I151" i="4"/>
  <c r="H151" i="4"/>
  <c r="E151" i="4"/>
  <c r="V150" i="4"/>
  <c r="U150" i="4"/>
  <c r="T150" i="4"/>
  <c r="P150" i="4"/>
  <c r="O150" i="4"/>
  <c r="N150" i="4"/>
  <c r="K150" i="4"/>
  <c r="H150" i="4"/>
  <c r="I150" i="4" s="1"/>
  <c r="J150" i="4" s="1"/>
  <c r="E150" i="4"/>
  <c r="Q150" i="4" s="1"/>
  <c r="R150" i="4" s="1"/>
  <c r="S150" i="4" s="1"/>
  <c r="V149" i="4"/>
  <c r="U149" i="4"/>
  <c r="Q149" i="4" s="1"/>
  <c r="P149" i="4" s="1"/>
  <c r="R149" i="4"/>
  <c r="O149" i="4" s="1"/>
  <c r="H149" i="4"/>
  <c r="N149" i="4" s="1"/>
  <c r="E149" i="4"/>
  <c r="V148" i="4"/>
  <c r="U148" i="4"/>
  <c r="H148" i="4"/>
  <c r="N148" i="4" s="1"/>
  <c r="E148" i="4"/>
  <c r="Q148" i="4" s="1"/>
  <c r="V147" i="4"/>
  <c r="U147" i="4"/>
  <c r="N147" i="4"/>
  <c r="H147" i="4"/>
  <c r="I147" i="4" s="1"/>
  <c r="E147" i="4"/>
  <c r="Q147" i="4" s="1"/>
  <c r="V146" i="4"/>
  <c r="U146" i="4"/>
  <c r="Q146" i="4" s="1"/>
  <c r="R146" i="4" s="1"/>
  <c r="P146" i="4"/>
  <c r="N146" i="4"/>
  <c r="J146" i="4"/>
  <c r="H146" i="4"/>
  <c r="I146" i="4" s="1"/>
  <c r="K146" i="4" s="1"/>
  <c r="E146" i="4"/>
  <c r="V145" i="4"/>
  <c r="U145" i="4"/>
  <c r="Q145" i="4" s="1"/>
  <c r="N145" i="4"/>
  <c r="I145" i="4"/>
  <c r="H145" i="4"/>
  <c r="E145" i="4"/>
  <c r="V144" i="4"/>
  <c r="U144" i="4"/>
  <c r="Q144" i="4" s="1"/>
  <c r="H144" i="4"/>
  <c r="N144" i="4" s="1"/>
  <c r="E144" i="4"/>
  <c r="V143" i="4"/>
  <c r="U143" i="4"/>
  <c r="H143" i="4"/>
  <c r="E143" i="4"/>
  <c r="Q143" i="4" s="1"/>
  <c r="R143" i="4" s="1"/>
  <c r="V142" i="4"/>
  <c r="U142" i="4"/>
  <c r="Q142" i="4"/>
  <c r="N142" i="4"/>
  <c r="K142" i="4"/>
  <c r="J142" i="4"/>
  <c r="H142" i="4"/>
  <c r="I142" i="4" s="1"/>
  <c r="E142" i="4"/>
  <c r="K141" i="4"/>
  <c r="I141" i="4"/>
  <c r="J141" i="4" s="1"/>
  <c r="H141" i="4"/>
  <c r="N141" i="4" s="1"/>
  <c r="E141" i="4"/>
  <c r="N140" i="4"/>
  <c r="K140" i="4"/>
  <c r="H140" i="4"/>
  <c r="I140" i="4" s="1"/>
  <c r="J140" i="4" s="1"/>
  <c r="E140" i="4"/>
  <c r="H139" i="4"/>
  <c r="N139" i="4" s="1"/>
  <c r="E139" i="4"/>
  <c r="N138" i="4"/>
  <c r="H138" i="4"/>
  <c r="I138" i="4" s="1"/>
  <c r="E138" i="4"/>
  <c r="U137" i="4"/>
  <c r="H137" i="4"/>
  <c r="N137" i="4" s="1"/>
  <c r="E137" i="4"/>
  <c r="U136" i="4"/>
  <c r="H136" i="4"/>
  <c r="E136" i="4"/>
  <c r="AH135" i="4"/>
  <c r="U135" i="4"/>
  <c r="H135" i="4"/>
  <c r="N135" i="4" s="1"/>
  <c r="E135" i="4"/>
  <c r="AH134" i="4"/>
  <c r="H134" i="4"/>
  <c r="N134" i="4" s="1"/>
  <c r="E134" i="4"/>
  <c r="AH133" i="4"/>
  <c r="U133" i="4"/>
  <c r="I133" i="4"/>
  <c r="H133" i="4"/>
  <c r="N133" i="4" s="1"/>
  <c r="E133" i="4"/>
  <c r="U132" i="4"/>
  <c r="N132" i="4"/>
  <c r="K132" i="4"/>
  <c r="J132" i="4"/>
  <c r="I132" i="4"/>
  <c r="H132" i="4"/>
  <c r="E132" i="4"/>
  <c r="V131" i="4"/>
  <c r="E131" i="4"/>
  <c r="V130" i="4"/>
  <c r="E130" i="4"/>
  <c r="V129" i="4"/>
  <c r="E129" i="4"/>
  <c r="V128" i="4"/>
  <c r="E128" i="4"/>
  <c r="V127" i="4"/>
  <c r="E127" i="4"/>
  <c r="V126" i="4"/>
  <c r="R126" i="4"/>
  <c r="O126" i="4" s="1"/>
  <c r="Q126" i="4"/>
  <c r="P126" i="4"/>
  <c r="E126" i="4"/>
  <c r="AM125" i="4"/>
  <c r="V125" i="4"/>
  <c r="U125" i="4"/>
  <c r="E125" i="4"/>
  <c r="AM124" i="4"/>
  <c r="U126" i="4" s="1"/>
  <c r="V124" i="4"/>
  <c r="U124" i="4"/>
  <c r="Q124" i="4" s="1"/>
  <c r="E124" i="4"/>
  <c r="AM123" i="4"/>
  <c r="V123" i="4"/>
  <c r="U123" i="4"/>
  <c r="Q123" i="4" s="1"/>
  <c r="E123" i="4"/>
  <c r="V122" i="4"/>
  <c r="U122" i="4"/>
  <c r="E122" i="4"/>
  <c r="V121" i="4"/>
  <c r="E121" i="4"/>
  <c r="U120" i="4"/>
  <c r="E120" i="4"/>
  <c r="U119" i="4"/>
  <c r="Q119" i="4"/>
  <c r="E119" i="4"/>
  <c r="U118" i="4"/>
  <c r="E118" i="4"/>
  <c r="U117" i="4"/>
  <c r="E117" i="4"/>
  <c r="E116" i="4"/>
  <c r="AC115" i="4"/>
  <c r="V115" i="4"/>
  <c r="U115" i="4"/>
  <c r="E115" i="4"/>
  <c r="AC114" i="4"/>
  <c r="U114" i="4"/>
  <c r="E114" i="4"/>
  <c r="AC113" i="4"/>
  <c r="E113" i="4"/>
  <c r="Q113" i="4" s="1"/>
  <c r="E112" i="4"/>
  <c r="E111" i="4"/>
  <c r="Q111" i="4" s="1"/>
  <c r="P111" i="4" s="1"/>
  <c r="E110" i="4"/>
  <c r="Q110" i="4" s="1"/>
  <c r="R110" i="4" s="1"/>
  <c r="O110" i="4" s="1"/>
  <c r="R109" i="4"/>
  <c r="O109" i="4" s="1"/>
  <c r="Q109" i="4"/>
  <c r="P109" i="4" s="1"/>
  <c r="E109" i="4"/>
  <c r="Q108" i="4"/>
  <c r="R108" i="4" s="1"/>
  <c r="E108" i="4"/>
  <c r="Q107" i="4"/>
  <c r="R107" i="4" s="1"/>
  <c r="O107" i="4" s="1"/>
  <c r="P107" i="4"/>
  <c r="E107" i="4"/>
  <c r="E106" i="4"/>
  <c r="Q106" i="4" s="1"/>
  <c r="E105" i="4"/>
  <c r="Q105" i="4" s="1"/>
  <c r="S104" i="4"/>
  <c r="T104" i="4" s="1"/>
  <c r="R104" i="4"/>
  <c r="O104" i="4" s="1"/>
  <c r="P104" i="4"/>
  <c r="E104" i="4"/>
  <c r="Q104" i="4" s="1"/>
  <c r="E103" i="4"/>
  <c r="Q103" i="4" s="1"/>
  <c r="P103" i="4" s="1"/>
  <c r="E102" i="4"/>
  <c r="Q102" i="4" s="1"/>
  <c r="R102" i="4" s="1"/>
  <c r="S101" i="4"/>
  <c r="T101" i="4" s="1"/>
  <c r="Q101" i="4"/>
  <c r="R101" i="4" s="1"/>
  <c r="O101" i="4" s="1"/>
  <c r="P101" i="4"/>
  <c r="E101" i="4"/>
  <c r="E100" i="4"/>
  <c r="Q100" i="4" s="1"/>
  <c r="P100" i="4" s="1"/>
  <c r="Q99" i="4"/>
  <c r="R99" i="4" s="1"/>
  <c r="E99" i="4"/>
  <c r="Q98" i="4"/>
  <c r="R98" i="4" s="1"/>
  <c r="P98" i="4"/>
  <c r="E98" i="4"/>
  <c r="E97" i="4"/>
  <c r="Q97" i="4" s="1"/>
  <c r="S96" i="4"/>
  <c r="T96" i="4" s="1"/>
  <c r="O96" i="4"/>
  <c r="E96" i="4"/>
  <c r="Q96" i="4" s="1"/>
  <c r="R96" i="4" s="1"/>
  <c r="Q95" i="4"/>
  <c r="E95" i="4"/>
  <c r="E94" i="4"/>
  <c r="Q94" i="4" s="1"/>
  <c r="P94" i="4" s="1"/>
  <c r="R93" i="4"/>
  <c r="S93" i="4" s="1"/>
  <c r="T93" i="4" s="1"/>
  <c r="Q93" i="4"/>
  <c r="P93" i="4"/>
  <c r="O93" i="4"/>
  <c r="E93" i="4"/>
  <c r="E92" i="4"/>
  <c r="Q92" i="4" s="1"/>
  <c r="AD91" i="4"/>
  <c r="E91" i="4"/>
  <c r="AD90" i="4"/>
  <c r="E90" i="4"/>
  <c r="AD89" i="4"/>
  <c r="E89" i="4"/>
  <c r="AD88" i="4"/>
  <c r="E88" i="4"/>
  <c r="AB87" i="4"/>
  <c r="Y87" i="4"/>
  <c r="AD87" i="4" s="1"/>
  <c r="E87" i="4"/>
  <c r="AB86" i="4"/>
  <c r="AD86" i="4" s="1"/>
  <c r="AA86" i="4"/>
  <c r="Y86" i="4"/>
  <c r="E86" i="4"/>
  <c r="AB85" i="4"/>
  <c r="AA85" i="4"/>
  <c r="Y85" i="4"/>
  <c r="AD85" i="4" s="1"/>
  <c r="E85" i="4"/>
  <c r="AD84" i="4"/>
  <c r="E84" i="4"/>
  <c r="AC83" i="4"/>
  <c r="AB83" i="4"/>
  <c r="AA83" i="4"/>
  <c r="Y83" i="4"/>
  <c r="E83" i="4"/>
  <c r="AC82" i="4"/>
  <c r="AB82" i="4"/>
  <c r="AA82" i="4"/>
  <c r="Z82" i="4"/>
  <c r="Y82" i="4"/>
  <c r="AD82" i="4" s="1"/>
  <c r="AF82" i="4" s="1"/>
  <c r="E82" i="4"/>
  <c r="E81" i="4"/>
  <c r="Q81" i="4" s="1"/>
  <c r="E80" i="4"/>
  <c r="Q80" i="4" s="1"/>
  <c r="P80" i="4" s="1"/>
  <c r="R79" i="4"/>
  <c r="O79" i="4" s="1"/>
  <c r="Q79" i="4"/>
  <c r="P79" i="4"/>
  <c r="E79" i="4"/>
  <c r="Q78" i="4"/>
  <c r="R78" i="4" s="1"/>
  <c r="O78" i="4" s="1"/>
  <c r="P78" i="4"/>
  <c r="E78" i="4"/>
  <c r="E77" i="4"/>
  <c r="Q77" i="4" s="1"/>
  <c r="R77" i="4" s="1"/>
  <c r="S77" i="4" s="1"/>
  <c r="T77" i="4" s="1"/>
  <c r="S76" i="4"/>
  <c r="T76" i="4" s="1"/>
  <c r="P76" i="4"/>
  <c r="E76" i="4"/>
  <c r="Q76" i="4" s="1"/>
  <c r="R76" i="4" s="1"/>
  <c r="O76" i="4" s="1"/>
  <c r="E75" i="4"/>
  <c r="Q75" i="4" s="1"/>
  <c r="Q74" i="4"/>
  <c r="R74" i="4" s="1"/>
  <c r="O74" i="4" s="1"/>
  <c r="P74" i="4"/>
  <c r="E74" i="4"/>
  <c r="E73" i="4"/>
  <c r="Q73" i="4" s="1"/>
  <c r="R73" i="4" s="1"/>
  <c r="S73" i="4" s="1"/>
  <c r="T73" i="4" s="1"/>
  <c r="Q72" i="4"/>
  <c r="E72" i="4"/>
  <c r="E71" i="4"/>
  <c r="Q71" i="4" s="1"/>
  <c r="P71" i="4" s="1"/>
  <c r="Q70" i="4"/>
  <c r="P70" i="4" s="1"/>
  <c r="E70" i="4"/>
  <c r="Q69" i="4"/>
  <c r="R69" i="4" s="1"/>
  <c r="P69" i="4"/>
  <c r="E69" i="4"/>
  <c r="E68" i="4"/>
  <c r="Q68" i="4" s="1"/>
  <c r="P67" i="4"/>
  <c r="E67" i="4"/>
  <c r="Q67" i="4" s="1"/>
  <c r="R67" i="4" s="1"/>
  <c r="Q66" i="4"/>
  <c r="E66" i="4"/>
  <c r="R65" i="4"/>
  <c r="S65" i="4" s="1"/>
  <c r="T65" i="4" s="1"/>
  <c r="P65" i="4"/>
  <c r="O65" i="4"/>
  <c r="E65" i="4"/>
  <c r="Q65" i="4" s="1"/>
  <c r="E64" i="4"/>
  <c r="Q64" i="4" s="1"/>
  <c r="E63" i="4"/>
  <c r="Q63" i="4" s="1"/>
  <c r="R62" i="4"/>
  <c r="S62" i="4" s="1"/>
  <c r="T62" i="4" s="1"/>
  <c r="Q62" i="4"/>
  <c r="P62" i="4"/>
  <c r="O62" i="4"/>
  <c r="E62" i="4"/>
  <c r="V61" i="4"/>
  <c r="I61" i="4"/>
  <c r="J61" i="4" s="1"/>
  <c r="H61" i="4"/>
  <c r="N61" i="4" s="1"/>
  <c r="E61" i="4"/>
  <c r="V60" i="4"/>
  <c r="I60" i="4"/>
  <c r="H60" i="4"/>
  <c r="N60" i="4" s="1"/>
  <c r="E60" i="4"/>
  <c r="V59" i="4"/>
  <c r="N59" i="4"/>
  <c r="K59" i="4"/>
  <c r="J59" i="4"/>
  <c r="H59" i="4"/>
  <c r="I59" i="4" s="1"/>
  <c r="E59" i="4"/>
  <c r="V58" i="4"/>
  <c r="I58" i="4"/>
  <c r="K58" i="4" s="1"/>
  <c r="H58" i="4"/>
  <c r="N58" i="4" s="1"/>
  <c r="E58" i="4"/>
  <c r="V57" i="4"/>
  <c r="Q57" i="4"/>
  <c r="P57" i="4" s="1"/>
  <c r="N57" i="4"/>
  <c r="J57" i="4"/>
  <c r="H57" i="4"/>
  <c r="I57" i="4" s="1"/>
  <c r="K57" i="4" s="1"/>
  <c r="E57" i="4"/>
  <c r="AR56" i="4"/>
  <c r="I56" i="4"/>
  <c r="J56" i="4" s="1"/>
  <c r="H56" i="4"/>
  <c r="N56" i="4" s="1"/>
  <c r="E56" i="4"/>
  <c r="AR55" i="4"/>
  <c r="V56" i="4" s="1"/>
  <c r="V55" i="4"/>
  <c r="Q55" i="4"/>
  <c r="P55" i="4" s="1"/>
  <c r="I55" i="4"/>
  <c r="H55" i="4"/>
  <c r="N55" i="4" s="1"/>
  <c r="E55" i="4"/>
  <c r="AR54" i="4"/>
  <c r="V54" i="4"/>
  <c r="U54" i="4"/>
  <c r="Q54" i="4"/>
  <c r="N54" i="4"/>
  <c r="I54" i="4"/>
  <c r="J54" i="4" s="1"/>
  <c r="H54" i="4"/>
  <c r="E54" i="4"/>
  <c r="AR53" i="4"/>
  <c r="V53" i="4"/>
  <c r="N53" i="4"/>
  <c r="K53" i="4"/>
  <c r="J53" i="4"/>
  <c r="H53" i="4"/>
  <c r="I53" i="4" s="1"/>
  <c r="E53" i="4"/>
  <c r="V52" i="4"/>
  <c r="N52" i="4"/>
  <c r="H52" i="4"/>
  <c r="I52" i="4" s="1"/>
  <c r="J52" i="4" s="1"/>
  <c r="Q51" i="4"/>
  <c r="R51" i="4" s="1"/>
  <c r="P51" i="4"/>
  <c r="E51" i="4"/>
  <c r="E50" i="4"/>
  <c r="Q50" i="4" s="1"/>
  <c r="T49" i="4"/>
  <c r="P49" i="4"/>
  <c r="O49" i="4"/>
  <c r="E49" i="4"/>
  <c r="Q49" i="4" s="1"/>
  <c r="R49" i="4" s="1"/>
  <c r="S49" i="4" s="1"/>
  <c r="E48" i="4"/>
  <c r="Q48" i="4" s="1"/>
  <c r="P48" i="4" s="1"/>
  <c r="R47" i="4"/>
  <c r="O47" i="4" s="1"/>
  <c r="Q47" i="4"/>
  <c r="P47" i="4" s="1"/>
  <c r="E47" i="4"/>
  <c r="E46" i="4"/>
  <c r="Q46" i="4" s="1"/>
  <c r="Q45" i="4"/>
  <c r="R45" i="4" s="1"/>
  <c r="S45" i="4" s="1"/>
  <c r="T45" i="4" s="1"/>
  <c r="O45" i="4"/>
  <c r="E45" i="4"/>
  <c r="T44" i="4"/>
  <c r="S44" i="4"/>
  <c r="P44" i="4"/>
  <c r="E44" i="4"/>
  <c r="Q44" i="4" s="1"/>
  <c r="R44" i="4" s="1"/>
  <c r="O44" i="4" s="1"/>
  <c r="E43" i="4"/>
  <c r="Q43" i="4" s="1"/>
  <c r="R42" i="4"/>
  <c r="Q42" i="4"/>
  <c r="P42" i="4"/>
  <c r="E42" i="4"/>
  <c r="Q41" i="4"/>
  <c r="R41" i="4" s="1"/>
  <c r="S41" i="4" s="1"/>
  <c r="T41" i="4" s="1"/>
  <c r="P41" i="4"/>
  <c r="O41" i="4"/>
  <c r="E41" i="4"/>
  <c r="E40" i="4"/>
  <c r="Q40" i="4" s="1"/>
  <c r="R39" i="4"/>
  <c r="O39" i="4" s="1"/>
  <c r="E39" i="4"/>
  <c r="Q39" i="4" s="1"/>
  <c r="P39" i="4" s="1"/>
  <c r="Q38" i="4"/>
  <c r="P38" i="4" s="1"/>
  <c r="E38" i="4"/>
  <c r="Q37" i="4"/>
  <c r="R37" i="4" s="1"/>
  <c r="S37" i="4" s="1"/>
  <c r="T37" i="4" s="1"/>
  <c r="O37" i="4"/>
  <c r="E37" i="4"/>
  <c r="Q36" i="4"/>
  <c r="P36" i="4" s="1"/>
  <c r="E36" i="4"/>
  <c r="E35" i="4"/>
  <c r="Q35" i="4" s="1"/>
  <c r="R35" i="4" s="1"/>
  <c r="S35" i="4" s="1"/>
  <c r="T35" i="4" s="1"/>
  <c r="E34" i="4"/>
  <c r="Q34" i="4" s="1"/>
  <c r="P34" i="4" s="1"/>
  <c r="Q33" i="4"/>
  <c r="R33" i="4" s="1"/>
  <c r="S33" i="4" s="1"/>
  <c r="T33" i="4" s="1"/>
  <c r="P33" i="4"/>
  <c r="O33" i="4"/>
  <c r="E33" i="4"/>
  <c r="E32" i="4"/>
  <c r="Q32" i="4" s="1"/>
  <c r="Q31" i="4"/>
  <c r="E31" i="4"/>
  <c r="E30" i="4"/>
  <c r="Q30" i="4" s="1"/>
  <c r="P30" i="4" s="1"/>
  <c r="R29" i="4"/>
  <c r="O29" i="4" s="1"/>
  <c r="Q29" i="4"/>
  <c r="P29" i="4"/>
  <c r="E29" i="4"/>
  <c r="Q28" i="4"/>
  <c r="R28" i="4" s="1"/>
  <c r="P28" i="4"/>
  <c r="E28" i="4"/>
  <c r="E27" i="4"/>
  <c r="Q27" i="4" s="1"/>
  <c r="T26" i="4"/>
  <c r="O26" i="4"/>
  <c r="E26" i="4"/>
  <c r="Q26" i="4" s="1"/>
  <c r="R26" i="4" s="1"/>
  <c r="S26" i="4" s="1"/>
  <c r="E25" i="4"/>
  <c r="Q25" i="4" s="1"/>
  <c r="R24" i="4"/>
  <c r="S24" i="4" s="1"/>
  <c r="T24" i="4" s="1"/>
  <c r="P24" i="4"/>
  <c r="O24" i="4"/>
  <c r="E24" i="4"/>
  <c r="Q24" i="4" s="1"/>
  <c r="Q23" i="4"/>
  <c r="P23" i="4" s="1"/>
  <c r="E23" i="4"/>
  <c r="E22" i="4"/>
  <c r="Q22" i="4" s="1"/>
  <c r="S21" i="4"/>
  <c r="T21" i="4" s="1"/>
  <c r="R21" i="4"/>
  <c r="Q21" i="4"/>
  <c r="P21" i="4"/>
  <c r="O21" i="4"/>
  <c r="E21" i="4"/>
  <c r="E20" i="4"/>
  <c r="Q20" i="4" s="1"/>
  <c r="P20" i="4" s="1"/>
  <c r="Q19" i="4"/>
  <c r="R19" i="4" s="1"/>
  <c r="P19" i="4"/>
  <c r="E19" i="4"/>
  <c r="E18" i="4"/>
  <c r="Q18" i="4" s="1"/>
  <c r="T17" i="4"/>
  <c r="P17" i="4"/>
  <c r="O17" i="4"/>
  <c r="E17" i="4"/>
  <c r="Q17" i="4" s="1"/>
  <c r="R17" i="4" s="1"/>
  <c r="S17" i="4" s="1"/>
  <c r="E16" i="4"/>
  <c r="Q16" i="4" s="1"/>
  <c r="P16" i="4" s="1"/>
  <c r="R15" i="4"/>
  <c r="O15" i="4" s="1"/>
  <c r="Q15" i="4"/>
  <c r="P15" i="4" s="1"/>
  <c r="E15" i="4"/>
  <c r="Q14" i="4"/>
  <c r="P14" i="4" s="1"/>
  <c r="E14" i="4"/>
  <c r="Q13" i="4"/>
  <c r="R13" i="4" s="1"/>
  <c r="S13" i="4" s="1"/>
  <c r="T13" i="4" s="1"/>
  <c r="O13" i="4"/>
  <c r="E13" i="4"/>
  <c r="S12" i="4"/>
  <c r="T12" i="4" s="1"/>
  <c r="P12" i="4"/>
  <c r="E12" i="4"/>
  <c r="Q12" i="4" s="1"/>
  <c r="R12" i="4" s="1"/>
  <c r="O12" i="4" s="1"/>
  <c r="E11" i="4"/>
  <c r="Q11" i="4" s="1"/>
  <c r="P11" i="4" s="1"/>
  <c r="E10" i="4"/>
  <c r="Q10" i="4" s="1"/>
  <c r="Q9" i="4"/>
  <c r="P9" i="4" s="1"/>
  <c r="E9" i="4"/>
  <c r="Q8" i="4"/>
  <c r="R8" i="4" s="1"/>
  <c r="P8" i="4"/>
  <c r="E8" i="4"/>
  <c r="E7" i="4"/>
  <c r="Q7" i="4" s="1"/>
  <c r="E6" i="4"/>
  <c r="Q6" i="4" s="1"/>
  <c r="P6" i="4" s="1"/>
  <c r="Q5" i="4"/>
  <c r="R5" i="4" s="1"/>
  <c r="S5" i="4" s="1"/>
  <c r="T5" i="4" s="1"/>
  <c r="P5" i="4"/>
  <c r="O5" i="4"/>
  <c r="E5" i="4"/>
  <c r="E4" i="4"/>
  <c r="Q4" i="4" s="1"/>
  <c r="R4" i="4" s="1"/>
  <c r="S4" i="4" s="1"/>
  <c r="T4" i="4" s="1"/>
  <c r="E3" i="4"/>
  <c r="Q3" i="4" s="1"/>
  <c r="P3" i="4" s="1"/>
  <c r="E2" i="4"/>
  <c r="Q2" i="4" s="1"/>
  <c r="O163" i="4" l="1"/>
  <c r="S163" i="4"/>
  <c r="T163" i="4" s="1"/>
  <c r="O152" i="4"/>
  <c r="S152" i="4"/>
  <c r="T152" i="4" s="1"/>
  <c r="P2" i="4"/>
  <c r="R2" i="4"/>
  <c r="R334" i="4"/>
  <c r="P334" i="4"/>
  <c r="S51" i="4"/>
  <c r="T51" i="4" s="1"/>
  <c r="O51" i="4"/>
  <c r="R7" i="4"/>
  <c r="P7" i="4"/>
  <c r="O28" i="4"/>
  <c r="S28" i="4"/>
  <c r="T28" i="4" s="1"/>
  <c r="R25" i="4"/>
  <c r="P25" i="4"/>
  <c r="P43" i="4"/>
  <c r="R43" i="4"/>
  <c r="R46" i="4"/>
  <c r="P46" i="4"/>
  <c r="R148" i="4"/>
  <c r="P148" i="4"/>
  <c r="S69" i="4"/>
  <c r="T69" i="4" s="1"/>
  <c r="O69" i="4"/>
  <c r="R27" i="4"/>
  <c r="P27" i="4"/>
  <c r="P194" i="4"/>
  <c r="R194" i="4"/>
  <c r="P234" i="4"/>
  <c r="R234" i="4"/>
  <c r="R364" i="4"/>
  <c r="P364" i="4"/>
  <c r="P75" i="4"/>
  <c r="R75" i="4"/>
  <c r="P113" i="4"/>
  <c r="R113" i="4"/>
  <c r="R63" i="4"/>
  <c r="P63" i="4"/>
  <c r="O8" i="4"/>
  <c r="S8" i="4"/>
  <c r="T8" i="4" s="1"/>
  <c r="S19" i="4"/>
  <c r="T19" i="4" s="1"/>
  <c r="O19" i="4"/>
  <c r="R22" i="4"/>
  <c r="P22" i="4"/>
  <c r="R391" i="4"/>
  <c r="P391" i="4"/>
  <c r="K61" i="4"/>
  <c r="R94" i="4"/>
  <c r="K152" i="4"/>
  <c r="J152" i="4"/>
  <c r="R229" i="4"/>
  <c r="P229" i="4"/>
  <c r="U60" i="4"/>
  <c r="Q58" i="4"/>
  <c r="U55" i="4"/>
  <c r="Q52" i="4"/>
  <c r="Q56" i="4"/>
  <c r="U52" i="4"/>
  <c r="Q61" i="4"/>
  <c r="Q59" i="4"/>
  <c r="U53" i="4"/>
  <c r="U59" i="4"/>
  <c r="S78" i="4"/>
  <c r="T78" i="4" s="1"/>
  <c r="R100" i="4"/>
  <c r="S171" i="4"/>
  <c r="T171" i="4" s="1"/>
  <c r="O171" i="4"/>
  <c r="R337" i="4"/>
  <c r="P337" i="4"/>
  <c r="R124" i="4"/>
  <c r="P124" i="4"/>
  <c r="I134" i="4"/>
  <c r="Q135" i="4"/>
  <c r="N143" i="4"/>
  <c r="I143" i="4"/>
  <c r="R144" i="4"/>
  <c r="P144" i="4"/>
  <c r="P147" i="4"/>
  <c r="R147" i="4"/>
  <c r="J156" i="4"/>
  <c r="S158" i="4"/>
  <c r="T158" i="4" s="1"/>
  <c r="O158" i="4"/>
  <c r="K160" i="4"/>
  <c r="N161" i="4"/>
  <c r="R175" i="4"/>
  <c r="P175" i="4"/>
  <c r="O200" i="4"/>
  <c r="S200" i="4"/>
  <c r="T200" i="4" s="1"/>
  <c r="S236" i="4"/>
  <c r="T236" i="4" s="1"/>
  <c r="O236" i="4"/>
  <c r="P246" i="4"/>
  <c r="R246" i="4"/>
  <c r="S266" i="4"/>
  <c r="T266" i="4" s="1"/>
  <c r="O266" i="4"/>
  <c r="R297" i="4"/>
  <c r="R304" i="4"/>
  <c r="P304" i="4"/>
  <c r="R400" i="4"/>
  <c r="P400" i="4"/>
  <c r="S448" i="4"/>
  <c r="T448" i="4" s="1"/>
  <c r="O448" i="4"/>
  <c r="P487" i="4"/>
  <c r="R487" i="4"/>
  <c r="P512" i="4"/>
  <c r="R512" i="4"/>
  <c r="S556" i="4"/>
  <c r="T556" i="4" s="1"/>
  <c r="R254" i="4"/>
  <c r="P254" i="4"/>
  <c r="R6" i="4"/>
  <c r="O73" i="4"/>
  <c r="P245" i="4"/>
  <c r="R245" i="4"/>
  <c r="O386" i="4"/>
  <c r="S386" i="4"/>
  <c r="T386" i="4" s="1"/>
  <c r="R495" i="4"/>
  <c r="P495" i="4"/>
  <c r="R160" i="4"/>
  <c r="P160" i="4"/>
  <c r="R172" i="4"/>
  <c r="P172" i="4"/>
  <c r="P213" i="4"/>
  <c r="R213" i="4"/>
  <c r="R217" i="4"/>
  <c r="P217" i="4"/>
  <c r="P237" i="4"/>
  <c r="R237" i="4"/>
  <c r="R242" i="4"/>
  <c r="Q252" i="4"/>
  <c r="J259" i="4"/>
  <c r="K259" i="4"/>
  <c r="Q260" i="4"/>
  <c r="R264" i="4"/>
  <c r="P264" i="4"/>
  <c r="P269" i="4"/>
  <c r="R269" i="4"/>
  <c r="O281" i="4"/>
  <c r="S281" i="4"/>
  <c r="T281" i="4" s="1"/>
  <c r="S313" i="4"/>
  <c r="T313" i="4" s="1"/>
  <c r="O313" i="4"/>
  <c r="R315" i="4"/>
  <c r="P315" i="4"/>
  <c r="R367" i="4"/>
  <c r="P396" i="4"/>
  <c r="R396" i="4"/>
  <c r="P516" i="4"/>
  <c r="R516" i="4"/>
  <c r="K60" i="4"/>
  <c r="J60" i="4"/>
  <c r="R80" i="4"/>
  <c r="P308" i="4"/>
  <c r="K56" i="4"/>
  <c r="R68" i="4"/>
  <c r="P68" i="4"/>
  <c r="R57" i="4"/>
  <c r="P73" i="4"/>
  <c r="S107" i="4"/>
  <c r="T107" i="4" s="1"/>
  <c r="P145" i="4"/>
  <c r="R145" i="4"/>
  <c r="U56" i="4"/>
  <c r="P95" i="4"/>
  <c r="R95" i="4"/>
  <c r="R103" i="4"/>
  <c r="V135" i="4"/>
  <c r="V138" i="4"/>
  <c r="V136" i="4"/>
  <c r="Q136" i="4" s="1"/>
  <c r="V133" i="4"/>
  <c r="Q133" i="4" s="1"/>
  <c r="V132" i="4"/>
  <c r="V141" i="4"/>
  <c r="V140" i="4"/>
  <c r="V139" i="4"/>
  <c r="V137" i="4"/>
  <c r="S15" i="4"/>
  <c r="T15" i="4" s="1"/>
  <c r="R111" i="4"/>
  <c r="V120" i="4"/>
  <c r="V114" i="4"/>
  <c r="V113" i="4"/>
  <c r="V112" i="4"/>
  <c r="V116" i="4"/>
  <c r="V119" i="4"/>
  <c r="V117" i="4"/>
  <c r="V118" i="4"/>
  <c r="J133" i="4"/>
  <c r="K133" i="4"/>
  <c r="V134" i="4"/>
  <c r="P143" i="4"/>
  <c r="R176" i="4"/>
  <c r="P176" i="4"/>
  <c r="P179" i="4"/>
  <c r="S190" i="4"/>
  <c r="T190" i="4" s="1"/>
  <c r="S204" i="4"/>
  <c r="T204" i="4" s="1"/>
  <c r="O204" i="4"/>
  <c r="P214" i="4"/>
  <c r="R214" i="4"/>
  <c r="R222" i="4"/>
  <c r="P222" i="4"/>
  <c r="N259" i="4"/>
  <c r="P270" i="4"/>
  <c r="R270" i="4"/>
  <c r="S278" i="4"/>
  <c r="T278" i="4" s="1"/>
  <c r="O278" i="4"/>
  <c r="P283" i="4"/>
  <c r="R283" i="4"/>
  <c r="S284" i="4"/>
  <c r="T284" i="4" s="1"/>
  <c r="O284" i="4"/>
  <c r="P300" i="4"/>
  <c r="R300" i="4"/>
  <c r="P471" i="4"/>
  <c r="R471" i="4"/>
  <c r="P503" i="4"/>
  <c r="R503" i="4"/>
  <c r="S42" i="4"/>
  <c r="T42" i="4" s="1"/>
  <c r="O42" i="4"/>
  <c r="R54" i="4"/>
  <c r="P54" i="4"/>
  <c r="O99" i="4"/>
  <c r="S99" i="4"/>
  <c r="T99" i="4" s="1"/>
  <c r="R119" i="4"/>
  <c r="P119" i="4"/>
  <c r="R123" i="4"/>
  <c r="P123" i="4"/>
  <c r="S183" i="4"/>
  <c r="T183" i="4" s="1"/>
  <c r="O183" i="4"/>
  <c r="P202" i="4"/>
  <c r="R202" i="4"/>
  <c r="P223" i="4"/>
  <c r="R223" i="4"/>
  <c r="P226" i="4"/>
  <c r="R226" i="4"/>
  <c r="R231" i="4"/>
  <c r="P231" i="4"/>
  <c r="I261" i="4"/>
  <c r="N261" i="4"/>
  <c r="O308" i="4"/>
  <c r="S308" i="4"/>
  <c r="T308" i="4" s="1"/>
  <c r="R357" i="4"/>
  <c r="P357" i="4"/>
  <c r="AA362" i="4"/>
  <c r="O362" i="4"/>
  <c r="S362" i="4"/>
  <c r="T362" i="4" s="1"/>
  <c r="O4" i="4"/>
  <c r="P10" i="4"/>
  <c r="R10" i="4"/>
  <c r="R14" i="4"/>
  <c r="R16" i="4"/>
  <c r="S29" i="4"/>
  <c r="T29" i="4" s="1"/>
  <c r="R32" i="4"/>
  <c r="P32" i="4"/>
  <c r="R34" i="4"/>
  <c r="R36" i="4"/>
  <c r="R38" i="4"/>
  <c r="R55" i="4"/>
  <c r="S109" i="4"/>
  <c r="T109" i="4" s="1"/>
  <c r="K154" i="4"/>
  <c r="J154" i="4"/>
  <c r="P170" i="4"/>
  <c r="R170" i="4"/>
  <c r="P177" i="4"/>
  <c r="R177" i="4"/>
  <c r="P183" i="4"/>
  <c r="R259" i="4"/>
  <c r="P259" i="4"/>
  <c r="S274" i="4"/>
  <c r="T274" i="4" s="1"/>
  <c r="S305" i="4"/>
  <c r="T305" i="4" s="1"/>
  <c r="R324" i="4"/>
  <c r="P324" i="4"/>
  <c r="R353" i="4"/>
  <c r="P353" i="4"/>
  <c r="R460" i="4"/>
  <c r="P460" i="4"/>
  <c r="R465" i="4"/>
  <c r="P465" i="4"/>
  <c r="P4" i="4"/>
  <c r="R70" i="4"/>
  <c r="R97" i="4"/>
  <c r="P97" i="4"/>
  <c r="O102" i="4"/>
  <c r="S102" i="4"/>
  <c r="T102" i="4" s="1"/>
  <c r="S146" i="4"/>
  <c r="T146" i="4" s="1"/>
  <c r="O146" i="4"/>
  <c r="K151" i="4"/>
  <c r="J151" i="4"/>
  <c r="R157" i="4"/>
  <c r="P157" i="4"/>
  <c r="R159" i="4"/>
  <c r="R189" i="4"/>
  <c r="P189" i="4"/>
  <c r="R199" i="4"/>
  <c r="P199" i="4"/>
  <c r="O232" i="4"/>
  <c r="S232" i="4"/>
  <c r="T232" i="4" s="1"/>
  <c r="O292" i="4"/>
  <c r="S292" i="4"/>
  <c r="T292" i="4" s="1"/>
  <c r="P354" i="4"/>
  <c r="R354" i="4"/>
  <c r="S382" i="4"/>
  <c r="T382" i="4" s="1"/>
  <c r="O382" i="4"/>
  <c r="P548" i="4"/>
  <c r="R548" i="4"/>
  <c r="S579" i="4"/>
  <c r="T579" i="4" s="1"/>
  <c r="O579" i="4"/>
  <c r="U61" i="4"/>
  <c r="R92" i="4"/>
  <c r="P92" i="4"/>
  <c r="P102" i="4"/>
  <c r="O143" i="4"/>
  <c r="S143" i="4"/>
  <c r="T143" i="4" s="1"/>
  <c r="I144" i="4"/>
  <c r="S149" i="4"/>
  <c r="T149" i="4" s="1"/>
  <c r="I153" i="4"/>
  <c r="K161" i="4"/>
  <c r="O178" i="4"/>
  <c r="S178" i="4"/>
  <c r="T178" i="4" s="1"/>
  <c r="R197" i="4"/>
  <c r="P197" i="4"/>
  <c r="S241" i="4"/>
  <c r="T241" i="4" s="1"/>
  <c r="R249" i="4"/>
  <c r="P249" i="4"/>
  <c r="N260" i="4"/>
  <c r="I260" i="4"/>
  <c r="P306" i="4"/>
  <c r="R306" i="4"/>
  <c r="P552" i="4"/>
  <c r="R552" i="4"/>
  <c r="R30" i="4"/>
  <c r="O35" i="4"/>
  <c r="S39" i="4"/>
  <c r="T39" i="4" s="1"/>
  <c r="S47" i="4"/>
  <c r="T47" i="4" s="1"/>
  <c r="R50" i="4"/>
  <c r="P50" i="4"/>
  <c r="U57" i="4"/>
  <c r="Q60" i="4"/>
  <c r="R81" i="4"/>
  <c r="P81" i="4"/>
  <c r="R11" i="4"/>
  <c r="R23" i="4"/>
  <c r="P35" i="4"/>
  <c r="U58" i="4"/>
  <c r="R71" i="4"/>
  <c r="S98" i="4"/>
  <c r="T98" i="4" s="1"/>
  <c r="O98" i="4"/>
  <c r="O108" i="4"/>
  <c r="S108" i="4"/>
  <c r="T108" i="4" s="1"/>
  <c r="R9" i="4"/>
  <c r="R18" i="4"/>
  <c r="P18" i="4"/>
  <c r="R20" i="4"/>
  <c r="R40" i="4"/>
  <c r="P40" i="4"/>
  <c r="K54" i="4"/>
  <c r="P64" i="4"/>
  <c r="R64" i="4"/>
  <c r="O77" i="4"/>
  <c r="P31" i="4"/>
  <c r="R31" i="4"/>
  <c r="R48" i="4"/>
  <c r="Q53" i="4"/>
  <c r="S67" i="4"/>
  <c r="T67" i="4" s="1"/>
  <c r="O67" i="4"/>
  <c r="P72" i="4"/>
  <c r="R72" i="4"/>
  <c r="S74" i="4"/>
  <c r="T74" i="4" s="1"/>
  <c r="P77" i="4"/>
  <c r="R106" i="4"/>
  <c r="P106" i="4"/>
  <c r="S167" i="4"/>
  <c r="T167" i="4" s="1"/>
  <c r="S169" i="4"/>
  <c r="T169" i="4" s="1"/>
  <c r="P205" i="4"/>
  <c r="R205" i="4"/>
  <c r="R210" i="4"/>
  <c r="R220" i="4"/>
  <c r="P220" i="4"/>
  <c r="R228" i="4"/>
  <c r="P228" i="4"/>
  <c r="O253" i="4"/>
  <c r="S253" i="4"/>
  <c r="T253" i="4" s="1"/>
  <c r="R255" i="4"/>
  <c r="J257" i="4"/>
  <c r="K257" i="4"/>
  <c r="R279" i="4"/>
  <c r="P279" i="4"/>
  <c r="R295" i="4"/>
  <c r="P295" i="4"/>
  <c r="S307" i="4"/>
  <c r="T307" i="4" s="1"/>
  <c r="O307" i="4"/>
  <c r="P325" i="4"/>
  <c r="R325" i="4"/>
  <c r="O359" i="4"/>
  <c r="S359" i="4"/>
  <c r="T359" i="4" s="1"/>
  <c r="R376" i="4"/>
  <c r="P376" i="4"/>
  <c r="R464" i="4"/>
  <c r="P464" i="4"/>
  <c r="U506" i="4"/>
  <c r="Q506" i="4" s="1"/>
  <c r="U508" i="4"/>
  <c r="Q508" i="4" s="1"/>
  <c r="U511" i="4"/>
  <c r="Q511" i="4" s="1"/>
  <c r="U509" i="4"/>
  <c r="Q509" i="4" s="1"/>
  <c r="U505" i="4"/>
  <c r="Q505" i="4" s="1"/>
  <c r="U502" i="4"/>
  <c r="Q502" i="4" s="1"/>
  <c r="U507" i="4"/>
  <c r="Q507" i="4" s="1"/>
  <c r="U504" i="4"/>
  <c r="Q504" i="4" s="1"/>
  <c r="U510" i="4"/>
  <c r="Q510" i="4" s="1"/>
  <c r="N430" i="4"/>
  <c r="I430" i="4"/>
  <c r="P437" i="4"/>
  <c r="R437" i="4"/>
  <c r="R570" i="4"/>
  <c r="P570" i="4"/>
  <c r="R587" i="4"/>
  <c r="P587" i="4"/>
  <c r="P13" i="4"/>
  <c r="P37" i="4"/>
  <c r="P45" i="4"/>
  <c r="P99" i="4"/>
  <c r="P108" i="4"/>
  <c r="U121" i="4"/>
  <c r="Q117" i="4"/>
  <c r="Q112" i="4"/>
  <c r="Q116" i="4"/>
  <c r="U113" i="4"/>
  <c r="U112" i="4"/>
  <c r="Q121" i="4"/>
  <c r="Q120" i="4"/>
  <c r="Q114" i="4"/>
  <c r="Q122" i="4"/>
  <c r="Q137" i="4"/>
  <c r="K145" i="4"/>
  <c r="J145" i="4"/>
  <c r="K147" i="4"/>
  <c r="J147" i="4"/>
  <c r="K158" i="4"/>
  <c r="J158" i="4"/>
  <c r="R164" i="4"/>
  <c r="P164" i="4"/>
  <c r="P200" i="4"/>
  <c r="P232" i="4"/>
  <c r="K252" i="4"/>
  <c r="J252" i="4"/>
  <c r="O265" i="4"/>
  <c r="S265" i="4"/>
  <c r="T265" i="4" s="1"/>
  <c r="R276" i="4"/>
  <c r="P276" i="4"/>
  <c r="P292" i="4"/>
  <c r="R319" i="4"/>
  <c r="P319" i="4"/>
  <c r="P326" i="4"/>
  <c r="R326" i="4"/>
  <c r="P332" i="4"/>
  <c r="R332" i="4"/>
  <c r="R342" i="4"/>
  <c r="P342" i="4"/>
  <c r="R348" i="4"/>
  <c r="P348" i="4"/>
  <c r="S358" i="4"/>
  <c r="T358" i="4" s="1"/>
  <c r="O358" i="4"/>
  <c r="S360" i="4"/>
  <c r="T360" i="4" s="1"/>
  <c r="O360" i="4"/>
  <c r="O366" i="4"/>
  <c r="S366" i="4"/>
  <c r="T366" i="4" s="1"/>
  <c r="P377" i="4"/>
  <c r="R377" i="4"/>
  <c r="P381" i="4"/>
  <c r="R381" i="4"/>
  <c r="P405" i="4"/>
  <c r="R405" i="4"/>
  <c r="P440" i="4"/>
  <c r="R440" i="4"/>
  <c r="S525" i="4"/>
  <c r="T525" i="4" s="1"/>
  <c r="O525" i="4"/>
  <c r="O535" i="4"/>
  <c r="S535" i="4"/>
  <c r="T535" i="4" s="1"/>
  <c r="P540" i="4"/>
  <c r="R540" i="4"/>
  <c r="O339" i="4"/>
  <c r="S339" i="4"/>
  <c r="T339" i="4" s="1"/>
  <c r="P412" i="4"/>
  <c r="R412" i="4"/>
  <c r="R431" i="4"/>
  <c r="P431" i="4"/>
  <c r="O439" i="4"/>
  <c r="S439" i="4"/>
  <c r="T439" i="4" s="1"/>
  <c r="K55" i="4"/>
  <c r="J55" i="4"/>
  <c r="R142" i="4"/>
  <c r="P142" i="4"/>
  <c r="N159" i="4"/>
  <c r="I159" i="4"/>
  <c r="O161" i="4"/>
  <c r="S161" i="4"/>
  <c r="T161" i="4" s="1"/>
  <c r="S166" i="4"/>
  <c r="T166" i="4" s="1"/>
  <c r="O166" i="4"/>
  <c r="R180" i="4"/>
  <c r="P180" i="4"/>
  <c r="O191" i="4"/>
  <c r="S191" i="4"/>
  <c r="T191" i="4" s="1"/>
  <c r="R261" i="4"/>
  <c r="P261" i="4"/>
  <c r="O267" i="4"/>
  <c r="S267" i="4"/>
  <c r="T267" i="4" s="1"/>
  <c r="R273" i="4"/>
  <c r="P273" i="4"/>
  <c r="P277" i="4"/>
  <c r="R277" i="4"/>
  <c r="R285" i="4"/>
  <c r="P285" i="4"/>
  <c r="P301" i="4"/>
  <c r="R301" i="4"/>
  <c r="P309" i="4"/>
  <c r="R309" i="4"/>
  <c r="O316" i="4"/>
  <c r="S316" i="4"/>
  <c r="T316" i="4" s="1"/>
  <c r="Q329" i="4"/>
  <c r="R373" i="4"/>
  <c r="P373" i="4"/>
  <c r="R419" i="4"/>
  <c r="P419" i="4"/>
  <c r="K425" i="4"/>
  <c r="J425" i="4"/>
  <c r="S444" i="4"/>
  <c r="T444" i="4" s="1"/>
  <c r="O444" i="4"/>
  <c r="R447" i="4"/>
  <c r="P447" i="4"/>
  <c r="R458" i="4"/>
  <c r="P458" i="4"/>
  <c r="P480" i="4"/>
  <c r="R480" i="4"/>
  <c r="S563" i="4"/>
  <c r="T563" i="4" s="1"/>
  <c r="O563" i="4"/>
  <c r="O583" i="4"/>
  <c r="S583" i="4"/>
  <c r="T583" i="4" s="1"/>
  <c r="R66" i="4"/>
  <c r="P66" i="4"/>
  <c r="N136" i="4"/>
  <c r="I136" i="4"/>
  <c r="R3" i="4"/>
  <c r="P26" i="4"/>
  <c r="K52" i="4"/>
  <c r="J58" i="4"/>
  <c r="S79" i="4"/>
  <c r="T79" i="4" s="1"/>
  <c r="P110" i="4"/>
  <c r="U116" i="4"/>
  <c r="Q118" i="4"/>
  <c r="S126" i="4"/>
  <c r="T126" i="4" s="1"/>
  <c r="Q132" i="4"/>
  <c r="I137" i="4"/>
  <c r="I149" i="4"/>
  <c r="Q156" i="4"/>
  <c r="O168" i="4"/>
  <c r="S168" i="4"/>
  <c r="T168" i="4" s="1"/>
  <c r="R173" i="4"/>
  <c r="O193" i="4"/>
  <c r="S193" i="4"/>
  <c r="T193" i="4" s="1"/>
  <c r="S206" i="4"/>
  <c r="T206" i="4" s="1"/>
  <c r="S221" i="4"/>
  <c r="T221" i="4" s="1"/>
  <c r="O221" i="4"/>
  <c r="R225" i="4"/>
  <c r="P225" i="4"/>
  <c r="S238" i="4"/>
  <c r="T238" i="4" s="1"/>
  <c r="K253" i="4"/>
  <c r="K255" i="4"/>
  <c r="J255" i="4"/>
  <c r="R257" i="4"/>
  <c r="P257" i="4"/>
  <c r="R263" i="4"/>
  <c r="P263" i="4"/>
  <c r="S312" i="4"/>
  <c r="T312" i="4" s="1"/>
  <c r="O312" i="4"/>
  <c r="P317" i="4"/>
  <c r="R317" i="4"/>
  <c r="P320" i="4"/>
  <c r="R320" i="4"/>
  <c r="R345" i="4"/>
  <c r="P345" i="4"/>
  <c r="P393" i="4"/>
  <c r="R393" i="4"/>
  <c r="S401" i="4"/>
  <c r="T401" i="4" s="1"/>
  <c r="P417" i="4"/>
  <c r="R417" i="4"/>
  <c r="J424" i="4"/>
  <c r="S449" i="4"/>
  <c r="T449" i="4" s="1"/>
  <c r="O449" i="4"/>
  <c r="R462" i="4"/>
  <c r="P462" i="4"/>
  <c r="R490" i="4"/>
  <c r="P490" i="4"/>
  <c r="P537" i="4"/>
  <c r="R537" i="4"/>
  <c r="R105" i="4"/>
  <c r="P105" i="4"/>
  <c r="S110" i="4"/>
  <c r="T110" i="4" s="1"/>
  <c r="Q115" i="4"/>
  <c r="Q125" i="4"/>
  <c r="K138" i="4"/>
  <c r="J138" i="4"/>
  <c r="I139" i="4"/>
  <c r="Q153" i="4"/>
  <c r="R165" i="4"/>
  <c r="P165" i="4"/>
  <c r="R182" i="4"/>
  <c r="R187" i="4"/>
  <c r="R196" i="4"/>
  <c r="P196" i="4"/>
  <c r="S198" i="4"/>
  <c r="T198" i="4" s="1"/>
  <c r="O198" i="4"/>
  <c r="P201" i="4"/>
  <c r="R201" i="4"/>
  <c r="S230" i="4"/>
  <c r="T230" i="4" s="1"/>
  <c r="O230" i="4"/>
  <c r="P233" i="4"/>
  <c r="R233" i="4"/>
  <c r="I254" i="4"/>
  <c r="K256" i="4"/>
  <c r="J256" i="4"/>
  <c r="U282" i="4"/>
  <c r="Q282" i="4" s="1"/>
  <c r="U288" i="4"/>
  <c r="Q288" i="4" s="1"/>
  <c r="U289" i="4"/>
  <c r="Q289" i="4" s="1"/>
  <c r="U286" i="4"/>
  <c r="Q286" i="4" s="1"/>
  <c r="U290" i="4"/>
  <c r="Q290" i="4" s="1"/>
  <c r="U291" i="4"/>
  <c r="Q291" i="4" s="1"/>
  <c r="U287" i="4"/>
  <c r="Q287" i="4" s="1"/>
  <c r="P293" i="4"/>
  <c r="R293" i="4"/>
  <c r="P302" i="4"/>
  <c r="R302" i="4"/>
  <c r="P312" i="4"/>
  <c r="R321" i="4"/>
  <c r="P321" i="4"/>
  <c r="R378" i="4"/>
  <c r="P378" i="4"/>
  <c r="P383" i="4"/>
  <c r="R383" i="4"/>
  <c r="R399" i="4"/>
  <c r="P399" i="4"/>
  <c r="R404" i="4"/>
  <c r="P404" i="4"/>
  <c r="P420" i="4"/>
  <c r="R420" i="4"/>
  <c r="O438" i="4"/>
  <c r="S438" i="4"/>
  <c r="T438" i="4" s="1"/>
  <c r="R442" i="4"/>
  <c r="P442" i="4"/>
  <c r="R453" i="4"/>
  <c r="P453" i="4"/>
  <c r="U127" i="4"/>
  <c r="Q127" i="4" s="1"/>
  <c r="U128" i="4"/>
  <c r="Q128" i="4" s="1"/>
  <c r="U129" i="4"/>
  <c r="Q129" i="4" s="1"/>
  <c r="U130" i="4"/>
  <c r="Q130" i="4" s="1"/>
  <c r="U131" i="4"/>
  <c r="Q131" i="4" s="1"/>
  <c r="U139" i="4"/>
  <c r="Q139" i="4" s="1"/>
  <c r="U134" i="4"/>
  <c r="U141" i="4"/>
  <c r="Q155" i="4"/>
  <c r="R216" i="4"/>
  <c r="P216" i="4"/>
  <c r="R248" i="4"/>
  <c r="P248" i="4"/>
  <c r="Q258" i="4"/>
  <c r="Q330" i="4"/>
  <c r="P333" i="4"/>
  <c r="R333" i="4"/>
  <c r="S335" i="4"/>
  <c r="T335" i="4" s="1"/>
  <c r="O335" i="4"/>
  <c r="P397" i="4"/>
  <c r="R397" i="4"/>
  <c r="R482" i="4"/>
  <c r="P482" i="4"/>
  <c r="P576" i="4"/>
  <c r="R576" i="4"/>
  <c r="P96" i="4"/>
  <c r="U138" i="4"/>
  <c r="Q138" i="4" s="1"/>
  <c r="N157" i="4"/>
  <c r="P188" i="4"/>
  <c r="P203" i="4"/>
  <c r="P207" i="4"/>
  <c r="S211" i="4"/>
  <c r="T211" i="4" s="1"/>
  <c r="O211" i="4"/>
  <c r="P235" i="4"/>
  <c r="P239" i="4"/>
  <c r="S243" i="4"/>
  <c r="T243" i="4" s="1"/>
  <c r="O243" i="4"/>
  <c r="R303" i="4"/>
  <c r="P303" i="4"/>
  <c r="R311" i="4"/>
  <c r="P311" i="4"/>
  <c r="P336" i="4"/>
  <c r="R336" i="4"/>
  <c r="P355" i="4"/>
  <c r="R355" i="4"/>
  <c r="P374" i="4"/>
  <c r="R374" i="4"/>
  <c r="K428" i="4"/>
  <c r="J428" i="4"/>
  <c r="O450" i="4"/>
  <c r="S450" i="4"/>
  <c r="T450" i="4" s="1"/>
  <c r="P454" i="4"/>
  <c r="R454" i="4"/>
  <c r="P484" i="4"/>
  <c r="R484" i="4"/>
  <c r="R567" i="4"/>
  <c r="P567" i="4"/>
  <c r="AD83" i="4"/>
  <c r="I135" i="4"/>
  <c r="U140" i="4"/>
  <c r="Q140" i="4" s="1"/>
  <c r="I148" i="4"/>
  <c r="Q154" i="4"/>
  <c r="P211" i="4"/>
  <c r="P215" i="4"/>
  <c r="P243" i="4"/>
  <c r="P247" i="4"/>
  <c r="P272" i="4"/>
  <c r="R272" i="4"/>
  <c r="R296" i="4"/>
  <c r="P296" i="4"/>
  <c r="P340" i="4"/>
  <c r="R340" i="4"/>
  <c r="S390" i="4"/>
  <c r="T390" i="4" s="1"/>
  <c r="O390" i="4"/>
  <c r="P413" i="4"/>
  <c r="R413" i="4"/>
  <c r="R446" i="4"/>
  <c r="O488" i="4"/>
  <c r="S488" i="4"/>
  <c r="T488" i="4" s="1"/>
  <c r="P498" i="4"/>
  <c r="R498" i="4"/>
  <c r="R542" i="4"/>
  <c r="P542" i="4"/>
  <c r="R558" i="4"/>
  <c r="P558" i="4"/>
  <c r="P564" i="4"/>
  <c r="R564" i="4"/>
  <c r="V329" i="4"/>
  <c r="U351" i="4"/>
  <c r="Q351" i="4" s="1"/>
  <c r="U350" i="4"/>
  <c r="Q350" i="4" s="1"/>
  <c r="U349" i="4"/>
  <c r="Q349" i="4" s="1"/>
  <c r="U343" i="4"/>
  <c r="Q343" i="4" s="1"/>
  <c r="U344" i="4"/>
  <c r="Q344" i="4" s="1"/>
  <c r="U347" i="4"/>
  <c r="Q347" i="4" s="1"/>
  <c r="R372" i="4"/>
  <c r="P372" i="4"/>
  <c r="R387" i="4"/>
  <c r="P387" i="4"/>
  <c r="S389" i="4"/>
  <c r="T389" i="4" s="1"/>
  <c r="O389" i="4"/>
  <c r="R394" i="4"/>
  <c r="P394" i="4"/>
  <c r="R398" i="4"/>
  <c r="P398" i="4"/>
  <c r="S414" i="4"/>
  <c r="T414" i="4" s="1"/>
  <c r="O414" i="4"/>
  <c r="Q424" i="4"/>
  <c r="P432" i="4"/>
  <c r="R432" i="4"/>
  <c r="R461" i="4"/>
  <c r="P461" i="4"/>
  <c r="P476" i="4"/>
  <c r="R476" i="4"/>
  <c r="P489" i="4"/>
  <c r="R489" i="4"/>
  <c r="P528" i="4"/>
  <c r="R528" i="4"/>
  <c r="Q256" i="4"/>
  <c r="P298" i="4"/>
  <c r="U327" i="4"/>
  <c r="Q327" i="4" s="1"/>
  <c r="U322" i="4"/>
  <c r="Q322" i="4" s="1"/>
  <c r="U323" i="4"/>
  <c r="Q323" i="4" s="1"/>
  <c r="V328" i="4"/>
  <c r="Q328" i="4" s="1"/>
  <c r="U422" i="4"/>
  <c r="Q422" i="4" s="1"/>
  <c r="U427" i="4"/>
  <c r="U426" i="4"/>
  <c r="U430" i="4"/>
  <c r="U429" i="4"/>
  <c r="U428" i="4"/>
  <c r="Q428" i="4" s="1"/>
  <c r="Q474" i="4"/>
  <c r="U501" i="4"/>
  <c r="Q501" i="4" s="1"/>
  <c r="U494" i="4"/>
  <c r="Q494" i="4" s="1"/>
  <c r="U497" i="4"/>
  <c r="Q497" i="4" s="1"/>
  <c r="U496" i="4"/>
  <c r="Q496" i="4" s="1"/>
  <c r="U493" i="4"/>
  <c r="U499" i="4"/>
  <c r="Q499" i="4" s="1"/>
  <c r="U500" i="4"/>
  <c r="Q500" i="4" s="1"/>
  <c r="S523" i="4"/>
  <c r="T523" i="4" s="1"/>
  <c r="O523" i="4"/>
  <c r="R550" i="4"/>
  <c r="P550" i="4"/>
  <c r="P560" i="4"/>
  <c r="R560" i="4"/>
  <c r="AC282" i="4"/>
  <c r="V323" i="4"/>
  <c r="U331" i="4"/>
  <c r="Q331" i="4" s="1"/>
  <c r="U346" i="4"/>
  <c r="Q346" i="4" s="1"/>
  <c r="R361" i="4"/>
  <c r="P361" i="4"/>
  <c r="R379" i="4"/>
  <c r="Y389" i="4"/>
  <c r="Y390" i="4" s="1"/>
  <c r="R392" i="4"/>
  <c r="P392" i="4"/>
  <c r="V427" i="4"/>
  <c r="V426" i="4"/>
  <c r="V425" i="4"/>
  <c r="Q425" i="4" s="1"/>
  <c r="V424" i="4"/>
  <c r="V423" i="4"/>
  <c r="Q423" i="4" s="1"/>
  <c r="V428" i="4"/>
  <c r="V430" i="4"/>
  <c r="V429" i="4"/>
  <c r="V422" i="4"/>
  <c r="O436" i="4"/>
  <c r="O455" i="4"/>
  <c r="S455" i="4"/>
  <c r="T455" i="4" s="1"/>
  <c r="P459" i="4"/>
  <c r="R459" i="4"/>
  <c r="R463" i="4"/>
  <c r="P467" i="4"/>
  <c r="R467" i="4"/>
  <c r="R483" i="4"/>
  <c r="R486" i="4"/>
  <c r="P486" i="4"/>
  <c r="R519" i="4"/>
  <c r="P519" i="4"/>
  <c r="P523" i="4"/>
  <c r="P532" i="4"/>
  <c r="R532" i="4"/>
  <c r="P544" i="4"/>
  <c r="R544" i="4"/>
  <c r="S569" i="4"/>
  <c r="T569" i="4" s="1"/>
  <c r="P585" i="4"/>
  <c r="R585" i="4"/>
  <c r="P524" i="4"/>
  <c r="R524" i="4"/>
  <c r="R534" i="4"/>
  <c r="P534" i="4"/>
  <c r="O551" i="4"/>
  <c r="S551" i="4"/>
  <c r="T551" i="4" s="1"/>
  <c r="R578" i="4"/>
  <c r="P578" i="4"/>
  <c r="P588" i="4"/>
  <c r="R588" i="4"/>
  <c r="P341" i="4"/>
  <c r="U363" i="4"/>
  <c r="Q363" i="4" s="1"/>
  <c r="U371" i="4"/>
  <c r="Q371" i="4" s="1"/>
  <c r="U370" i="4"/>
  <c r="Q370" i="4" s="1"/>
  <c r="U369" i="4"/>
  <c r="Q369" i="4" s="1"/>
  <c r="U368" i="4"/>
  <c r="Q368" i="4" s="1"/>
  <c r="R375" i="4"/>
  <c r="P380" i="4"/>
  <c r="R380" i="4"/>
  <c r="Q403" i="4"/>
  <c r="P415" i="4"/>
  <c r="P441" i="4"/>
  <c r="R441" i="4"/>
  <c r="U477" i="4"/>
  <c r="Q477" i="4" s="1"/>
  <c r="U472" i="4"/>
  <c r="Q472" i="4" s="1"/>
  <c r="U478" i="4"/>
  <c r="Q478" i="4" s="1"/>
  <c r="U473" i="4"/>
  <c r="Q473" i="4" s="1"/>
  <c r="U481" i="4"/>
  <c r="Q481" i="4" s="1"/>
  <c r="S515" i="4"/>
  <c r="T515" i="4" s="1"/>
  <c r="O515" i="4"/>
  <c r="R521" i="4"/>
  <c r="O543" i="4"/>
  <c r="S543" i="4"/>
  <c r="T543" i="4" s="1"/>
  <c r="R571" i="4"/>
  <c r="P571" i="4"/>
  <c r="O388" i="4"/>
  <c r="U407" i="4"/>
  <c r="Q407" i="4" s="1"/>
  <c r="U402" i="4"/>
  <c r="Q402" i="4" s="1"/>
  <c r="U406" i="4"/>
  <c r="Q406" i="4" s="1"/>
  <c r="U411" i="4"/>
  <c r="J422" i="4"/>
  <c r="N423" i="4"/>
  <c r="I423" i="4"/>
  <c r="N426" i="4"/>
  <c r="I426" i="4"/>
  <c r="S435" i="4"/>
  <c r="T435" i="4" s="1"/>
  <c r="O435" i="4"/>
  <c r="R451" i="4"/>
  <c r="U475" i="4"/>
  <c r="Q475" i="4" s="1"/>
  <c r="U479" i="4"/>
  <c r="Q479" i="4" s="1"/>
  <c r="R491" i="4"/>
  <c r="R518" i="4"/>
  <c r="P518" i="4"/>
  <c r="O527" i="4"/>
  <c r="S527" i="4"/>
  <c r="T527" i="4" s="1"/>
  <c r="R538" i="4"/>
  <c r="P538" i="4"/>
  <c r="S541" i="4"/>
  <c r="T541" i="4" s="1"/>
  <c r="O541" i="4"/>
  <c r="S549" i="4"/>
  <c r="T549" i="4" s="1"/>
  <c r="O549" i="4"/>
  <c r="P580" i="4"/>
  <c r="R580" i="4"/>
  <c r="AC472" i="4"/>
  <c r="R526" i="4"/>
  <c r="P526" i="4"/>
  <c r="R554" i="4"/>
  <c r="P554" i="4"/>
  <c r="S565" i="4"/>
  <c r="T565" i="4" s="1"/>
  <c r="O565" i="4"/>
  <c r="P568" i="4"/>
  <c r="R568" i="4"/>
  <c r="R582" i="4"/>
  <c r="P582" i="4"/>
  <c r="O591" i="4"/>
  <c r="S591" i="4"/>
  <c r="T591" i="4" s="1"/>
  <c r="V407" i="4"/>
  <c r="V408" i="4"/>
  <c r="Q408" i="4" s="1"/>
  <c r="V409" i="4"/>
  <c r="Q409" i="4" s="1"/>
  <c r="V410" i="4"/>
  <c r="Q410" i="4" s="1"/>
  <c r="V411" i="4"/>
  <c r="P444" i="4"/>
  <c r="P452" i="4"/>
  <c r="P468" i="4"/>
  <c r="R522" i="4"/>
  <c r="P522" i="4"/>
  <c r="S533" i="4"/>
  <c r="T533" i="4" s="1"/>
  <c r="O533" i="4"/>
  <c r="P536" i="4"/>
  <c r="R536" i="4"/>
  <c r="S547" i="4"/>
  <c r="T547" i="4" s="1"/>
  <c r="O547" i="4"/>
  <c r="S555" i="4"/>
  <c r="T555" i="4" s="1"/>
  <c r="O555" i="4"/>
  <c r="O575" i="4"/>
  <c r="S575" i="4"/>
  <c r="T575" i="4" s="1"/>
  <c r="W428" i="4"/>
  <c r="W429" i="4"/>
  <c r="R466" i="4"/>
  <c r="O470" i="4"/>
  <c r="S470" i="4"/>
  <c r="T470" i="4" s="1"/>
  <c r="S517" i="4"/>
  <c r="T517" i="4" s="1"/>
  <c r="O517" i="4"/>
  <c r="P520" i="4"/>
  <c r="R520" i="4"/>
  <c r="S531" i="4"/>
  <c r="T531" i="4" s="1"/>
  <c r="O531" i="4"/>
  <c r="S539" i="4"/>
  <c r="T539" i="4" s="1"/>
  <c r="O539" i="4"/>
  <c r="P555" i="4"/>
  <c r="O559" i="4"/>
  <c r="S559" i="4"/>
  <c r="T559" i="4" s="1"/>
  <c r="R566" i="4"/>
  <c r="P566" i="4"/>
  <c r="P577" i="4"/>
  <c r="R577" i="4"/>
  <c r="P589" i="4"/>
  <c r="R589" i="4"/>
  <c r="R513" i="4"/>
  <c r="R529" i="4"/>
  <c r="R545" i="4"/>
  <c r="R561" i="4"/>
  <c r="P584" i="4"/>
  <c r="R584" i="4"/>
  <c r="S586" i="4"/>
  <c r="T586" i="4" s="1"/>
  <c r="O586" i="4"/>
  <c r="V500" i="4"/>
  <c r="V494" i="4"/>
  <c r="V493" i="4"/>
  <c r="V492" i="4"/>
  <c r="Q492" i="4" s="1"/>
  <c r="O590" i="4"/>
  <c r="P574" i="4"/>
  <c r="R492" i="4" l="1"/>
  <c r="P492" i="4"/>
  <c r="R410" i="4"/>
  <c r="P410" i="4"/>
  <c r="P328" i="4"/>
  <c r="R328" i="4"/>
  <c r="R407" i="4"/>
  <c r="P407" i="4"/>
  <c r="P494" i="4"/>
  <c r="R494" i="4"/>
  <c r="O558" i="4"/>
  <c r="S558" i="4"/>
  <c r="T558" i="4" s="1"/>
  <c r="S321" i="4"/>
  <c r="T321" i="4" s="1"/>
  <c r="O321" i="4"/>
  <c r="O257" i="4"/>
  <c r="S257" i="4"/>
  <c r="T257" i="4" s="1"/>
  <c r="R137" i="4"/>
  <c r="P137" i="4"/>
  <c r="O210" i="4"/>
  <c r="S210" i="4"/>
  <c r="T210" i="4" s="1"/>
  <c r="S197" i="4"/>
  <c r="T197" i="4" s="1"/>
  <c r="O197" i="4"/>
  <c r="S36" i="4"/>
  <c r="T36" i="4" s="1"/>
  <c r="O36" i="4"/>
  <c r="O214" i="4"/>
  <c r="S214" i="4"/>
  <c r="T214" i="4" s="1"/>
  <c r="P481" i="4"/>
  <c r="R481" i="4"/>
  <c r="R349" i="4"/>
  <c r="P349" i="4"/>
  <c r="S447" i="4"/>
  <c r="T447" i="4" s="1"/>
  <c r="O447" i="4"/>
  <c r="O540" i="4"/>
  <c r="S540" i="4"/>
  <c r="T540" i="4" s="1"/>
  <c r="O164" i="4"/>
  <c r="S164" i="4"/>
  <c r="T164" i="4" s="1"/>
  <c r="S255" i="4"/>
  <c r="T255" i="4" s="1"/>
  <c r="O255" i="4"/>
  <c r="S50" i="4"/>
  <c r="T50" i="4" s="1"/>
  <c r="O50" i="4"/>
  <c r="S324" i="4"/>
  <c r="T324" i="4" s="1"/>
  <c r="O324" i="4"/>
  <c r="S202" i="4"/>
  <c r="T202" i="4" s="1"/>
  <c r="O202" i="4"/>
  <c r="S534" i="4"/>
  <c r="T534" i="4" s="1"/>
  <c r="O534" i="4"/>
  <c r="O336" i="4"/>
  <c r="S336" i="4"/>
  <c r="T336" i="4" s="1"/>
  <c r="P125" i="4"/>
  <c r="R125" i="4"/>
  <c r="O9" i="4"/>
  <c r="S9" i="4"/>
  <c r="T9" i="4" s="1"/>
  <c r="S234" i="4"/>
  <c r="T234" i="4" s="1"/>
  <c r="O234" i="4"/>
  <c r="S561" i="4"/>
  <c r="T561" i="4" s="1"/>
  <c r="O561" i="4"/>
  <c r="O524" i="4"/>
  <c r="S524" i="4"/>
  <c r="T524" i="4" s="1"/>
  <c r="R428" i="4"/>
  <c r="P428" i="4"/>
  <c r="S498" i="4"/>
  <c r="T498" i="4" s="1"/>
  <c r="O498" i="4"/>
  <c r="S11" i="4"/>
  <c r="T11" i="4" s="1"/>
  <c r="O11" i="4"/>
  <c r="R133" i="4"/>
  <c r="P133" i="4"/>
  <c r="S124" i="4"/>
  <c r="T124" i="4" s="1"/>
  <c r="O124" i="4"/>
  <c r="O391" i="4"/>
  <c r="S391" i="4"/>
  <c r="T391" i="4" s="1"/>
  <c r="O63" i="4"/>
  <c r="S63" i="4"/>
  <c r="T63" i="4" s="1"/>
  <c r="O582" i="4"/>
  <c r="S582" i="4"/>
  <c r="T582" i="4" s="1"/>
  <c r="O567" i="4"/>
  <c r="S567" i="4"/>
  <c r="T567" i="4" s="1"/>
  <c r="O576" i="4"/>
  <c r="S576" i="4"/>
  <c r="T576" i="4" s="1"/>
  <c r="S333" i="4"/>
  <c r="T333" i="4" s="1"/>
  <c r="O333" i="4"/>
  <c r="S216" i="4"/>
  <c r="T216" i="4" s="1"/>
  <c r="O216" i="4"/>
  <c r="P128" i="4"/>
  <c r="R128" i="4"/>
  <c r="S420" i="4"/>
  <c r="T420" i="4" s="1"/>
  <c r="O420" i="4"/>
  <c r="O293" i="4"/>
  <c r="S293" i="4"/>
  <c r="T293" i="4" s="1"/>
  <c r="R282" i="4"/>
  <c r="P282" i="4"/>
  <c r="O201" i="4"/>
  <c r="S201" i="4"/>
  <c r="T201" i="4" s="1"/>
  <c r="O462" i="4"/>
  <c r="S462" i="4"/>
  <c r="T462" i="4" s="1"/>
  <c r="S173" i="4"/>
  <c r="T173" i="4" s="1"/>
  <c r="O173" i="4"/>
  <c r="P118" i="4"/>
  <c r="R118" i="4"/>
  <c r="K136" i="4"/>
  <c r="J136" i="4"/>
  <c r="O480" i="4"/>
  <c r="S480" i="4"/>
  <c r="T480" i="4" s="1"/>
  <c r="S431" i="4"/>
  <c r="T431" i="4" s="1"/>
  <c r="O431" i="4"/>
  <c r="R121" i="4"/>
  <c r="P121" i="4"/>
  <c r="O437" i="4"/>
  <c r="S437" i="4"/>
  <c r="T437" i="4" s="1"/>
  <c r="R505" i="4"/>
  <c r="P505" i="4"/>
  <c r="S376" i="4"/>
  <c r="T376" i="4" s="1"/>
  <c r="O376" i="4"/>
  <c r="O295" i="4"/>
  <c r="S295" i="4"/>
  <c r="T295" i="4" s="1"/>
  <c r="K153" i="4"/>
  <c r="J153" i="4"/>
  <c r="S189" i="4"/>
  <c r="T189" i="4" s="1"/>
  <c r="O189" i="4"/>
  <c r="S231" i="4"/>
  <c r="T231" i="4" s="1"/>
  <c r="O231" i="4"/>
  <c r="S54" i="4"/>
  <c r="T54" i="4" s="1"/>
  <c r="O54" i="4"/>
  <c r="S111" i="4"/>
  <c r="T111" i="4" s="1"/>
  <c r="O111" i="4"/>
  <c r="P136" i="4"/>
  <c r="R136" i="4"/>
  <c r="O80" i="4"/>
  <c r="S80" i="4"/>
  <c r="T80" i="4" s="1"/>
  <c r="O160" i="4"/>
  <c r="S160" i="4"/>
  <c r="T160" i="4" s="1"/>
  <c r="S6" i="4"/>
  <c r="T6" i="4" s="1"/>
  <c r="O6" i="4"/>
  <c r="S175" i="4"/>
  <c r="T175" i="4" s="1"/>
  <c r="O175" i="4"/>
  <c r="R59" i="4"/>
  <c r="P59" i="4"/>
  <c r="S113" i="4"/>
  <c r="T113" i="4" s="1"/>
  <c r="O113" i="4"/>
  <c r="S194" i="4"/>
  <c r="T194" i="4" s="1"/>
  <c r="O194" i="4"/>
  <c r="R371" i="4"/>
  <c r="P371" i="4"/>
  <c r="S550" i="4"/>
  <c r="T550" i="4" s="1"/>
  <c r="O550" i="4"/>
  <c r="O413" i="4"/>
  <c r="S413" i="4"/>
  <c r="T413" i="4" s="1"/>
  <c r="R258" i="4"/>
  <c r="P258" i="4"/>
  <c r="P510" i="4"/>
  <c r="R510" i="4"/>
  <c r="P424" i="4"/>
  <c r="R424" i="4"/>
  <c r="K135" i="4"/>
  <c r="J135" i="4"/>
  <c r="O196" i="4"/>
  <c r="S196" i="4"/>
  <c r="T196" i="4" s="1"/>
  <c r="S587" i="4"/>
  <c r="T587" i="4" s="1"/>
  <c r="O587" i="4"/>
  <c r="S72" i="4"/>
  <c r="T72" i="4" s="1"/>
  <c r="O72" i="4"/>
  <c r="P252" i="4"/>
  <c r="R252" i="4"/>
  <c r="O25" i="4"/>
  <c r="S25" i="4"/>
  <c r="T25" i="4" s="1"/>
  <c r="K423" i="4"/>
  <c r="J423" i="4"/>
  <c r="O532" i="4"/>
  <c r="S532" i="4"/>
  <c r="T532" i="4" s="1"/>
  <c r="O490" i="4"/>
  <c r="S490" i="4"/>
  <c r="T490" i="4" s="1"/>
  <c r="S285" i="4"/>
  <c r="T285" i="4" s="1"/>
  <c r="O285" i="4"/>
  <c r="R507" i="4"/>
  <c r="P507" i="4"/>
  <c r="P479" i="4"/>
  <c r="R479" i="4"/>
  <c r="AD476" i="4"/>
  <c r="S476" i="4"/>
  <c r="T476" i="4" s="1"/>
  <c r="O476" i="4"/>
  <c r="P288" i="4"/>
  <c r="R288" i="4"/>
  <c r="S277" i="4"/>
  <c r="T277" i="4" s="1"/>
  <c r="O277" i="4"/>
  <c r="R120" i="4"/>
  <c r="P120" i="4"/>
  <c r="S270" i="4"/>
  <c r="T270" i="4" s="1"/>
  <c r="O270" i="4"/>
  <c r="O367" i="4"/>
  <c r="S367" i="4"/>
  <c r="T367" i="4" s="1"/>
  <c r="O148" i="4"/>
  <c r="S148" i="4"/>
  <c r="T148" i="4" s="1"/>
  <c r="S566" i="4"/>
  <c r="T566" i="4" s="1"/>
  <c r="O566" i="4"/>
  <c r="P472" i="4"/>
  <c r="R472" i="4"/>
  <c r="P327" i="4"/>
  <c r="R327" i="4"/>
  <c r="Q411" i="4"/>
  <c r="S398" i="4"/>
  <c r="T398" i="4" s="1"/>
  <c r="O398" i="4"/>
  <c r="R155" i="4"/>
  <c r="P155" i="4"/>
  <c r="P127" i="4"/>
  <c r="R127" i="4"/>
  <c r="S165" i="4"/>
  <c r="T165" i="4" s="1"/>
  <c r="O165" i="4"/>
  <c r="S309" i="4"/>
  <c r="T309" i="4" s="1"/>
  <c r="O309" i="4"/>
  <c r="S412" i="4"/>
  <c r="T412" i="4" s="1"/>
  <c r="O412" i="4"/>
  <c r="O377" i="4"/>
  <c r="S377" i="4"/>
  <c r="T377" i="4" s="1"/>
  <c r="P509" i="4"/>
  <c r="R509" i="4"/>
  <c r="O228" i="4"/>
  <c r="S228" i="4"/>
  <c r="T228" i="4" s="1"/>
  <c r="P53" i="4"/>
  <c r="R53" i="4"/>
  <c r="S81" i="4"/>
  <c r="T81" i="4" s="1"/>
  <c r="O81" i="4"/>
  <c r="O30" i="4"/>
  <c r="S30" i="4"/>
  <c r="T30" i="4" s="1"/>
  <c r="O249" i="4"/>
  <c r="S249" i="4"/>
  <c r="T249" i="4" s="1"/>
  <c r="O159" i="4"/>
  <c r="S159" i="4"/>
  <c r="T159" i="4" s="1"/>
  <c r="O460" i="4"/>
  <c r="S460" i="4"/>
  <c r="T460" i="4" s="1"/>
  <c r="S259" i="4"/>
  <c r="T259" i="4" s="1"/>
  <c r="O259" i="4"/>
  <c r="O16" i="4"/>
  <c r="S16" i="4"/>
  <c r="T16" i="4" s="1"/>
  <c r="O226" i="4"/>
  <c r="S226" i="4"/>
  <c r="T226" i="4" s="1"/>
  <c r="O315" i="4"/>
  <c r="S315" i="4"/>
  <c r="T315" i="4" s="1"/>
  <c r="S264" i="4"/>
  <c r="T264" i="4" s="1"/>
  <c r="O264" i="4"/>
  <c r="O246" i="4"/>
  <c r="S246" i="4"/>
  <c r="T246" i="4" s="1"/>
  <c r="O144" i="4"/>
  <c r="S144" i="4"/>
  <c r="T144" i="4" s="1"/>
  <c r="S337" i="4"/>
  <c r="T337" i="4" s="1"/>
  <c r="O337" i="4"/>
  <c r="R61" i="4"/>
  <c r="P61" i="4"/>
  <c r="S229" i="4"/>
  <c r="T229" i="4" s="1"/>
  <c r="O229" i="4"/>
  <c r="O22" i="4"/>
  <c r="S22" i="4"/>
  <c r="T22" i="4" s="1"/>
  <c r="O46" i="4"/>
  <c r="S46" i="4"/>
  <c r="T46" i="4" s="1"/>
  <c r="S7" i="4"/>
  <c r="T7" i="4" s="1"/>
  <c r="O7" i="4"/>
  <c r="S522" i="4"/>
  <c r="T522" i="4" s="1"/>
  <c r="O522" i="4"/>
  <c r="R425" i="4"/>
  <c r="P425" i="4"/>
  <c r="R140" i="4"/>
  <c r="P140" i="4"/>
  <c r="R290" i="4"/>
  <c r="P290" i="4"/>
  <c r="S342" i="4"/>
  <c r="T342" i="4" s="1"/>
  <c r="O342" i="4"/>
  <c r="O119" i="4"/>
  <c r="S119" i="4"/>
  <c r="T119" i="4" s="1"/>
  <c r="S512" i="4"/>
  <c r="T512" i="4" s="1"/>
  <c r="O512" i="4"/>
  <c r="R363" i="4"/>
  <c r="P363" i="4"/>
  <c r="R286" i="4"/>
  <c r="P286" i="4"/>
  <c r="J137" i="4"/>
  <c r="K137" i="4"/>
  <c r="R117" i="4"/>
  <c r="P117" i="4"/>
  <c r="S364" i="4"/>
  <c r="T364" i="4" s="1"/>
  <c r="AA364" i="4"/>
  <c r="O364" i="4"/>
  <c r="R474" i="4"/>
  <c r="P474" i="4"/>
  <c r="U86" i="4"/>
  <c r="Q86" i="4" s="1"/>
  <c r="U82" i="4"/>
  <c r="Q82" i="4" s="1"/>
  <c r="U90" i="4"/>
  <c r="Q90" i="4" s="1"/>
  <c r="U83" i="4"/>
  <c r="Q83" i="4" s="1"/>
  <c r="U88" i="4"/>
  <c r="Q88" i="4" s="1"/>
  <c r="U87" i="4"/>
  <c r="Q87" i="4" s="1"/>
  <c r="U84" i="4"/>
  <c r="Q84" i="4" s="1"/>
  <c r="U89" i="4"/>
  <c r="Q89" i="4" s="1"/>
  <c r="U85" i="4"/>
  <c r="Q85" i="4" s="1"/>
  <c r="U91" i="4"/>
  <c r="Q91" i="4" s="1"/>
  <c r="R130" i="4"/>
  <c r="P130" i="4"/>
  <c r="S64" i="4"/>
  <c r="T64" i="4" s="1"/>
  <c r="O64" i="4"/>
  <c r="S199" i="4"/>
  <c r="T199" i="4" s="1"/>
  <c r="O199" i="4"/>
  <c r="S571" i="4"/>
  <c r="T571" i="4" s="1"/>
  <c r="O571" i="4"/>
  <c r="P351" i="4"/>
  <c r="R351" i="4"/>
  <c r="O182" i="4"/>
  <c r="S182" i="4"/>
  <c r="T182" i="4" s="1"/>
  <c r="R502" i="4"/>
  <c r="P502" i="4"/>
  <c r="S92" i="4"/>
  <c r="T92" i="4" s="1"/>
  <c r="O92" i="4"/>
  <c r="S32" i="4"/>
  <c r="T32" i="4" s="1"/>
  <c r="O32" i="4"/>
  <c r="S520" i="4"/>
  <c r="T520" i="4" s="1"/>
  <c r="O520" i="4"/>
  <c r="S568" i="4"/>
  <c r="T568" i="4" s="1"/>
  <c r="O568" i="4"/>
  <c r="R477" i="4"/>
  <c r="P477" i="4"/>
  <c r="O459" i="4"/>
  <c r="S459" i="4"/>
  <c r="T459" i="4" s="1"/>
  <c r="O580" i="4"/>
  <c r="S580" i="4"/>
  <c r="T580" i="4" s="1"/>
  <c r="R496" i="4"/>
  <c r="P496" i="4"/>
  <c r="O484" i="4"/>
  <c r="S484" i="4"/>
  <c r="T484" i="4" s="1"/>
  <c r="P153" i="4"/>
  <c r="R153" i="4"/>
  <c r="O345" i="4"/>
  <c r="S345" i="4"/>
  <c r="T345" i="4" s="1"/>
  <c r="S263" i="4"/>
  <c r="T263" i="4" s="1"/>
  <c r="O263" i="4"/>
  <c r="O225" i="4"/>
  <c r="S225" i="4"/>
  <c r="T225" i="4" s="1"/>
  <c r="S273" i="4"/>
  <c r="T273" i="4" s="1"/>
  <c r="O273" i="4"/>
  <c r="S180" i="4"/>
  <c r="T180" i="4" s="1"/>
  <c r="O180" i="4"/>
  <c r="S142" i="4"/>
  <c r="T142" i="4" s="1"/>
  <c r="O142" i="4"/>
  <c r="O348" i="4"/>
  <c r="S348" i="4"/>
  <c r="T348" i="4" s="1"/>
  <c r="O319" i="4"/>
  <c r="S319" i="4"/>
  <c r="T319" i="4" s="1"/>
  <c r="K430" i="4"/>
  <c r="J430" i="4"/>
  <c r="P511" i="4"/>
  <c r="R511" i="4"/>
  <c r="S279" i="4"/>
  <c r="T279" i="4" s="1"/>
  <c r="O279" i="4"/>
  <c r="S106" i="4"/>
  <c r="T106" i="4" s="1"/>
  <c r="O106" i="4"/>
  <c r="O48" i="4"/>
  <c r="S48" i="4"/>
  <c r="T48" i="4" s="1"/>
  <c r="S40" i="4"/>
  <c r="T40" i="4" s="1"/>
  <c r="O40" i="4"/>
  <c r="R60" i="4"/>
  <c r="P60" i="4"/>
  <c r="S552" i="4"/>
  <c r="T552" i="4" s="1"/>
  <c r="O552" i="4"/>
  <c r="K144" i="4"/>
  <c r="J144" i="4"/>
  <c r="O55" i="4"/>
  <c r="S55" i="4"/>
  <c r="T55" i="4" s="1"/>
  <c r="O14" i="4"/>
  <c r="S14" i="4"/>
  <c r="T14" i="4" s="1"/>
  <c r="S357" i="4"/>
  <c r="T357" i="4" s="1"/>
  <c r="O357" i="4"/>
  <c r="S123" i="4"/>
  <c r="T123" i="4" s="1"/>
  <c r="O123" i="4"/>
  <c r="P260" i="4"/>
  <c r="R260" i="4"/>
  <c r="O217" i="4"/>
  <c r="S217" i="4"/>
  <c r="T217" i="4" s="1"/>
  <c r="S495" i="4"/>
  <c r="T495" i="4" s="1"/>
  <c r="O495" i="4"/>
  <c r="O254" i="4"/>
  <c r="S254" i="4"/>
  <c r="T254" i="4" s="1"/>
  <c r="K143" i="4"/>
  <c r="J143" i="4"/>
  <c r="S75" i="4"/>
  <c r="T75" i="4" s="1"/>
  <c r="O75" i="4"/>
  <c r="O43" i="4"/>
  <c r="S43" i="4"/>
  <c r="T43" i="4" s="1"/>
  <c r="K426" i="4"/>
  <c r="J426" i="4"/>
  <c r="S544" i="4"/>
  <c r="T544" i="4" s="1"/>
  <c r="O544" i="4"/>
  <c r="S486" i="4"/>
  <c r="T486" i="4" s="1"/>
  <c r="O486" i="4"/>
  <c r="O361" i="4"/>
  <c r="S361" i="4"/>
  <c r="T361" i="4" s="1"/>
  <c r="R422" i="4"/>
  <c r="P422" i="4"/>
  <c r="R343" i="4"/>
  <c r="P343" i="4"/>
  <c r="S272" i="4"/>
  <c r="T272" i="4" s="1"/>
  <c r="O272" i="4"/>
  <c r="S454" i="4"/>
  <c r="T454" i="4" s="1"/>
  <c r="O454" i="4"/>
  <c r="O355" i="4"/>
  <c r="S355" i="4"/>
  <c r="T355" i="4" s="1"/>
  <c r="O397" i="4"/>
  <c r="S397" i="4"/>
  <c r="T397" i="4" s="1"/>
  <c r="P139" i="4"/>
  <c r="R139" i="4"/>
  <c r="O404" i="4"/>
  <c r="S404" i="4"/>
  <c r="T404" i="4" s="1"/>
  <c r="O233" i="4"/>
  <c r="S233" i="4"/>
  <c r="T233" i="4" s="1"/>
  <c r="O417" i="4"/>
  <c r="S417" i="4"/>
  <c r="T417" i="4" s="1"/>
  <c r="J149" i="4"/>
  <c r="K149" i="4"/>
  <c r="R112" i="4"/>
  <c r="P112" i="4"/>
  <c r="R506" i="4"/>
  <c r="P506" i="4"/>
  <c r="O306" i="4"/>
  <c r="S306" i="4"/>
  <c r="T306" i="4" s="1"/>
  <c r="O70" i="4"/>
  <c r="S70" i="4"/>
  <c r="T70" i="4" s="1"/>
  <c r="O95" i="4"/>
  <c r="S95" i="4"/>
  <c r="T95" i="4" s="1"/>
  <c r="P135" i="4"/>
  <c r="R135" i="4"/>
  <c r="O100" i="4"/>
  <c r="S100" i="4"/>
  <c r="T100" i="4" s="1"/>
  <c r="R52" i="4"/>
  <c r="P52" i="4"/>
  <c r="O94" i="4"/>
  <c r="S94" i="4"/>
  <c r="T94" i="4" s="1"/>
  <c r="S584" i="4"/>
  <c r="T584" i="4" s="1"/>
  <c r="O584" i="4"/>
  <c r="S577" i="4"/>
  <c r="T577" i="4" s="1"/>
  <c r="O577" i="4"/>
  <c r="S518" i="4"/>
  <c r="T518" i="4" s="1"/>
  <c r="O518" i="4"/>
  <c r="P403" i="4"/>
  <c r="R403" i="4"/>
  <c r="S483" i="4"/>
  <c r="T483" i="4" s="1"/>
  <c r="O483" i="4"/>
  <c r="R346" i="4"/>
  <c r="P346" i="4"/>
  <c r="R501" i="4"/>
  <c r="P501" i="4"/>
  <c r="S489" i="4"/>
  <c r="T489" i="4" s="1"/>
  <c r="O489" i="4"/>
  <c r="P131" i="4"/>
  <c r="R131" i="4"/>
  <c r="S442" i="4"/>
  <c r="T442" i="4" s="1"/>
  <c r="O442" i="4"/>
  <c r="S317" i="4"/>
  <c r="T317" i="4" s="1"/>
  <c r="O317" i="4"/>
  <c r="O373" i="4"/>
  <c r="S373" i="4"/>
  <c r="T373" i="4" s="1"/>
  <c r="O405" i="4"/>
  <c r="S405" i="4"/>
  <c r="T405" i="4" s="1"/>
  <c r="S332" i="4"/>
  <c r="T332" i="4" s="1"/>
  <c r="O332" i="4"/>
  <c r="O276" i="4"/>
  <c r="S276" i="4"/>
  <c r="T276" i="4" s="1"/>
  <c r="R122" i="4"/>
  <c r="P122" i="4"/>
  <c r="P504" i="4"/>
  <c r="R504" i="4"/>
  <c r="S205" i="4"/>
  <c r="T205" i="4" s="1"/>
  <c r="O205" i="4"/>
  <c r="S18" i="4"/>
  <c r="T18" i="4" s="1"/>
  <c r="O18" i="4"/>
  <c r="S170" i="4"/>
  <c r="T170" i="4" s="1"/>
  <c r="O170" i="4"/>
  <c r="S34" i="4"/>
  <c r="T34" i="4" s="1"/>
  <c r="O34" i="4"/>
  <c r="S471" i="4"/>
  <c r="T471" i="4" s="1"/>
  <c r="O471" i="4"/>
  <c r="S68" i="4"/>
  <c r="T68" i="4" s="1"/>
  <c r="O68" i="4"/>
  <c r="O396" i="4"/>
  <c r="S396" i="4"/>
  <c r="T396" i="4" s="1"/>
  <c r="S245" i="4"/>
  <c r="T245" i="4" s="1"/>
  <c r="O245" i="4"/>
  <c r="S304" i="4"/>
  <c r="T304" i="4" s="1"/>
  <c r="O304" i="4"/>
  <c r="K134" i="4"/>
  <c r="J134" i="4"/>
  <c r="S334" i="4"/>
  <c r="T334" i="4" s="1"/>
  <c r="O334" i="4"/>
  <c r="S466" i="4"/>
  <c r="T466" i="4" s="1"/>
  <c r="O466" i="4"/>
  <c r="S554" i="4"/>
  <c r="T554" i="4" s="1"/>
  <c r="O554" i="4"/>
  <c r="O491" i="4"/>
  <c r="S491" i="4"/>
  <c r="T491" i="4" s="1"/>
  <c r="P473" i="4"/>
  <c r="R473" i="4"/>
  <c r="O380" i="4"/>
  <c r="S380" i="4"/>
  <c r="T380" i="4" s="1"/>
  <c r="S467" i="4"/>
  <c r="T467" i="4" s="1"/>
  <c r="O467" i="4"/>
  <c r="R331" i="4"/>
  <c r="P331" i="4"/>
  <c r="R323" i="4"/>
  <c r="P323" i="4"/>
  <c r="R350" i="4"/>
  <c r="P350" i="4"/>
  <c r="S542" i="4"/>
  <c r="T542" i="4" s="1"/>
  <c r="O542" i="4"/>
  <c r="R138" i="4"/>
  <c r="P138" i="4"/>
  <c r="S248" i="4"/>
  <c r="T248" i="4" s="1"/>
  <c r="O248" i="4"/>
  <c r="S399" i="4"/>
  <c r="T399" i="4" s="1"/>
  <c r="O399" i="4"/>
  <c r="O302" i="4"/>
  <c r="S302" i="4"/>
  <c r="T302" i="4" s="1"/>
  <c r="P289" i="4"/>
  <c r="R289" i="4"/>
  <c r="O187" i="4"/>
  <c r="S187" i="4"/>
  <c r="T187" i="4" s="1"/>
  <c r="R132" i="4"/>
  <c r="P132" i="4"/>
  <c r="P329" i="4"/>
  <c r="R329" i="4"/>
  <c r="S261" i="4"/>
  <c r="T261" i="4" s="1"/>
  <c r="O261" i="4"/>
  <c r="P114" i="4"/>
  <c r="R114" i="4"/>
  <c r="S464" i="4"/>
  <c r="T464" i="4" s="1"/>
  <c r="O464" i="4"/>
  <c r="O23" i="4"/>
  <c r="S23" i="4"/>
  <c r="T23" i="4" s="1"/>
  <c r="K260" i="4"/>
  <c r="J260" i="4"/>
  <c r="K261" i="4"/>
  <c r="J261" i="4"/>
  <c r="S269" i="4"/>
  <c r="T269" i="4" s="1"/>
  <c r="O269" i="4"/>
  <c r="O242" i="4"/>
  <c r="S242" i="4"/>
  <c r="T242" i="4" s="1"/>
  <c r="O172" i="4"/>
  <c r="S172" i="4"/>
  <c r="T172" i="4" s="1"/>
  <c r="O487" i="4"/>
  <c r="S487" i="4"/>
  <c r="T487" i="4" s="1"/>
  <c r="O297" i="4"/>
  <c r="S297" i="4"/>
  <c r="T297" i="4" s="1"/>
  <c r="O147" i="4"/>
  <c r="S147" i="4"/>
  <c r="T147" i="4" s="1"/>
  <c r="R58" i="4"/>
  <c r="P58" i="4"/>
  <c r="O2" i="4"/>
  <c r="S2" i="4"/>
  <c r="T2" i="4" s="1"/>
  <c r="S536" i="4"/>
  <c r="T536" i="4" s="1"/>
  <c r="O536" i="4"/>
  <c r="P478" i="4"/>
  <c r="R478" i="4"/>
  <c r="S588" i="4"/>
  <c r="T588" i="4" s="1"/>
  <c r="O588" i="4"/>
  <c r="R500" i="4"/>
  <c r="P500" i="4"/>
  <c r="P322" i="4"/>
  <c r="R322" i="4"/>
  <c r="S387" i="4"/>
  <c r="T387" i="4" s="1"/>
  <c r="O387" i="4"/>
  <c r="R129" i="4"/>
  <c r="P129" i="4"/>
  <c r="O383" i="4"/>
  <c r="S383" i="4"/>
  <c r="T383" i="4" s="1"/>
  <c r="R115" i="4"/>
  <c r="P115" i="4"/>
  <c r="O393" i="4"/>
  <c r="S393" i="4"/>
  <c r="T393" i="4" s="1"/>
  <c r="O3" i="4"/>
  <c r="S3" i="4"/>
  <c r="T3" i="4" s="1"/>
  <c r="K159" i="4"/>
  <c r="J159" i="4"/>
  <c r="S381" i="4"/>
  <c r="T381" i="4" s="1"/>
  <c r="O381" i="4"/>
  <c r="O326" i="4"/>
  <c r="S326" i="4"/>
  <c r="T326" i="4" s="1"/>
  <c r="S570" i="4"/>
  <c r="T570" i="4" s="1"/>
  <c r="O570" i="4"/>
  <c r="O354" i="4"/>
  <c r="S354" i="4"/>
  <c r="T354" i="4" s="1"/>
  <c r="O465" i="4"/>
  <c r="S465" i="4"/>
  <c r="T465" i="4" s="1"/>
  <c r="O300" i="4"/>
  <c r="S300" i="4"/>
  <c r="T300" i="4" s="1"/>
  <c r="O145" i="4"/>
  <c r="S145" i="4"/>
  <c r="T145" i="4" s="1"/>
  <c r="S237" i="4"/>
  <c r="T237" i="4" s="1"/>
  <c r="O237" i="4"/>
  <c r="S545" i="4"/>
  <c r="T545" i="4" s="1"/>
  <c r="O545" i="4"/>
  <c r="S526" i="4"/>
  <c r="T526" i="4" s="1"/>
  <c r="O526" i="4"/>
  <c r="R475" i="4"/>
  <c r="P475" i="4"/>
  <c r="S375" i="4"/>
  <c r="T375" i="4" s="1"/>
  <c r="O375" i="4"/>
  <c r="O463" i="4"/>
  <c r="S463" i="4"/>
  <c r="T463" i="4" s="1"/>
  <c r="S392" i="4"/>
  <c r="T392" i="4" s="1"/>
  <c r="O392" i="4"/>
  <c r="P499" i="4"/>
  <c r="R499" i="4"/>
  <c r="Q429" i="4"/>
  <c r="O340" i="4"/>
  <c r="S340" i="4"/>
  <c r="T340" i="4" s="1"/>
  <c r="S529" i="4"/>
  <c r="T529" i="4" s="1"/>
  <c r="O529" i="4"/>
  <c r="S538" i="4"/>
  <c r="T538" i="4" s="1"/>
  <c r="O538" i="4"/>
  <c r="O451" i="4"/>
  <c r="S451" i="4"/>
  <c r="T451" i="4" s="1"/>
  <c r="R368" i="4"/>
  <c r="P368" i="4"/>
  <c r="S585" i="4"/>
  <c r="T585" i="4" s="1"/>
  <c r="O585" i="4"/>
  <c r="O560" i="4"/>
  <c r="S560" i="4"/>
  <c r="T560" i="4" s="1"/>
  <c r="Q493" i="4"/>
  <c r="Q430" i="4"/>
  <c r="S372" i="4"/>
  <c r="T372" i="4" s="1"/>
  <c r="O372" i="4"/>
  <c r="O564" i="4"/>
  <c r="S564" i="4"/>
  <c r="T564" i="4" s="1"/>
  <c r="O311" i="4"/>
  <c r="S311" i="4"/>
  <c r="T311" i="4" s="1"/>
  <c r="S513" i="4"/>
  <c r="T513" i="4" s="1"/>
  <c r="O513" i="4"/>
  <c r="P409" i="4"/>
  <c r="R409" i="4"/>
  <c r="R406" i="4"/>
  <c r="P406" i="4"/>
  <c r="S521" i="4"/>
  <c r="T521" i="4" s="1"/>
  <c r="O521" i="4"/>
  <c r="O441" i="4"/>
  <c r="S441" i="4"/>
  <c r="T441" i="4" s="1"/>
  <c r="P369" i="4"/>
  <c r="R369" i="4"/>
  <c r="S578" i="4"/>
  <c r="T578" i="4" s="1"/>
  <c r="O578" i="4"/>
  <c r="O519" i="4"/>
  <c r="S519" i="4"/>
  <c r="T519" i="4" s="1"/>
  <c r="R423" i="4"/>
  <c r="P423" i="4"/>
  <c r="O379" i="4"/>
  <c r="S379" i="4"/>
  <c r="T379" i="4" s="1"/>
  <c r="Q426" i="4"/>
  <c r="R256" i="4"/>
  <c r="P256" i="4"/>
  <c r="S461" i="4"/>
  <c r="T461" i="4" s="1"/>
  <c r="O461" i="4"/>
  <c r="R347" i="4"/>
  <c r="P347" i="4"/>
  <c r="P154" i="4"/>
  <c r="R154" i="4"/>
  <c r="O374" i="4"/>
  <c r="S374" i="4"/>
  <c r="T374" i="4" s="1"/>
  <c r="R330" i="4"/>
  <c r="P330" i="4"/>
  <c r="Q141" i="4"/>
  <c r="S378" i="4"/>
  <c r="T378" i="4" s="1"/>
  <c r="O378" i="4"/>
  <c r="P287" i="4"/>
  <c r="R287" i="4"/>
  <c r="S105" i="4"/>
  <c r="T105" i="4" s="1"/>
  <c r="O105" i="4"/>
  <c r="O589" i="4"/>
  <c r="S589" i="4"/>
  <c r="T589" i="4" s="1"/>
  <c r="R408" i="4"/>
  <c r="P408" i="4"/>
  <c r="P402" i="4"/>
  <c r="R402" i="4"/>
  <c r="P370" i="4"/>
  <c r="R370" i="4"/>
  <c r="P497" i="4"/>
  <c r="R497" i="4"/>
  <c r="Q427" i="4"/>
  <c r="S528" i="4"/>
  <c r="T528" i="4" s="1"/>
  <c r="O528" i="4"/>
  <c r="O432" i="4"/>
  <c r="S432" i="4"/>
  <c r="T432" i="4" s="1"/>
  <c r="S394" i="4"/>
  <c r="T394" i="4" s="1"/>
  <c r="O394" i="4"/>
  <c r="R344" i="4"/>
  <c r="P344" i="4"/>
  <c r="S446" i="4"/>
  <c r="T446" i="4" s="1"/>
  <c r="O446" i="4"/>
  <c r="S296" i="4"/>
  <c r="T296" i="4" s="1"/>
  <c r="O296" i="4"/>
  <c r="K148" i="4"/>
  <c r="J148" i="4"/>
  <c r="S303" i="4"/>
  <c r="T303" i="4" s="1"/>
  <c r="O303" i="4"/>
  <c r="O482" i="4"/>
  <c r="S482" i="4"/>
  <c r="T482" i="4" s="1"/>
  <c r="Q134" i="4"/>
  <c r="S453" i="4"/>
  <c r="T453" i="4" s="1"/>
  <c r="O453" i="4"/>
  <c r="R291" i="4"/>
  <c r="P291" i="4"/>
  <c r="J254" i="4"/>
  <c r="K254" i="4"/>
  <c r="K139" i="4"/>
  <c r="J139" i="4"/>
  <c r="S537" i="4"/>
  <c r="T537" i="4" s="1"/>
  <c r="O537" i="4"/>
  <c r="S320" i="4"/>
  <c r="T320" i="4" s="1"/>
  <c r="O320" i="4"/>
  <c r="R156" i="4"/>
  <c r="P156" i="4"/>
  <c r="O66" i="4"/>
  <c r="S66" i="4"/>
  <c r="T66" i="4" s="1"/>
  <c r="O458" i="4"/>
  <c r="S458" i="4"/>
  <c r="T458" i="4" s="1"/>
  <c r="O419" i="4"/>
  <c r="S419" i="4"/>
  <c r="T419" i="4" s="1"/>
  <c r="S301" i="4"/>
  <c r="T301" i="4" s="1"/>
  <c r="O301" i="4"/>
  <c r="O440" i="4"/>
  <c r="S440" i="4"/>
  <c r="T440" i="4" s="1"/>
  <c r="R116" i="4"/>
  <c r="P116" i="4"/>
  <c r="P508" i="4"/>
  <c r="R508" i="4"/>
  <c r="S325" i="4"/>
  <c r="T325" i="4" s="1"/>
  <c r="O325" i="4"/>
  <c r="S220" i="4"/>
  <c r="T220" i="4" s="1"/>
  <c r="O220" i="4"/>
  <c r="S31" i="4"/>
  <c r="T31" i="4" s="1"/>
  <c r="O31" i="4"/>
  <c r="O20" i="4"/>
  <c r="S20" i="4"/>
  <c r="T20" i="4" s="1"/>
  <c r="O71" i="4"/>
  <c r="S71" i="4"/>
  <c r="T71" i="4" s="1"/>
  <c r="O548" i="4"/>
  <c r="S548" i="4"/>
  <c r="T548" i="4" s="1"/>
  <c r="S157" i="4"/>
  <c r="T157" i="4" s="1"/>
  <c r="O157" i="4"/>
  <c r="S97" i="4"/>
  <c r="T97" i="4" s="1"/>
  <c r="O97" i="4"/>
  <c r="O353" i="4"/>
  <c r="S353" i="4"/>
  <c r="T353" i="4" s="1"/>
  <c r="O177" i="4"/>
  <c r="S177" i="4"/>
  <c r="T177" i="4" s="1"/>
  <c r="O38" i="4"/>
  <c r="S38" i="4"/>
  <c r="T38" i="4" s="1"/>
  <c r="O10" i="4"/>
  <c r="S10" i="4"/>
  <c r="T10" i="4" s="1"/>
  <c r="O223" i="4"/>
  <c r="S223" i="4"/>
  <c r="T223" i="4" s="1"/>
  <c r="O503" i="4"/>
  <c r="AE503" i="4"/>
  <c r="S503" i="4"/>
  <c r="T503" i="4" s="1"/>
  <c r="S283" i="4"/>
  <c r="T283" i="4" s="1"/>
  <c r="O283" i="4"/>
  <c r="S222" i="4"/>
  <c r="T222" i="4" s="1"/>
  <c r="O222" i="4"/>
  <c r="O176" i="4"/>
  <c r="S176" i="4"/>
  <c r="T176" i="4" s="1"/>
  <c r="S103" i="4"/>
  <c r="T103" i="4" s="1"/>
  <c r="O103" i="4"/>
  <c r="O57" i="4"/>
  <c r="S57" i="4"/>
  <c r="T57" i="4" s="1"/>
  <c r="O516" i="4"/>
  <c r="S516" i="4"/>
  <c r="T516" i="4" s="1"/>
  <c r="S213" i="4"/>
  <c r="T213" i="4" s="1"/>
  <c r="O213" i="4"/>
  <c r="S400" i="4"/>
  <c r="T400" i="4" s="1"/>
  <c r="O400" i="4"/>
  <c r="P56" i="4"/>
  <c r="R56" i="4"/>
  <c r="S27" i="4"/>
  <c r="T27" i="4" s="1"/>
  <c r="O27" i="4"/>
  <c r="R426" i="4" l="1"/>
  <c r="P426" i="4"/>
  <c r="AE504" i="4"/>
  <c r="S504" i="4"/>
  <c r="T504" i="4" s="1"/>
  <c r="O504" i="4"/>
  <c r="O369" i="4"/>
  <c r="S369" i="4"/>
  <c r="T369" i="4" s="1"/>
  <c r="P411" i="4"/>
  <c r="R411" i="4"/>
  <c r="S510" i="4"/>
  <c r="T510" i="4" s="1"/>
  <c r="O510" i="4"/>
  <c r="O136" i="4"/>
  <c r="S136" i="4"/>
  <c r="T136" i="4" s="1"/>
  <c r="S328" i="4"/>
  <c r="T328" i="4" s="1"/>
  <c r="O328" i="4"/>
  <c r="S156" i="4"/>
  <c r="T156" i="4" s="1"/>
  <c r="O156" i="4"/>
  <c r="R427" i="4"/>
  <c r="P427" i="4"/>
  <c r="O408" i="4"/>
  <c r="S408" i="4"/>
  <c r="T408" i="4" s="1"/>
  <c r="O368" i="4"/>
  <c r="S368" i="4"/>
  <c r="T368" i="4" s="1"/>
  <c r="S114" i="4"/>
  <c r="T114" i="4" s="1"/>
  <c r="O114" i="4"/>
  <c r="AD473" i="4"/>
  <c r="O473" i="4"/>
  <c r="S473" i="4"/>
  <c r="T473" i="4" s="1"/>
  <c r="O403" i="4"/>
  <c r="S403" i="4"/>
  <c r="T403" i="4" s="1"/>
  <c r="O153" i="4"/>
  <c r="S153" i="4"/>
  <c r="T153" i="4" s="1"/>
  <c r="S351" i="4"/>
  <c r="T351" i="4" s="1"/>
  <c r="O351" i="4"/>
  <c r="R83" i="4"/>
  <c r="P83" i="4"/>
  <c r="AA363" i="4"/>
  <c r="S363" i="4"/>
  <c r="T363" i="4" s="1"/>
  <c r="O363" i="4"/>
  <c r="S290" i="4"/>
  <c r="T290" i="4" s="1"/>
  <c r="O290" i="4"/>
  <c r="O61" i="4"/>
  <c r="S61" i="4"/>
  <c r="T61" i="4" s="1"/>
  <c r="S327" i="4"/>
  <c r="T327" i="4" s="1"/>
  <c r="O327" i="4"/>
  <c r="O288" i="4"/>
  <c r="S288" i="4"/>
  <c r="T288" i="4" s="1"/>
  <c r="AE507" i="4"/>
  <c r="S507" i="4"/>
  <c r="T507" i="4" s="1"/>
  <c r="O507" i="4"/>
  <c r="O371" i="4"/>
  <c r="S371" i="4"/>
  <c r="T371" i="4" s="1"/>
  <c r="AE505" i="4"/>
  <c r="O505" i="4"/>
  <c r="S505" i="4"/>
  <c r="T505" i="4" s="1"/>
  <c r="O349" i="4"/>
  <c r="S349" i="4"/>
  <c r="T349" i="4" s="1"/>
  <c r="P134" i="4"/>
  <c r="R134" i="4"/>
  <c r="S502" i="4"/>
  <c r="T502" i="4" s="1"/>
  <c r="AE502" i="4"/>
  <c r="O502" i="4"/>
  <c r="S286" i="4"/>
  <c r="T286" i="4" s="1"/>
  <c r="O286" i="4"/>
  <c r="S115" i="4"/>
  <c r="T115" i="4" s="1"/>
  <c r="O115" i="4"/>
  <c r="S422" i="4"/>
  <c r="T422" i="4" s="1"/>
  <c r="O422" i="4"/>
  <c r="R141" i="4"/>
  <c r="P141" i="4"/>
  <c r="O130" i="4"/>
  <c r="S130" i="4"/>
  <c r="T130" i="4" s="1"/>
  <c r="S56" i="4"/>
  <c r="T56" i="4" s="1"/>
  <c r="O56" i="4"/>
  <c r="P493" i="4"/>
  <c r="R493" i="4"/>
  <c r="O499" i="4"/>
  <c r="S499" i="4"/>
  <c r="T499" i="4" s="1"/>
  <c r="S289" i="4"/>
  <c r="T289" i="4" s="1"/>
  <c r="O289" i="4"/>
  <c r="S139" i="4"/>
  <c r="T139" i="4" s="1"/>
  <c r="O139" i="4"/>
  <c r="P91" i="4"/>
  <c r="R91" i="4"/>
  <c r="R82" i="4"/>
  <c r="P82" i="4"/>
  <c r="S117" i="4"/>
  <c r="T117" i="4" s="1"/>
  <c r="O117" i="4"/>
  <c r="O140" i="4"/>
  <c r="S140" i="4"/>
  <c r="T140" i="4" s="1"/>
  <c r="AD472" i="4"/>
  <c r="O472" i="4"/>
  <c r="S472" i="4"/>
  <c r="T472" i="4" s="1"/>
  <c r="S258" i="4"/>
  <c r="T258" i="4" s="1"/>
  <c r="O258" i="4"/>
  <c r="O428" i="4"/>
  <c r="S428" i="4"/>
  <c r="T428" i="4" s="1"/>
  <c r="O410" i="4"/>
  <c r="S410" i="4"/>
  <c r="T410" i="4" s="1"/>
  <c r="S402" i="4"/>
  <c r="T402" i="4" s="1"/>
  <c r="O402" i="4"/>
  <c r="S287" i="4"/>
  <c r="T287" i="4" s="1"/>
  <c r="O287" i="4"/>
  <c r="S256" i="4"/>
  <c r="T256" i="4" s="1"/>
  <c r="O256" i="4"/>
  <c r="O346" i="4"/>
  <c r="S346" i="4"/>
  <c r="T346" i="4" s="1"/>
  <c r="S343" i="4"/>
  <c r="T343" i="4" s="1"/>
  <c r="O343" i="4"/>
  <c r="S496" i="4"/>
  <c r="T496" i="4" s="1"/>
  <c r="O496" i="4"/>
  <c r="O474" i="4"/>
  <c r="S474" i="4"/>
  <c r="T474" i="4" s="1"/>
  <c r="AD474" i="4"/>
  <c r="S479" i="4"/>
  <c r="T479" i="4" s="1"/>
  <c r="O479" i="4"/>
  <c r="S424" i="4"/>
  <c r="T424" i="4" s="1"/>
  <c r="O424" i="4"/>
  <c r="O154" i="4"/>
  <c r="S154" i="4"/>
  <c r="T154" i="4" s="1"/>
  <c r="O406" i="4"/>
  <c r="S406" i="4"/>
  <c r="T406" i="4" s="1"/>
  <c r="S322" i="4"/>
  <c r="T322" i="4" s="1"/>
  <c r="O322" i="4"/>
  <c r="O131" i="4"/>
  <c r="S131" i="4"/>
  <c r="T131" i="4" s="1"/>
  <c r="P87" i="4"/>
  <c r="R87" i="4"/>
  <c r="S59" i="4"/>
  <c r="T59" i="4" s="1"/>
  <c r="O59" i="4"/>
  <c r="S407" i="4"/>
  <c r="T407" i="4" s="1"/>
  <c r="O407" i="4"/>
  <c r="S409" i="4"/>
  <c r="T409" i="4" s="1"/>
  <c r="O409" i="4"/>
  <c r="S132" i="4"/>
  <c r="T132" i="4" s="1"/>
  <c r="O132" i="4"/>
  <c r="S350" i="4"/>
  <c r="T350" i="4" s="1"/>
  <c r="O350" i="4"/>
  <c r="AE506" i="4"/>
  <c r="S506" i="4"/>
  <c r="T506" i="4" s="1"/>
  <c r="O506" i="4"/>
  <c r="R88" i="4"/>
  <c r="P88" i="4"/>
  <c r="S508" i="4"/>
  <c r="T508" i="4" s="1"/>
  <c r="O508" i="4"/>
  <c r="AE508" i="4"/>
  <c r="O344" i="4"/>
  <c r="S344" i="4"/>
  <c r="T344" i="4" s="1"/>
  <c r="S497" i="4"/>
  <c r="T497" i="4" s="1"/>
  <c r="O497" i="4"/>
  <c r="O347" i="4"/>
  <c r="S347" i="4"/>
  <c r="T347" i="4" s="1"/>
  <c r="P430" i="4"/>
  <c r="R430" i="4"/>
  <c r="S500" i="4"/>
  <c r="T500" i="4" s="1"/>
  <c r="O500" i="4"/>
  <c r="S323" i="4"/>
  <c r="T323" i="4" s="1"/>
  <c r="O323" i="4"/>
  <c r="O122" i="4"/>
  <c r="S122" i="4"/>
  <c r="T122" i="4" s="1"/>
  <c r="S112" i="4"/>
  <c r="T112" i="4" s="1"/>
  <c r="O112" i="4"/>
  <c r="P90" i="4"/>
  <c r="R90" i="4"/>
  <c r="O127" i="4"/>
  <c r="S127" i="4"/>
  <c r="T127" i="4" s="1"/>
  <c r="S128" i="4"/>
  <c r="T128" i="4" s="1"/>
  <c r="O128" i="4"/>
  <c r="O481" i="4"/>
  <c r="S481" i="4"/>
  <c r="T481" i="4" s="1"/>
  <c r="O291" i="4"/>
  <c r="S291" i="4"/>
  <c r="T291" i="4" s="1"/>
  <c r="O423" i="4"/>
  <c r="S423" i="4"/>
  <c r="T423" i="4" s="1"/>
  <c r="S370" i="4"/>
  <c r="T370" i="4" s="1"/>
  <c r="O370" i="4"/>
  <c r="S330" i="4"/>
  <c r="T330" i="4" s="1"/>
  <c r="O330" i="4"/>
  <c r="S475" i="4"/>
  <c r="T475" i="4" s="1"/>
  <c r="O475" i="4"/>
  <c r="AD475" i="4"/>
  <c r="O129" i="4"/>
  <c r="S129" i="4"/>
  <c r="T129" i="4" s="1"/>
  <c r="S58" i="4"/>
  <c r="T58" i="4" s="1"/>
  <c r="O58" i="4"/>
  <c r="S138" i="4"/>
  <c r="T138" i="4" s="1"/>
  <c r="O138" i="4"/>
  <c r="O331" i="4"/>
  <c r="S331" i="4"/>
  <c r="T331" i="4" s="1"/>
  <c r="S501" i="4"/>
  <c r="T501" i="4" s="1"/>
  <c r="O501" i="4"/>
  <c r="O52" i="4"/>
  <c r="S52" i="4"/>
  <c r="T52" i="4" s="1"/>
  <c r="S60" i="4"/>
  <c r="T60" i="4" s="1"/>
  <c r="O60" i="4"/>
  <c r="S477" i="4"/>
  <c r="T477" i="4" s="1"/>
  <c r="AD477" i="4"/>
  <c r="O477" i="4"/>
  <c r="R85" i="4"/>
  <c r="P85" i="4"/>
  <c r="R86" i="4"/>
  <c r="P86" i="4"/>
  <c r="S53" i="4"/>
  <c r="T53" i="4" s="1"/>
  <c r="O53" i="4"/>
  <c r="S252" i="4"/>
  <c r="T252" i="4" s="1"/>
  <c r="O252" i="4"/>
  <c r="S118" i="4"/>
  <c r="T118" i="4" s="1"/>
  <c r="O118" i="4"/>
  <c r="O125" i="4"/>
  <c r="S125" i="4"/>
  <c r="T125" i="4" s="1"/>
  <c r="S494" i="4"/>
  <c r="T494" i="4" s="1"/>
  <c r="O494" i="4"/>
  <c r="P84" i="4"/>
  <c r="R84" i="4"/>
  <c r="O120" i="4"/>
  <c r="S120" i="4"/>
  <c r="T120" i="4" s="1"/>
  <c r="S135" i="4"/>
  <c r="T135" i="4" s="1"/>
  <c r="O135" i="4"/>
  <c r="O509" i="4"/>
  <c r="S509" i="4"/>
  <c r="T509" i="4" s="1"/>
  <c r="P429" i="4"/>
  <c r="R429" i="4"/>
  <c r="S116" i="4"/>
  <c r="T116" i="4" s="1"/>
  <c r="O116" i="4"/>
  <c r="S478" i="4"/>
  <c r="T478" i="4" s="1"/>
  <c r="O478" i="4"/>
  <c r="S329" i="4"/>
  <c r="T329" i="4" s="1"/>
  <c r="O329" i="4"/>
  <c r="O260" i="4"/>
  <c r="S260" i="4"/>
  <c r="T260" i="4" s="1"/>
  <c r="O511" i="4"/>
  <c r="S511" i="4"/>
  <c r="T511" i="4" s="1"/>
  <c r="R89" i="4"/>
  <c r="P89" i="4"/>
  <c r="S425" i="4"/>
  <c r="T425" i="4" s="1"/>
  <c r="O425" i="4"/>
  <c r="S155" i="4"/>
  <c r="T155" i="4" s="1"/>
  <c r="O155" i="4"/>
  <c r="O121" i="4"/>
  <c r="S121" i="4"/>
  <c r="T121" i="4" s="1"/>
  <c r="S282" i="4"/>
  <c r="T282" i="4" s="1"/>
  <c r="O282" i="4"/>
  <c r="S133" i="4"/>
  <c r="T133" i="4" s="1"/>
  <c r="O133" i="4"/>
  <c r="O137" i="4"/>
  <c r="S137" i="4"/>
  <c r="T137" i="4" s="1"/>
  <c r="O492" i="4"/>
  <c r="S492" i="4"/>
  <c r="T492" i="4" s="1"/>
  <c r="O88" i="4" l="1"/>
  <c r="AG88" i="4"/>
  <c r="S88" i="4"/>
  <c r="T88" i="4" s="1"/>
  <c r="AG82" i="4"/>
  <c r="O82" i="4"/>
  <c r="S82" i="4"/>
  <c r="T82" i="4" s="1"/>
  <c r="O141" i="4"/>
  <c r="S141" i="4"/>
  <c r="T141" i="4" s="1"/>
  <c r="AG85" i="4"/>
  <c r="O85" i="4"/>
  <c r="S85" i="4"/>
  <c r="T85" i="4" s="1"/>
  <c r="S134" i="4"/>
  <c r="T134" i="4" s="1"/>
  <c r="O134" i="4"/>
  <c r="S83" i="4"/>
  <c r="T83" i="4" s="1"/>
  <c r="AG83" i="4"/>
  <c r="O83" i="4"/>
  <c r="S87" i="4"/>
  <c r="T87" i="4" s="1"/>
  <c r="AG87" i="4"/>
  <c r="O87" i="4"/>
  <c r="AG84" i="4"/>
  <c r="S84" i="4"/>
  <c r="T84" i="4" s="1"/>
  <c r="O84" i="4"/>
  <c r="S90" i="4"/>
  <c r="T90" i="4" s="1"/>
  <c r="AG90" i="4"/>
  <c r="O90" i="4"/>
  <c r="S493" i="4"/>
  <c r="T493" i="4" s="1"/>
  <c r="O493" i="4"/>
  <c r="O430" i="4"/>
  <c r="S430" i="4"/>
  <c r="T430" i="4" s="1"/>
  <c r="O427" i="4"/>
  <c r="S427" i="4"/>
  <c r="T427" i="4" s="1"/>
  <c r="O429" i="4"/>
  <c r="S429" i="4"/>
  <c r="T429" i="4" s="1"/>
  <c r="S91" i="4"/>
  <c r="T91" i="4" s="1"/>
  <c r="O91" i="4"/>
  <c r="AG89" i="4"/>
  <c r="S89" i="4"/>
  <c r="T89" i="4" s="1"/>
  <c r="O89" i="4"/>
  <c r="S86" i="4"/>
  <c r="T86" i="4" s="1"/>
  <c r="O86" i="4"/>
  <c r="AG86" i="4"/>
  <c r="S411" i="4"/>
  <c r="T411" i="4" s="1"/>
  <c r="O411" i="4"/>
  <c r="S426" i="4"/>
  <c r="T426" i="4" s="1"/>
  <c r="O426" i="4"/>
</calcChain>
</file>

<file path=xl/sharedStrings.xml><?xml version="1.0" encoding="utf-8"?>
<sst xmlns="http://schemas.openxmlformats.org/spreadsheetml/2006/main" count="4926" uniqueCount="815">
  <si>
    <t>Code</t>
  </si>
  <si>
    <t>Species</t>
  </si>
  <si>
    <t>Cohort</t>
  </si>
  <si>
    <t>numyrs</t>
  </si>
  <si>
    <t>age</t>
  </si>
  <si>
    <t>SN</t>
  </si>
  <si>
    <t>RN</t>
  </si>
  <si>
    <t>weight_g</t>
  </si>
  <si>
    <t>weight_kg</t>
  </si>
  <si>
    <t>weight_t</t>
  </si>
  <si>
    <t>weight_lbs</t>
  </si>
  <si>
    <t>li_a</t>
  </si>
  <si>
    <t>li_b</t>
  </si>
  <si>
    <t>length_cm</t>
  </si>
  <si>
    <t>vbert_cm</t>
  </si>
  <si>
    <t>grams</t>
  </si>
  <si>
    <t>SN_mg</t>
  </si>
  <si>
    <t>RN_mg</t>
  </si>
  <si>
    <t>Linf</t>
  </si>
  <si>
    <t>K</t>
  </si>
  <si>
    <t>To</t>
  </si>
  <si>
    <t>ANC</t>
  </si>
  <si>
    <t>Anchovies</t>
  </si>
  <si>
    <t>BFT</t>
  </si>
  <si>
    <t>BluefinTuna</t>
  </si>
  <si>
    <t>BIL</t>
  </si>
  <si>
    <t>Billfish</t>
  </si>
  <si>
    <t>BLF</t>
  </si>
  <si>
    <t>Bluefish</t>
  </si>
  <si>
    <t>BLS</t>
  </si>
  <si>
    <t>Blue_Shark</t>
  </si>
  <si>
    <t>BPF</t>
  </si>
  <si>
    <t>Benthopelagic_Fish</t>
  </si>
  <si>
    <t>BSB</t>
  </si>
  <si>
    <t>Black_Sea_Bass</t>
  </si>
  <si>
    <t>BUT</t>
  </si>
  <si>
    <t>Butterfish</t>
  </si>
  <si>
    <t>BWH</t>
  </si>
  <si>
    <t>Baleen_Whale</t>
  </si>
  <si>
    <t>COD</t>
  </si>
  <si>
    <t>Cod</t>
  </si>
  <si>
    <t>DOG</t>
  </si>
  <si>
    <t>Spiny_Dogfish</t>
  </si>
  <si>
    <t>DRM</t>
  </si>
  <si>
    <t>Drums_Croakers</t>
  </si>
  <si>
    <t>DSH</t>
  </si>
  <si>
    <t>Demersal_Shark</t>
  </si>
  <si>
    <t>FDE</t>
  </si>
  <si>
    <t>Shallow_Demersal_Fish</t>
  </si>
  <si>
    <t>FDF</t>
  </si>
  <si>
    <t>Misc_Demersal_Fish</t>
  </si>
  <si>
    <t>FLA</t>
  </si>
  <si>
    <t>Other_Flatfish</t>
  </si>
  <si>
    <t>FOU</t>
  </si>
  <si>
    <t>Fourspotflounder</t>
  </si>
  <si>
    <t>GOO</t>
  </si>
  <si>
    <t>Monkfish</t>
  </si>
  <si>
    <t>HAD</t>
  </si>
  <si>
    <t>Haddock</t>
  </si>
  <si>
    <t>HAL</t>
  </si>
  <si>
    <t>Halibut</t>
  </si>
  <si>
    <t>HER</t>
  </si>
  <si>
    <t>Herring</t>
  </si>
  <si>
    <t>INV</t>
  </si>
  <si>
    <t>Invasive_Species</t>
  </si>
  <si>
    <t>LSK</t>
  </si>
  <si>
    <t>Little_Skate</t>
  </si>
  <si>
    <t>MAK</t>
  </si>
  <si>
    <t>Mackerel</t>
  </si>
  <si>
    <t>MEN</t>
  </si>
  <si>
    <t>Menhaden</t>
  </si>
  <si>
    <t>MPF</t>
  </si>
  <si>
    <t>Mesopelagic_Mig_Fish</t>
  </si>
  <si>
    <t>OHK</t>
  </si>
  <si>
    <t>Offshore_Hake</t>
  </si>
  <si>
    <t>OPT</t>
  </si>
  <si>
    <t>Ocean_Pout</t>
  </si>
  <si>
    <t>PIN</t>
  </si>
  <si>
    <t>Pinniped</t>
  </si>
  <si>
    <t>PLA</t>
  </si>
  <si>
    <t>Plaice</t>
  </si>
  <si>
    <t>POL</t>
  </si>
  <si>
    <t>Pollock</t>
  </si>
  <si>
    <t>POR</t>
  </si>
  <si>
    <t>Porbeagle_Shark</t>
  </si>
  <si>
    <t>PSH</t>
  </si>
  <si>
    <t>Pelagic_Shark</t>
  </si>
  <si>
    <t>RED</t>
  </si>
  <si>
    <t>Redfish</t>
  </si>
  <si>
    <t>REP</t>
  </si>
  <si>
    <t>Turtle</t>
  </si>
  <si>
    <t>RHK</t>
  </si>
  <si>
    <t>Red_Hake</t>
  </si>
  <si>
    <t>RWH</t>
  </si>
  <si>
    <t>Right_Whale</t>
  </si>
  <si>
    <t>SAL</t>
  </si>
  <si>
    <t>Atlantic_Salmon</t>
  </si>
  <si>
    <t>SB</t>
  </si>
  <si>
    <t>Seabird</t>
  </si>
  <si>
    <t>SCU</t>
  </si>
  <si>
    <t>Scup</t>
  </si>
  <si>
    <t>SDF</t>
  </si>
  <si>
    <t>Atlantic_States_Demersals</t>
  </si>
  <si>
    <t>SHK</t>
  </si>
  <si>
    <t>Silver_Hake</t>
  </si>
  <si>
    <t>SK</t>
  </si>
  <si>
    <t>Skate</t>
  </si>
  <si>
    <t>SMO</t>
  </si>
  <si>
    <t>Smooth_Dogfish</t>
  </si>
  <si>
    <t>SSH</t>
  </si>
  <si>
    <t>Sandbar_Shark</t>
  </si>
  <si>
    <t>STB</t>
  </si>
  <si>
    <t>Striped_Bass</t>
  </si>
  <si>
    <t>SUF</t>
  </si>
  <si>
    <t>Summerflounder</t>
  </si>
  <si>
    <t>SWH</t>
  </si>
  <si>
    <t>Small_Whale</t>
  </si>
  <si>
    <t>TAU</t>
  </si>
  <si>
    <t>Tautog</t>
  </si>
  <si>
    <t>TUN</t>
  </si>
  <si>
    <t>Tunas</t>
  </si>
  <si>
    <t>TWH</t>
  </si>
  <si>
    <t>Tooth_Whale</t>
  </si>
  <si>
    <t>TYL</t>
  </si>
  <si>
    <t>Tilefish</t>
  </si>
  <si>
    <t>WHK</t>
  </si>
  <si>
    <t>White_Hake</t>
  </si>
  <si>
    <t>WIF</t>
  </si>
  <si>
    <t>Winterflounder</t>
  </si>
  <si>
    <t>WOL</t>
  </si>
  <si>
    <t>Wolffish</t>
  </si>
  <si>
    <t>WPF</t>
  </si>
  <si>
    <t>Windowpane</t>
  </si>
  <si>
    <t>WSK</t>
  </si>
  <si>
    <t>Winter_Skate</t>
  </si>
  <si>
    <t>WTF</t>
  </si>
  <si>
    <t>Witchflounder</t>
  </si>
  <si>
    <t>YTF</t>
  </si>
  <si>
    <t>Yellowtail_Flounder</t>
  </si>
  <si>
    <t>nm</t>
  </si>
  <si>
    <t>order</t>
  </si>
  <si>
    <t>recruitRN</t>
  </si>
  <si>
    <t>old v15</t>
  </si>
  <si>
    <t>recruitSN</t>
  </si>
  <si>
    <t>cohort</t>
  </si>
  <si>
    <t>yrs_chrt</t>
  </si>
  <si>
    <t>old RN</t>
  </si>
  <si>
    <t>old SN</t>
  </si>
  <si>
    <t>Beverton-Holt</t>
  </si>
  <si>
    <t>a</t>
  </si>
  <si>
    <t>b</t>
  </si>
  <si>
    <t>NEW 20180713</t>
  </si>
  <si>
    <t>KWRR_ANC</t>
  </si>
  <si>
    <t>KWSR_ANC</t>
  </si>
  <si>
    <t>BHalpha_ANC</t>
  </si>
  <si>
    <t>BHbeta_ANC</t>
  </si>
  <si>
    <t>KWRR_BFT</t>
  </si>
  <si>
    <t>KWSR_BFT</t>
  </si>
  <si>
    <t>BHalpha_BFT</t>
  </si>
  <si>
    <t>BHbeta_BFT</t>
  </si>
  <si>
    <t>KWRR_BIL</t>
  </si>
  <si>
    <t>KWSR_BIL</t>
  </si>
  <si>
    <t>BHalpha_BIL</t>
  </si>
  <si>
    <t>BHbeta_BIL</t>
  </si>
  <si>
    <t>KWRR_BLF</t>
  </si>
  <si>
    <t>KWSR_BLF</t>
  </si>
  <si>
    <t>BHalpha_BLF</t>
  </si>
  <si>
    <t>BHbeta_BLF</t>
  </si>
  <si>
    <t>KWRR_BLS</t>
  </si>
  <si>
    <t>KWSR_BLS</t>
  </si>
  <si>
    <t>BHalpha_BLS</t>
  </si>
  <si>
    <t>BHbeta_BLS</t>
  </si>
  <si>
    <t>KWRR_BPF</t>
  </si>
  <si>
    <t>KWSR_BPF</t>
  </si>
  <si>
    <t>BHalpha_BPF</t>
  </si>
  <si>
    <t>BHbeta_BPF</t>
  </si>
  <si>
    <t>KWRR_BSB</t>
  </si>
  <si>
    <t>KWSR_BSB</t>
  </si>
  <si>
    <t>BHalpha_BSB</t>
  </si>
  <si>
    <t>BHbeta_BSB</t>
  </si>
  <si>
    <t>KWRR_BUT</t>
  </si>
  <si>
    <t>KWSR_BUT</t>
  </si>
  <si>
    <t>BHalpha_BUT</t>
  </si>
  <si>
    <t>BHbeta_BUT</t>
  </si>
  <si>
    <t>KWRR_BWH</t>
  </si>
  <si>
    <t>KWSR_BWH</t>
  </si>
  <si>
    <t>BHalpha_BWH</t>
  </si>
  <si>
    <t>BHbeta_BWH</t>
  </si>
  <si>
    <t>KWRR_COD</t>
  </si>
  <si>
    <t>KWSR_COD</t>
  </si>
  <si>
    <t>BHalpha_COD</t>
  </si>
  <si>
    <t>BHbeta_COD</t>
  </si>
  <si>
    <t>KWRR_DOG</t>
  </si>
  <si>
    <t>KWSR_DOG</t>
  </si>
  <si>
    <t>BHalpha_DOG</t>
  </si>
  <si>
    <t>BHbeta_DOG</t>
  </si>
  <si>
    <t>KWRR_DRM</t>
  </si>
  <si>
    <t>KWSR_DRM</t>
  </si>
  <si>
    <t>BHalpha_DRM</t>
  </si>
  <si>
    <t>BHbeta_DRM</t>
  </si>
  <si>
    <t>KWRR_DSH</t>
  </si>
  <si>
    <t>KWSR_DSH</t>
  </si>
  <si>
    <t>BHalpha_DSH</t>
  </si>
  <si>
    <t>BHbeta_DSH</t>
  </si>
  <si>
    <t>KWRR_FDE</t>
  </si>
  <si>
    <t>KWSR_FDE</t>
  </si>
  <si>
    <t>BHalpha_FDE</t>
  </si>
  <si>
    <t>BHbeta_FDE</t>
  </si>
  <si>
    <t>KWRR_FDF</t>
  </si>
  <si>
    <t>KWSR_FDF</t>
  </si>
  <si>
    <t>BHalpha_FDF</t>
  </si>
  <si>
    <t>BHbeta_FDF</t>
  </si>
  <si>
    <t>KWRR_FLA</t>
  </si>
  <si>
    <t>KWSR_FLA</t>
  </si>
  <si>
    <t>BHalpha_FLA</t>
  </si>
  <si>
    <t>BHbeta_FLA</t>
  </si>
  <si>
    <t>KWRR_FOU</t>
  </si>
  <si>
    <t>KWSR_FOU</t>
  </si>
  <si>
    <t>BHalpha_FOU</t>
  </si>
  <si>
    <t>BHbeta_FOU</t>
  </si>
  <si>
    <t>KWRR_GOO</t>
  </si>
  <si>
    <t>KWSR_GOO</t>
  </si>
  <si>
    <t>BHalpha_GOO</t>
  </si>
  <si>
    <t>BHbeta_GOO</t>
  </si>
  <si>
    <t>KWRR_HAD</t>
  </si>
  <si>
    <t>KWSR_HAD</t>
  </si>
  <si>
    <t>BHalpha_HAD</t>
  </si>
  <si>
    <t>BHbeta_HAD</t>
  </si>
  <si>
    <t>KWRR_HAL</t>
  </si>
  <si>
    <t>KWSR_HAL</t>
  </si>
  <si>
    <t>BHalpha_HAL</t>
  </si>
  <si>
    <t>BHbeta_HAL</t>
  </si>
  <si>
    <t>KWRR_HER</t>
  </si>
  <si>
    <t>KWSR_HER</t>
  </si>
  <si>
    <t>BHalpha_HER</t>
  </si>
  <si>
    <t>BHbeta_HER</t>
  </si>
  <si>
    <t>KWRR_INV</t>
  </si>
  <si>
    <t>KWSR_INV</t>
  </si>
  <si>
    <t>BHalpha_INV</t>
  </si>
  <si>
    <t>BHbeta_INV</t>
  </si>
  <si>
    <t>KWRR_LSK</t>
  </si>
  <si>
    <t>KWSR_LSK</t>
  </si>
  <si>
    <t>BHalpha_LSK</t>
  </si>
  <si>
    <t>BHbeta_LSK</t>
  </si>
  <si>
    <t>KWRR_MAK</t>
  </si>
  <si>
    <t>KWSR_MAK</t>
  </si>
  <si>
    <t>BHalpha_MAK</t>
  </si>
  <si>
    <t>BHbeta_MAK</t>
  </si>
  <si>
    <t>KWRR_MEN</t>
  </si>
  <si>
    <t>KWSR_MEN</t>
  </si>
  <si>
    <t>BHalpha_MEN</t>
  </si>
  <si>
    <t>BHbeta_MEN</t>
  </si>
  <si>
    <t>KWRR_MPF</t>
  </si>
  <si>
    <t>KWSR_MPF</t>
  </si>
  <si>
    <t>BHalpha_MPF</t>
  </si>
  <si>
    <t>BHbeta_MPF</t>
  </si>
  <si>
    <t>KWRR_OHK</t>
  </si>
  <si>
    <t>KWSR_OHK</t>
  </si>
  <si>
    <t>BHalpha_OHK</t>
  </si>
  <si>
    <t>BHbeta_OHK</t>
  </si>
  <si>
    <t>KWRR_OPT</t>
  </si>
  <si>
    <t>KWSR_OPT</t>
  </si>
  <si>
    <t>BHalpha_OPT</t>
  </si>
  <si>
    <t>BHbeta_OPT</t>
  </si>
  <si>
    <t>KWRR_PIN</t>
  </si>
  <si>
    <t>KWSR_PIN</t>
  </si>
  <si>
    <t>BHalpha_PIN</t>
  </si>
  <si>
    <t>BHbeta_PIN</t>
  </si>
  <si>
    <t>KWRR_PLA</t>
  </si>
  <si>
    <t>KWSR_PLA</t>
  </si>
  <si>
    <t>BHalpha_PLA</t>
  </si>
  <si>
    <t>BHbeta_PLA</t>
  </si>
  <si>
    <t>KWRR_POL</t>
  </si>
  <si>
    <t>KWSR_POL</t>
  </si>
  <si>
    <t>BHalpha_POL</t>
  </si>
  <si>
    <t>BHbeta_POL</t>
  </si>
  <si>
    <t>KWRR_POR</t>
  </si>
  <si>
    <t>KWSR_POR</t>
  </si>
  <si>
    <t>BHalpha_POR</t>
  </si>
  <si>
    <t>BHbeta_POR</t>
  </si>
  <si>
    <t>KWRR_PSH</t>
  </si>
  <si>
    <t>KWSR_PSH</t>
  </si>
  <si>
    <t>BHalpha_PSH</t>
  </si>
  <si>
    <t>BHbeta_PSH</t>
  </si>
  <si>
    <t>KWRR_RED</t>
  </si>
  <si>
    <t>KWSR_RED</t>
  </si>
  <si>
    <t>BHalpha_RED</t>
  </si>
  <si>
    <t>BHbeta_RED</t>
  </si>
  <si>
    <t>KWRR_REP</t>
  </si>
  <si>
    <t>KWSR_REP</t>
  </si>
  <si>
    <t>BHalpha_REP</t>
  </si>
  <si>
    <t>BHbeta_REP</t>
  </si>
  <si>
    <t>KWRR_RHK</t>
  </si>
  <si>
    <t>KWSR_RHK</t>
  </si>
  <si>
    <t>BHalpha_RHK</t>
  </si>
  <si>
    <t>BHbeta_RHK</t>
  </si>
  <si>
    <t>KWRR_RWH</t>
  </si>
  <si>
    <t>KWSR_RWH</t>
  </si>
  <si>
    <t>BHalpha_RWH</t>
  </si>
  <si>
    <t>BHbeta_RWH</t>
  </si>
  <si>
    <t>KWRR_SAL</t>
  </si>
  <si>
    <t>KWSR_SAL</t>
  </si>
  <si>
    <t>BHalpha_SAL</t>
  </si>
  <si>
    <t>BHbeta_SAL</t>
  </si>
  <si>
    <t>KWRR_SB</t>
  </si>
  <si>
    <t>KWSR_SB</t>
  </si>
  <si>
    <t>BHalpha_SB</t>
  </si>
  <si>
    <t>BHbeta_SB</t>
  </si>
  <si>
    <t>KWRR_SCU</t>
  </si>
  <si>
    <t>KWSR_SCU</t>
  </si>
  <si>
    <t>BHalpha_SCU</t>
  </si>
  <si>
    <t>BHbeta_SCU</t>
  </si>
  <si>
    <t>KWRR_SDF</t>
  </si>
  <si>
    <t>KWSR_SDF</t>
  </si>
  <si>
    <t>BHalpha_SDF</t>
  </si>
  <si>
    <t>BHbeta_SDF</t>
  </si>
  <si>
    <t>KWRR_SHK</t>
  </si>
  <si>
    <t>KWSR_SHK</t>
  </si>
  <si>
    <t>BHalpha_SHK</t>
  </si>
  <si>
    <t>BHbeta_SHK</t>
  </si>
  <si>
    <t>KWRR_SK</t>
  </si>
  <si>
    <t>KWSR_SK</t>
  </si>
  <si>
    <t>BHalpha_SK</t>
  </si>
  <si>
    <t>BHbeta_SK</t>
  </si>
  <si>
    <t>KWRR_SMO</t>
  </si>
  <si>
    <t>KWSR_SMO</t>
  </si>
  <si>
    <t>BHalpha_SMO</t>
  </si>
  <si>
    <t>BHbeta_SMO</t>
  </si>
  <si>
    <t>KWRR_SSH</t>
  </si>
  <si>
    <t>KWSR_SSH</t>
  </si>
  <si>
    <t>BHalpha_SSH</t>
  </si>
  <si>
    <t>BHbeta_SSH</t>
  </si>
  <si>
    <t>KWRR_STB</t>
  </si>
  <si>
    <t>KWSR_STB</t>
  </si>
  <si>
    <t>BHalpha_STB</t>
  </si>
  <si>
    <t>BHbeta_STB</t>
  </si>
  <si>
    <t>KWRR_SUF</t>
  </si>
  <si>
    <t>KWSR_SUF</t>
  </si>
  <si>
    <t>BHalpha_SUF</t>
  </si>
  <si>
    <t>BHbeta_SUF</t>
  </si>
  <si>
    <t>KWRR_SWH</t>
  </si>
  <si>
    <t>KWSR_SWH</t>
  </si>
  <si>
    <t>BHalpha_SWH</t>
  </si>
  <si>
    <t>BHbeta_SWH</t>
  </si>
  <si>
    <t>KWRR_TAU</t>
  </si>
  <si>
    <t>KWSR_TAU</t>
  </si>
  <si>
    <t>BHalpha_TAU</t>
  </si>
  <si>
    <t>BHbeta_TAU</t>
  </si>
  <si>
    <t>KWRR_TUN</t>
  </si>
  <si>
    <t>KWSR_TUN</t>
  </si>
  <si>
    <t>BHalpha_TUN</t>
  </si>
  <si>
    <t>BHbeta_TUN</t>
  </si>
  <si>
    <t>KWRR_TWH</t>
  </si>
  <si>
    <t>KWSR_TWH</t>
  </si>
  <si>
    <t>BHalpha_TWH</t>
  </si>
  <si>
    <t>BHbeta_TWH</t>
  </si>
  <si>
    <t>KWRR_TYL</t>
  </si>
  <si>
    <t>KWSR_TYL</t>
  </si>
  <si>
    <t>BHalpha_TYL</t>
  </si>
  <si>
    <t>BHbeta_TYL</t>
  </si>
  <si>
    <t>KWRR_WHK</t>
  </si>
  <si>
    <t>KWSR_WHK</t>
  </si>
  <si>
    <t>BHalpha_WHK</t>
  </si>
  <si>
    <t>BHbeta_WHK</t>
  </si>
  <si>
    <t>KWRR_WIF</t>
  </si>
  <si>
    <t>KWSR_WIF</t>
  </si>
  <si>
    <t>BHalpha_WIF</t>
  </si>
  <si>
    <t>BHbeta_WIF</t>
  </si>
  <si>
    <t>KWRR_WOL</t>
  </si>
  <si>
    <t>KWSR_WOL</t>
  </si>
  <si>
    <t>BHalpha_WOL</t>
  </si>
  <si>
    <t>BHbeta_WOL</t>
  </si>
  <si>
    <t>KWRR_WPF</t>
  </si>
  <si>
    <t>KWSR_WPF</t>
  </si>
  <si>
    <t>BHalpha_WPF</t>
  </si>
  <si>
    <t>BHbeta_WPF</t>
  </si>
  <si>
    <t>KWRR_WSK</t>
  </si>
  <si>
    <t>KWSR_WSK</t>
  </si>
  <si>
    <t>BHalpha_WSK</t>
  </si>
  <si>
    <t>BHbeta_WSK</t>
  </si>
  <si>
    <t>KWRR_WTF</t>
  </si>
  <si>
    <t>KWSR_WTF</t>
  </si>
  <si>
    <t>BHalpha_WTF</t>
  </si>
  <si>
    <t>BHbeta_WTF</t>
  </si>
  <si>
    <t>KWRR_YTF</t>
  </si>
  <si>
    <t>KWSR_YTF</t>
  </si>
  <si>
    <t>BHalpha_YTF</t>
  </si>
  <si>
    <t>BHbeta_YTF</t>
  </si>
  <si>
    <t>BHalpha_LSQ</t>
  </si>
  <si>
    <t>BHbeta_LSQ</t>
  </si>
  <si>
    <t>LSQ</t>
  </si>
  <si>
    <t>BHalpha_ISQ</t>
  </si>
  <si>
    <t>BHbeta_ISQ</t>
  </si>
  <si>
    <t>ISQ</t>
  </si>
  <si>
    <t>BHalpha_NSH</t>
  </si>
  <si>
    <t>BHbeta_NSH</t>
  </si>
  <si>
    <t>NSH</t>
  </si>
  <si>
    <t>BHalpha_OSH</t>
  </si>
  <si>
    <t>BHbeta_OSH</t>
  </si>
  <si>
    <t>OSH</t>
  </si>
  <si>
    <t>calc_lbs</t>
  </si>
  <si>
    <t>calc_in</t>
  </si>
  <si>
    <t>C:\Users\ryan.morse\Desktop\GROWTH_vonBert_Atlantis</t>
  </si>
  <si>
    <t>CAPELIN</t>
  </si>
  <si>
    <t>SILVERSTRIPE HALFBEAK</t>
  </si>
  <si>
    <t>CHUB MACKEREL</t>
  </si>
  <si>
    <t>NORTHERN SAND LANCE</t>
  </si>
  <si>
    <t>ATLANTIC SAURY</t>
  </si>
  <si>
    <t>MACKEREL SCAD</t>
  </si>
  <si>
    <t>BIGEYE SCAD</t>
  </si>
  <si>
    <t>ROUND SCAD</t>
  </si>
  <si>
    <t>ROUGH SCAD</t>
  </si>
  <si>
    <t>SILVER RAG</t>
  </si>
  <si>
    <t>ATLANTIC THREAD HERRING</t>
  </si>
  <si>
    <t>SPANISH SARDINE</t>
  </si>
  <si>
    <t>FLYING HALFBEAK</t>
  </si>
  <si>
    <t>STRIPED MULLET</t>
  </si>
  <si>
    <t>WHITE MULLET</t>
  </si>
  <si>
    <t>ATLANTIC SILVERSIDE</t>
  </si>
  <si>
    <t>ATLANTIC ARGENTINE</t>
  </si>
  <si>
    <t>HARVESTFISHES</t>
  </si>
  <si>
    <t>mean value</t>
  </si>
  <si>
    <t>max length cm</t>
  </si>
  <si>
    <t>location</t>
  </si>
  <si>
    <t>labrador sea</t>
  </si>
  <si>
    <t>Brazil</t>
  </si>
  <si>
    <t>aggregate</t>
  </si>
  <si>
    <t>Italy</t>
  </si>
  <si>
    <t>agg</t>
  </si>
  <si>
    <t>NA</t>
  </si>
  <si>
    <t>Gulf Mexico</t>
  </si>
  <si>
    <t>NW Florida</t>
  </si>
  <si>
    <t>Mexico</t>
  </si>
  <si>
    <t>Rockall Bank</t>
  </si>
  <si>
    <t>source</t>
  </si>
  <si>
    <t>http://www.fishbase.org/Summary/SpeciesSummary.php?ID=252&amp;AT=capelin</t>
  </si>
  <si>
    <t>http://www.fishbase.org/Summary/SpeciesSummary.php?ID=1060&amp;AT=silverstripe+halfbeak</t>
  </si>
  <si>
    <t>http://www.fishbase.org/Summary/SpeciesSummary.php?ID=54736&amp;AT=chub+mackerel</t>
  </si>
  <si>
    <t>http://www.fishbase.org/Summary/SpeciesSummary.php?ID=3821&amp;AT=northern+sand+lance</t>
  </si>
  <si>
    <t>http://www.fishbase.org/Summary/SpeciesSummary.php?ID=1084&amp;AT=atlantic+saury</t>
  </si>
  <si>
    <t>http://www.fishbase.org/Summary/SpeciesSummary.php?ID=993&amp;AT=mackerel+scad</t>
  </si>
  <si>
    <t>http://www.fishbase.org/Summary/SpeciesSummary.php?ID=387&amp;AT=bigeye+scad</t>
  </si>
  <si>
    <t>http://www.fishbase.org/Summary/SpeciesSummary.php?ID=994&amp;AT=round+scad</t>
  </si>
  <si>
    <t>http://www.fishbase.se/Summary/SpeciesSummary.php?ID=369&amp;AT=rough+scad</t>
  </si>
  <si>
    <t>http://www.fishbase.se/Summary/SpeciesSummary.php?ID=961&amp;AT=Silver%20rag</t>
  </si>
  <si>
    <t>http://www.fishbase.se/Summary/SpeciesSummary.php?ID=1486&amp;AT=atlantic+thread+herring</t>
  </si>
  <si>
    <t>http://www.fishbase.se/Summary/SpeciesSummary.php?ID=1043&amp;AT=spanish+sardine</t>
  </si>
  <si>
    <t>http://www.fishbase.se/Summary/SpeciesSummary.php?ID=3155&amp;AT=flying+halfbeak</t>
  </si>
  <si>
    <t>http://www.fishbase.se/Summary/SpeciesSummary.php?ID=785&amp;AT=striped+mullet</t>
  </si>
  <si>
    <t>http://www.fishbase.se/Summary/SpeciesSummary.php?ID=1086&amp;AT=white+mullet</t>
  </si>
  <si>
    <t>http://www.fishbase.se/Summary/SpeciesSummary.php?ID=339&amp;AT=atlantic+silverside</t>
  </si>
  <si>
    <t>http://www.fishbase.se/Summary/SpeciesSummary.php?ID=2700&amp;AT=atlantic+argentine</t>
  </si>
  <si>
    <t>http://www.fishbase.se/Summary/SpeciesSummary.php?ID=28143&amp;AT=harvestfish</t>
  </si>
  <si>
    <t>MEANS</t>
  </si>
  <si>
    <t>Fin Whale</t>
  </si>
  <si>
    <t>Humpback</t>
  </si>
  <si>
    <t>Minke</t>
  </si>
  <si>
    <t>Sei</t>
  </si>
  <si>
    <t>Blue</t>
  </si>
  <si>
    <t>adult weight (kg)</t>
  </si>
  <si>
    <t>adult length (m)</t>
  </si>
  <si>
    <t>lifespan (yrs)</t>
  </si>
  <si>
    <t>calf weight (kg)</t>
  </si>
  <si>
    <t>calf length (m)</t>
  </si>
  <si>
    <t>max daily consumption (kg)</t>
  </si>
  <si>
    <t>https://www.fisheries.noaa.gov/species/fin-whale</t>
  </si>
  <si>
    <t>https://www.fisheries.noaa.gov/species/humpback-whale</t>
  </si>
  <si>
    <t>https://www.fisheries.noaa.gov/species/minke-whale</t>
  </si>
  <si>
    <t>https://www.fisheries.noaa.gov/species/sei-whale</t>
  </si>
  <si>
    <t>gestation (mos)</t>
  </si>
  <si>
    <t>sexual maturity (yrs)</t>
  </si>
  <si>
    <t>calf consumes milk (yrs)</t>
  </si>
  <si>
    <t>NOAA mean 2012 SAW</t>
  </si>
  <si>
    <t>NOAA mean Messeck 1985</t>
  </si>
  <si>
    <t>ATLANTIC CROAKER</t>
  </si>
  <si>
    <t>BLACK DRUM</t>
  </si>
  <si>
    <t>SPOT</t>
  </si>
  <si>
    <t>To (yrs)</t>
  </si>
  <si>
    <t>Texas</t>
  </si>
  <si>
    <t>Chesapeake Bay</t>
  </si>
  <si>
    <t>http://www.fishbase.se/Summary/SpeciesSummary.php?ID=408&amp;AT=atlantic+croaker</t>
  </si>
  <si>
    <t>http://www.fishbase.se/Summary/SpeciesSummary.php?ID=425&amp;AT=black+drum</t>
  </si>
  <si>
    <t>http://www.fishbase.se/Summary/SpeciesSummary.php?ID=429&amp;AT=spot</t>
  </si>
  <si>
    <t>BLACK DOGFISH</t>
  </si>
  <si>
    <t>SAND TIGER</t>
  </si>
  <si>
    <t>CHAIN DOGFISH</t>
  </si>
  <si>
    <t>ATLANTIC ANGEL SHARK</t>
  </si>
  <si>
    <t>SHARK,NURSE</t>
  </si>
  <si>
    <t>SHARK,BULL</t>
  </si>
  <si>
    <t>SHARK,LEMON</t>
  </si>
  <si>
    <t>SHARK,ATLANTIC SHARPNOSE</t>
  </si>
  <si>
    <t>SHARK,SCALLOPED HAMMERHEAD</t>
  </si>
  <si>
    <t>SHARK,THRESHER</t>
  </si>
  <si>
    <t>SHARK,BIGEYE THRESHER</t>
  </si>
  <si>
    <t>SHARK,THRESHER UNC</t>
  </si>
  <si>
    <t>SHARK UNCL</t>
  </si>
  <si>
    <t>bahamas</t>
  </si>
  <si>
    <t>http://www.fishbase.se/Summary/SpeciesSummary.php?ID=656&amp;AT=black+dogfish</t>
  </si>
  <si>
    <t>http://www.fishbase.se/Summary/SpeciesSummary.php?ID=749&amp;AT=sand+tiger+shark</t>
  </si>
  <si>
    <t>http://www.fishbase.se/Summary/SpeciesSummary.php?ID=853&amp;AT=chain+dogfish</t>
  </si>
  <si>
    <t>http://www.fishbase.se/Summary/SpeciesSummary.php?ID=731&amp;AT=atlantic+angel+shark</t>
  </si>
  <si>
    <t>http://www.fishbase.se/Summary/SpeciesSummary.php?ID=2532&amp;AT=nurse+shark</t>
  </si>
  <si>
    <t>http://www.fishbase.se/Summary/SpeciesSummary.php?ID=873&amp;AT=bull+shark</t>
  </si>
  <si>
    <t>http://www.fishbase.se/Summary/SpeciesSummary.php?ID=897&amp;AT=lemon+shark</t>
  </si>
  <si>
    <t>http://www.fishbase.se/Summary/SpeciesSummary.php?ID=905&amp;AT=atlantic+sharpnose+shark</t>
  </si>
  <si>
    <t>http://www.fishbase.se/Summary/SpeciesSummary.php?ID=912&amp;AT=scalloped+hammerhead</t>
  </si>
  <si>
    <t>http://www.fishbase.se/Summary/SpeciesSummary.php?ID=2535&amp;AT=thresher+shark</t>
  </si>
  <si>
    <t>http://www.fishbase.se/Summary/SpeciesSummary.php?ID=2534&amp;AT=bigeye+thresher</t>
  </si>
  <si>
    <t>(greater argentine)</t>
  </si>
  <si>
    <t>ROUND HERRING</t>
  </si>
  <si>
    <t>ALEWIFE</t>
  </si>
  <si>
    <t>BLUEBACK HERRING</t>
  </si>
  <si>
    <t>AMERICAN SHAD</t>
  </si>
  <si>
    <t>GIZZARD SHAD</t>
  </si>
  <si>
    <t>HICKORY SHAD</t>
  </si>
  <si>
    <t>HERRING SMELT</t>
  </si>
  <si>
    <t>SMELTS</t>
  </si>
  <si>
    <t>USA</t>
  </si>
  <si>
    <t>http://www.fishbase.se/Summary/SpeciesSummary.php?ID=1455&amp;AT=round+herring</t>
  </si>
  <si>
    <t>http://www.fishbase.se/Summary/SpeciesSummary.php?ID=1583&amp;AT=alewife</t>
  </si>
  <si>
    <t>http://www.fishbase.se/Summary/SpeciesSummary.php?ID=1574&amp;AT=blueback+herring</t>
  </si>
  <si>
    <t>http://www.fishbase.se/Summary/SpeciesSummary.php?ID=1584&amp;AT=american+shad</t>
  </si>
  <si>
    <t>http://www.fishbase.se/Summary/SpeciesSummary.php?ID=1604&amp;AT=gizzard+shad</t>
  </si>
  <si>
    <t>http://www.fishbase.se/Summary/SpeciesSummary.php?ID=1582&amp;AT=hickory+shad</t>
  </si>
  <si>
    <t>http://www.fishbase.se/Summary/SpeciesSummary.php?ID=2700&amp;AT=herring+smelt</t>
  </si>
  <si>
    <t>http://www.fishbase.se/Summary/SpeciesSummary.php?ID=253&amp;AT=smelt</t>
  </si>
  <si>
    <t>SPOTTED HAKE</t>
  </si>
  <si>
    <t>FOURBEARD ROCKLING</t>
  </si>
  <si>
    <t>CUSK</t>
  </si>
  <si>
    <t>THREEBEARD ROCKLING</t>
  </si>
  <si>
    <t>GRENADIER UNCL</t>
  </si>
  <si>
    <t>MARLIN-SPIKE</t>
  </si>
  <si>
    <t>ROUGHHEAD GRENADIER</t>
  </si>
  <si>
    <t>LONGNOSE GRENADIER</t>
  </si>
  <si>
    <t>DEEPWATER DAB</t>
  </si>
  <si>
    <t>GREENLAND HALIBUT</t>
  </si>
  <si>
    <t>LONGSPINE SNIPEFISH</t>
  </si>
  <si>
    <t>BUCKLER DORY</t>
  </si>
  <si>
    <t>BLACKMOUTH BASS</t>
  </si>
  <si>
    <t>THREESPINE STICKLEBACK</t>
  </si>
  <si>
    <t>NORTHERN PIPEFISH</t>
  </si>
  <si>
    <t>SMALLMOUTH FLOUNDER</t>
  </si>
  <si>
    <t>TRUMPETFISH</t>
  </si>
  <si>
    <t>BLUESPOTTED CORNETFISH</t>
  </si>
  <si>
    <t>ATLANTIC MOONFISH</t>
  </si>
  <si>
    <t>LOOKDOWN</t>
  </si>
  <si>
    <t>WEAKFISH</t>
  </si>
  <si>
    <t>NORTHERN KINGFISH</t>
  </si>
  <si>
    <t>SILVER PERCH</t>
  </si>
  <si>
    <t>SHERBORN'S CARDINALFISH</t>
  </si>
  <si>
    <t>LONGSPINE SCORPIONFISH</t>
  </si>
  <si>
    <t>BLACKBELLY ROSEFISH</t>
  </si>
  <si>
    <t>HOOKEAR SCULPIN UNCL</t>
  </si>
  <si>
    <t>SCULPIN UNCL</t>
  </si>
  <si>
    <t>MOUSTACHE SCULPIN</t>
  </si>
  <si>
    <t>SHORTHORN SCULPIN</t>
  </si>
  <si>
    <t>LONGHORN SCULPIN</t>
  </si>
  <si>
    <t>SEA RAVEN</t>
  </si>
  <si>
    <t>ALLIGATORFISH</t>
  </si>
  <si>
    <t>GRUBBY</t>
  </si>
  <si>
    <t>INQUILINE SNAILFISH</t>
  </si>
  <si>
    <t>LUMPFISH</t>
  </si>
  <si>
    <t>ATLANTIC SPINY LUMPSUCKER</t>
  </si>
  <si>
    <t>ATLANTIC SEASNAIL</t>
  </si>
  <si>
    <t>NORTHERN SEAROBIN</t>
  </si>
  <si>
    <t>STRIPED SEAROBIN</t>
  </si>
  <si>
    <t>ARMORED SEAROBIN</t>
  </si>
  <si>
    <t>SEAROBIN UNCL</t>
  </si>
  <si>
    <t>FLYING GURNARD</t>
  </si>
  <si>
    <t>CUNNER</t>
  </si>
  <si>
    <t>NORTHERN STARGAZER</t>
  </si>
  <si>
    <t>ROCK GUNNEL</t>
  </si>
  <si>
    <t>RED GOATFISH</t>
  </si>
  <si>
    <t>STRIPED CUSK-EEL</t>
  </si>
  <si>
    <t>ARCTIC EELPOUT</t>
  </si>
  <si>
    <t>WOLF EELPOUT</t>
  </si>
  <si>
    <t>WRYMOUTH</t>
  </si>
  <si>
    <t>FAWN CUSK-EEL</t>
  </si>
  <si>
    <t>SHORTNOSE GREENEYE</t>
  </si>
  <si>
    <t>LARGESCALE LIZARDFISH</t>
  </si>
  <si>
    <t>SHORTJAW LIZARDFISH</t>
  </si>
  <si>
    <t>INSHORE LIZARDFISH</t>
  </si>
  <si>
    <t>SAND DIVER</t>
  </si>
  <si>
    <t>OFFSHORE LIZARDFISH</t>
  </si>
  <si>
    <t>RED LIZARDFISH</t>
  </si>
  <si>
    <t>SNAKEFISH</t>
  </si>
  <si>
    <t>LONGNOSE LANCETFISH</t>
  </si>
  <si>
    <t>NORTHERN PUFFER</t>
  </si>
  <si>
    <t>GARFISHES</t>
  </si>
  <si>
    <t>HAGFISH</t>
  </si>
  <si>
    <t>HOGFISH</t>
  </si>
  <si>
    <t>TOADFISHES</t>
  </si>
  <si>
    <t>PERCH,SAND</t>
  </si>
  <si>
    <t>NEEDLEFISH,ATLANTIC</t>
  </si>
  <si>
    <t>SHEEPSHEAD,ATLANTIC</t>
  </si>
  <si>
    <t>ATLANTIC TOMCOD</t>
  </si>
  <si>
    <t>http://www.fishbase.se/Summary/SpeciesSummary.php?ID=1883&amp;AT=spotted+hake</t>
  </si>
  <si>
    <t>http://www.fishbase.se/Summary/SpeciesSummary.php?ID=1874&amp;AT=fourbeard+rockling</t>
  </si>
  <si>
    <t>http://www.fishbase.se/Summary/SpeciesSummary.php?ID=51&amp;AT=cusk</t>
  </si>
  <si>
    <t>http://www.fishbase.se/Summary/SpeciesSummary.php?ID=8425&amp;AT=threebeard+rockling</t>
  </si>
  <si>
    <t>HOGCHOKER</t>
  </si>
  <si>
    <t>GULF STREAM FLOUNDER</t>
  </si>
  <si>
    <t>DEEPWATER FLOUNDER</t>
  </si>
  <si>
    <t>http://www.fishbase.se/Summary/SpeciesSummary.php?ID=4260&amp;AT=hogchoker</t>
  </si>
  <si>
    <t>http://www.fishbase.se/Summary/SpeciesSummary.php?ID=4209&amp;AT=gulf+stream+flounder</t>
  </si>
  <si>
    <t>http://www.fishbase.se/Summary/SpeciesSummary.php?ID=4227&amp;AT=deepwater+flounder</t>
  </si>
  <si>
    <t>used values from plaice with max size of 41 cm</t>
  </si>
  <si>
    <t>fishbase agg</t>
  </si>
  <si>
    <t>fishbase aggregae</t>
  </si>
  <si>
    <t>NOAA NEFSC</t>
  </si>
  <si>
    <t>fishbase USA GOM GBK</t>
  </si>
  <si>
    <t>fishbase NC Lionfish</t>
  </si>
  <si>
    <t>fishbase GBK-Delaware region</t>
  </si>
  <si>
    <t>fishbase USA NW Atlantic</t>
  </si>
  <si>
    <t>LANTERNFISH UNCL</t>
  </si>
  <si>
    <t>WEITZMANS PEARLSIDES</t>
  </si>
  <si>
    <t>SPOTTED LANTERNFISH</t>
  </si>
  <si>
    <t>HORNED LANTERNFISH</t>
  </si>
  <si>
    <t>Mauritania</t>
  </si>
  <si>
    <t>http://www.fishbase.se/Summary/SpeciesSummary.php?ID=51611&amp;AT=pearlsides</t>
  </si>
  <si>
    <t>http://www.fishbase.se/Summary/SpeciesSummary.php?ID=1328&amp;AT=spotted+lanternfish</t>
  </si>
  <si>
    <t>http://www.fishbase.se/Summary/SpeciesSummary.php?ID=10174&amp;AT=lanternfish</t>
  </si>
  <si>
    <t>fishbase NES</t>
  </si>
  <si>
    <t>Fishbase SNE</t>
  </si>
  <si>
    <t>NOT IN NEUS</t>
  </si>
  <si>
    <t>Gray seal</t>
  </si>
  <si>
    <t>Harbor seal</t>
  </si>
  <si>
    <t>Hooded Seal</t>
  </si>
  <si>
    <t>Harp Seal</t>
  </si>
  <si>
    <t>https://www.fisheries.noaa.gov/species/gray-seal</t>
  </si>
  <si>
    <t>https://www.fisheries.noaa.gov/species/harbor-seal</t>
  </si>
  <si>
    <t>http://www.nmfs.noaa.gov/pr/species/mammals/seals/hooded-seal.html</t>
  </si>
  <si>
    <t>fishbase NW Atlantic</t>
  </si>
  <si>
    <t>Fishbase NW Atlantic canada</t>
  </si>
  <si>
    <t>fisbase USA NES</t>
  </si>
  <si>
    <t>DUSKY SHARK</t>
  </si>
  <si>
    <t>SHARK,GREAT HAMMERHEAD</t>
  </si>
  <si>
    <t>SHARK,BONITO(SHORTFIN MAKO)</t>
  </si>
  <si>
    <t>SHARK,WHITE</t>
  </si>
  <si>
    <t>BLACKNOSE SHARK</t>
  </si>
  <si>
    <t>SILKY SHARK</t>
  </si>
  <si>
    <t>SHARK,BLACKTIP</t>
  </si>
  <si>
    <t>SHARK,TIGER</t>
  </si>
  <si>
    <t>SHARK,FINETOOTH</t>
  </si>
  <si>
    <t>SHARK,BIGNOSE</t>
  </si>
  <si>
    <t>NES</t>
  </si>
  <si>
    <t>FL</t>
  </si>
  <si>
    <t>http://www.fishbase.se/Summary/SpeciesSummary.php?ID=878&amp;AT=dusky+shark</t>
  </si>
  <si>
    <t>http://www.fishbase.se/Summary/SpeciesSummary.php?ID=912&amp;AT=hammerhead+shark</t>
  </si>
  <si>
    <t>http://www.fishbase.se/Summary/SpeciesSummary.php?ID=752&amp;AT=bonito+shark</t>
  </si>
  <si>
    <t>http://www.fishbase.se/Summary/SpeciesSummary.php?ID=751&amp;AT=white+shark</t>
  </si>
  <si>
    <t>http://www.fishbase.se/Summary/SpeciesSummary.php?ID=857&amp;AT=blacknose+shark</t>
  </si>
  <si>
    <t>http://www.fishbase.se/Summary/SpeciesSummary.php?ID=868&amp;AT=silky+shark</t>
  </si>
  <si>
    <t>http://www.fishbase.se/Summary/SpeciesSummary.php?ID=874&amp;AT=blacktip+shark</t>
  </si>
  <si>
    <t>http://www.fishbase.se/Summary/SpeciesSummary.php?ID=886&amp;AT=tiger+shark</t>
  </si>
  <si>
    <t>http://www.fishbase.se/Summary/SpeciesSummary.php?ID=872&amp;AT=finetooth+shark</t>
  </si>
  <si>
    <t>http://www.fishbase.se/Summary/SpeciesSummary.php?ID=859&amp;AT=bignose+shark</t>
  </si>
  <si>
    <t>fishbase NE coast USA</t>
  </si>
  <si>
    <t>TURTLE,GREEN(SEA)</t>
  </si>
  <si>
    <t>TURTLE, KEMPS RIDLEY</t>
  </si>
  <si>
    <t>TURTLE, LEATHERBACK</t>
  </si>
  <si>
    <t>TURTLE,LOGGERHEAD(SEA)</t>
  </si>
  <si>
    <t>TURTLE, HAWKBILL</t>
  </si>
  <si>
    <t>https://www.fisheries.noaa.gov/species/green-turtle</t>
  </si>
  <si>
    <t>https://www.fisheries.noaa.gov/species/kemps-ridley-turtle</t>
  </si>
  <si>
    <t>https://www.fisheries.noaa.gov/species/leatherback-turtle</t>
  </si>
  <si>
    <t>https://www.fisheries.noaa.gov/species/loggerhead-turtle</t>
  </si>
  <si>
    <t>fishbase NW Atlantic USA</t>
  </si>
  <si>
    <t>Right Whale</t>
  </si>
  <si>
    <t>https://www.fisheries.noaa.gov/species/north-atlantic-right-whale</t>
  </si>
  <si>
    <t>Barrett et al 2006 NAFO area 5 (hatterans to GOM) percent by number of SB breeding in area</t>
  </si>
  <si>
    <t>largest gull</t>
  </si>
  <si>
    <t>Northern Gannet</t>
  </si>
  <si>
    <t>Great Black-backed gull</t>
  </si>
  <si>
    <t>petrels</t>
  </si>
  <si>
    <t>terns</t>
  </si>
  <si>
    <t>shearwaters</t>
  </si>
  <si>
    <t>eiders</t>
  </si>
  <si>
    <t>gulls</t>
  </si>
  <si>
    <t>pelecaniformes</t>
  </si>
  <si>
    <t>adult weight (g)</t>
  </si>
  <si>
    <t>wingspan (cm)</t>
  </si>
  <si>
    <t>https://www.nefsc.noaa.gov/ecosys/ecosystem-ecology/seabirds.html</t>
  </si>
  <si>
    <t>https://www.allaboutbirds.org/guide/Great_Black-backed_Gull/overview</t>
  </si>
  <si>
    <t>average weight</t>
  </si>
  <si>
    <t>avg length (cm)</t>
  </si>
  <si>
    <t>CONGER EEL</t>
  </si>
  <si>
    <t>CONGER EEL UNCL</t>
  </si>
  <si>
    <t>EEL UNCL</t>
  </si>
  <si>
    <t>AMERICAN EEL</t>
  </si>
  <si>
    <t>STURGEON,ATLANTIC</t>
  </si>
  <si>
    <t>STURGEONS,UNC</t>
  </si>
  <si>
    <t>STURGEON,SHORTNOSE</t>
  </si>
  <si>
    <t>SEA TROUT,SPOTTED</t>
  </si>
  <si>
    <t>New Brunswick</t>
  </si>
  <si>
    <t>http://www.fishbase.se/Summary/SpeciesSummary.php?ID=300&amp;AT=conger+eel</t>
  </si>
  <si>
    <t>http://www.fishbase.se/Summary/SpeciesSummary.php?ID=296&amp;AT=american+eel</t>
  </si>
  <si>
    <t>http://www.fishbase.se/Summary/SpeciesSummary.php?ID=2593&amp;AT=atlantic+sturgeon</t>
  </si>
  <si>
    <t>http://www.fishbase.se/Summary/SpeciesSummary.php?ID=2590&amp;AT=shortnose+sturgeon</t>
  </si>
  <si>
    <t>http://www.fishbase.se/Summary/SpeciesSummary.php?ID=405&amp;AT=Spotted%20sea%20trout</t>
  </si>
  <si>
    <t>Northeast_skate_complex</t>
  </si>
  <si>
    <t>RAY AND SKATE UNCL</t>
  </si>
  <si>
    <t>SKATE UNCL</t>
  </si>
  <si>
    <t>ATLANTIC TORPEDO</t>
  </si>
  <si>
    <t>BARNDOOR SKATE</t>
  </si>
  <si>
    <t>CLEARNOSE SKATE</t>
  </si>
  <si>
    <t>ROSETTE SKATE</t>
  </si>
  <si>
    <t>SMOOTH SKATE</t>
  </si>
  <si>
    <t>THORNY SKATE</t>
  </si>
  <si>
    <t>GBK</t>
  </si>
  <si>
    <t>Delaware Bay</t>
  </si>
  <si>
    <t>GOM</t>
  </si>
  <si>
    <t>http://www.fishbase.se/Summary/SpeciesSummary.php?ID=2553&amp;AT=atlantic+torpedo</t>
  </si>
  <si>
    <t>http://www.fishbase.se/Summary/SpeciesSummary.php?ID=2561&amp;AT=barndoor+skate</t>
  </si>
  <si>
    <t>http://www.fishbase.se/Summary/SpeciesSummary.php?ID=1252&amp;AT=clearnose+skate</t>
  </si>
  <si>
    <t>http://www.fishbase.se/Summary/SpeciesSummary.php?ID=1253&amp;AT=rosette+skate</t>
  </si>
  <si>
    <t>http://www.fishbase.se/Summary/SpeciesSummary.php?ID=2568&amp;AT=smooth+skate</t>
  </si>
  <si>
    <t>http://www.fishbase.se/Summary/SpeciesSummary.php?ID=2565&amp;AT=thorny+skate</t>
  </si>
  <si>
    <t>fishbase Buzzard Bay</t>
  </si>
  <si>
    <t>fishbase W N Atlantic</t>
  </si>
  <si>
    <t>fishbase Chesapeake Bay</t>
  </si>
  <si>
    <t>fishbase S MAB</t>
  </si>
  <si>
    <t>Harbor porpoise</t>
  </si>
  <si>
    <t>Striped dolphin</t>
  </si>
  <si>
    <t>Common Bottlenose Dolphin</t>
  </si>
  <si>
    <t>https://www.fisheries.noaa.gov/species/harbor-porpoise</t>
  </si>
  <si>
    <t>https://www.fisheries.noaa.gov/species/striped-dolphin</t>
  </si>
  <si>
    <t>https://www.fisheries.noaa.gov/species/common-bottlenose-dolphin</t>
  </si>
  <si>
    <t>fishbase aggregate</t>
  </si>
  <si>
    <t>TUNA,BLACKFIN</t>
  </si>
  <si>
    <t>TUNA,UNC</t>
  </si>
  <si>
    <t>TUNA,SKIPJACK</t>
  </si>
  <si>
    <t>TUNA,LITTLE (TUNNY)</t>
  </si>
  <si>
    <t>TUNA,BIGEYE</t>
  </si>
  <si>
    <t>TUNA,ALBACORE</t>
  </si>
  <si>
    <t>TUNA,YELLOWFIN</t>
  </si>
  <si>
    <t>MACKEREL AND TUNA UNCL</t>
  </si>
  <si>
    <t>http://www.fishbase.se/Summary/SpeciesSummary.php?ID=144&amp;AT=blackfin+tuna</t>
  </si>
  <si>
    <t>http://www.fishbase.se/Summary/SpeciesSummary.php?ID=107&amp;AT=skipjack+tuna</t>
  </si>
  <si>
    <t>http://www.fishbase.se/Summary/SpeciesSummary.php?ID=97&amp;AT=false+albacore</t>
  </si>
  <si>
    <t>http://www.fishbase.se/Summary/SpeciesSummary.php?ID=142&amp;AT=albacore+tuna</t>
  </si>
  <si>
    <t>http://www.fishbase.se/Summary/SpeciesSummary.php?ID=143&amp;AT=yellowfin+tuna</t>
  </si>
  <si>
    <t>Sperm whale</t>
  </si>
  <si>
    <t>Long-finneed pilot whale</t>
  </si>
  <si>
    <t>short-finned pilot whale</t>
  </si>
  <si>
    <t>pygmy sperm whale</t>
  </si>
  <si>
    <t>https://www.fisheries.noaa.gov/species/sperm-whale</t>
  </si>
  <si>
    <t>fishbase MAB SNE</t>
  </si>
  <si>
    <t>fishbase GBK</t>
  </si>
  <si>
    <t>fishbase Germany max length 150 cm</t>
  </si>
  <si>
    <t xml:space="preserve">fishbase Newfoundland </t>
  </si>
  <si>
    <t>fishbase SNE</t>
  </si>
  <si>
    <t>Age of maturity</t>
  </si>
  <si>
    <t>yrs/cohort</t>
  </si>
  <si>
    <t>num cohorts</t>
  </si>
  <si>
    <t>max age</t>
  </si>
  <si>
    <t>ANC_age_mat</t>
  </si>
  <si>
    <t>BFT_age_mat</t>
  </si>
  <si>
    <t>BIL_age_mat</t>
  </si>
  <si>
    <t>BLF_age_mat</t>
  </si>
  <si>
    <t>BLS_age_mat</t>
  </si>
  <si>
    <t>BPF_age_mat</t>
  </si>
  <si>
    <t>BSB_age_mat</t>
  </si>
  <si>
    <t>BUT_age_mat</t>
  </si>
  <si>
    <t>BWH_age_mat</t>
  </si>
  <si>
    <t>COD_age_mat</t>
  </si>
  <si>
    <t>DOG_age_mat</t>
  </si>
  <si>
    <t>DRM_age_mat</t>
  </si>
  <si>
    <t>DSH_age_mat</t>
  </si>
  <si>
    <t>FDE_age_mat</t>
  </si>
  <si>
    <t>FDF_age_mat</t>
  </si>
  <si>
    <t>FLA_age_mat</t>
  </si>
  <si>
    <t>FOU_age_mat</t>
  </si>
  <si>
    <t>GOO_age_mat</t>
  </si>
  <si>
    <t>HAD_age_mat</t>
  </si>
  <si>
    <t>HAL_age_mat</t>
  </si>
  <si>
    <t>HER_age_mat</t>
  </si>
  <si>
    <t>INV_age_mat</t>
  </si>
  <si>
    <t>LSK_age_mat</t>
  </si>
  <si>
    <t>MAK_age_mat</t>
  </si>
  <si>
    <t>MEN_age_mat</t>
  </si>
  <si>
    <t>MPF_age_mat</t>
  </si>
  <si>
    <t>OHK_age_mat</t>
  </si>
  <si>
    <t>OPT_age_mat</t>
  </si>
  <si>
    <t>PIN_age_mat</t>
  </si>
  <si>
    <t>PLA_age_mat</t>
  </si>
  <si>
    <t>POL_age_mat</t>
  </si>
  <si>
    <t>POR_age_mat</t>
  </si>
  <si>
    <t>PSH_age_mat</t>
  </si>
  <si>
    <t>RED_age_mat</t>
  </si>
  <si>
    <t>REP_age_mat</t>
  </si>
  <si>
    <t>RHK_age_mat</t>
  </si>
  <si>
    <t>RWH_age_mat</t>
  </si>
  <si>
    <t>SAL_age_mat</t>
  </si>
  <si>
    <t>SB_age_mat</t>
  </si>
  <si>
    <t>SCU_age_mat</t>
  </si>
  <si>
    <t>SDF_age_mat</t>
  </si>
  <si>
    <t>SHK_age_mat</t>
  </si>
  <si>
    <t>SK_age_mat</t>
  </si>
  <si>
    <t>SMO_age_mat</t>
  </si>
  <si>
    <t>SSH_age_mat</t>
  </si>
  <si>
    <t>STB_age_mat</t>
  </si>
  <si>
    <t>SUF_age_mat</t>
  </si>
  <si>
    <t>SWH_age_mat</t>
  </si>
  <si>
    <t>TAU_age_mat</t>
  </si>
  <si>
    <t>TUN_age_mat</t>
  </si>
  <si>
    <t>TWH_age_mat</t>
  </si>
  <si>
    <t>TYL_age_mat</t>
  </si>
  <si>
    <t>WHK_age_mat</t>
  </si>
  <si>
    <t>WIF_age_mat</t>
  </si>
  <si>
    <t>WOL_age_mat</t>
  </si>
  <si>
    <t>WPF_age_mat</t>
  </si>
  <si>
    <t>WSK_age_mat</t>
  </si>
  <si>
    <t>WTF_age_mat</t>
  </si>
  <si>
    <t>YTF_age_mat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</si>
</sst>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Border="0" applyProtection="0"/>
    <xf numFmtId="0" fontId="2" fillId="0" borderId="0" applyBorder="0" applyProtection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2" applyBorder="1" applyAlignment="1" applyProtection="1"/>
    <xf numFmtId="0" fontId="0" fillId="0" borderId="0" xfId="0"/>
    <xf numFmtId="0" fontId="0" fillId="2" borderId="0" xfId="0" applyFont="1" applyFill="1"/>
    <xf numFmtId="11" fontId="0" fillId="0" borderId="0" xfId="0" applyNumberFormat="1"/>
    <xf numFmtId="0" fontId="3" fillId="0" borderId="0" xfId="1" applyFont="1" applyBorder="1" applyAlignment="1" applyProtection="1"/>
    <xf numFmtId="2" fontId="0" fillId="0" borderId="0" xfId="0" applyNumberFormat="1"/>
    <xf numFmtId="2" fontId="0" fillId="2" borderId="0" xfId="0" applyNumberFormat="1" applyFill="1"/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tabSelected="1" topLeftCell="E1" zoomScaleNormal="100" workbookViewId="0">
      <pane ySplit="1" topLeftCell="A2" activePane="bottomLeft" state="frozen"/>
      <selection activeCell="B1" sqref="B1"/>
      <selection pane="bottomLeft" activeCell="B1" sqref="B1"/>
    </sheetView>
  </sheetViews>
  <sheetFormatPr defaultRowHeight="15" x14ac:dyDescent="0.25"/>
  <cols>
    <col min="1" max="1" width="5.42578125"/>
    <col min="2" max="2" width="24.7109375"/>
    <col min="3" max="3" width="6.85546875"/>
    <col min="4" max="4" width="7.42578125"/>
    <col min="5" max="5" width="4"/>
    <col min="6" max="11" width="11.7109375"/>
    <col min="12" max="12" width="7.85546875"/>
    <col min="13" max="13" width="5.85546875"/>
    <col min="14" max="20" width="11.7109375"/>
    <col min="21" max="21" width="12.5703125"/>
    <col min="22" max="1025" width="7.28515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21</v>
      </c>
      <c r="B3" t="s">
        <v>22</v>
      </c>
      <c r="C3">
        <v>2</v>
      </c>
      <c r="D3">
        <v>1</v>
      </c>
      <c r="E3"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v>6.9567101230611001</v>
      </c>
      <c r="P3">
        <v>5.3868105799443802</v>
      </c>
      <c r="Q3">
        <v>12.9459518864321</v>
      </c>
      <c r="R3">
        <v>34.306772499045003</v>
      </c>
      <c r="S3">
        <v>13.8</v>
      </c>
      <c r="T3">
        <v>0.21</v>
      </c>
      <c r="U3">
        <v>-1.34</v>
      </c>
    </row>
    <row r="4" spans="1:21" x14ac:dyDescent="0.25">
      <c r="A4" t="s">
        <v>21</v>
      </c>
      <c r="B4" t="s">
        <v>22</v>
      </c>
      <c r="C4">
        <v>3</v>
      </c>
      <c r="D4">
        <v>1</v>
      </c>
      <c r="E4"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v>8.2529370351460702</v>
      </c>
      <c r="P4">
        <v>8.9938487101930598</v>
      </c>
      <c r="Q4">
        <v>21.614632805078202</v>
      </c>
      <c r="R4">
        <v>57.278776933457301</v>
      </c>
      <c r="S4">
        <v>13.8</v>
      </c>
      <c r="T4">
        <v>0.21</v>
      </c>
      <c r="U4">
        <v>-1.34</v>
      </c>
    </row>
    <row r="5" spans="1:21" x14ac:dyDescent="0.25">
      <c r="A5" t="s">
        <v>21</v>
      </c>
      <c r="B5" t="s">
        <v>22</v>
      </c>
      <c r="C5">
        <v>4</v>
      </c>
      <c r="D5">
        <v>1</v>
      </c>
      <c r="E5"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v>9.3036381492847298</v>
      </c>
      <c r="P5">
        <v>12.8848217588975</v>
      </c>
      <c r="Q5">
        <v>30.9656855537071</v>
      </c>
      <c r="R5">
        <v>82.059066717323901</v>
      </c>
      <c r="S5">
        <v>13.8</v>
      </c>
      <c r="T5">
        <v>0.21</v>
      </c>
      <c r="U5">
        <v>-1.34</v>
      </c>
    </row>
    <row r="6" spans="1:21" x14ac:dyDescent="0.25">
      <c r="A6" t="s">
        <v>21</v>
      </c>
      <c r="B6" t="s">
        <v>22</v>
      </c>
      <c r="C6">
        <v>5</v>
      </c>
      <c r="D6">
        <v>1</v>
      </c>
      <c r="E6"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v>10.1553199196288</v>
      </c>
      <c r="P6">
        <v>16.757175219079901</v>
      </c>
      <c r="Q6">
        <v>40.271990432780299</v>
      </c>
      <c r="R6">
        <v>106.72077464686799</v>
      </c>
      <c r="S6">
        <v>13.8</v>
      </c>
      <c r="T6">
        <v>0.21</v>
      </c>
      <c r="U6">
        <v>-1.34</v>
      </c>
    </row>
    <row r="7" spans="1:21" x14ac:dyDescent="0.25">
      <c r="A7" t="s">
        <v>21</v>
      </c>
      <c r="B7" t="s">
        <v>22</v>
      </c>
      <c r="C7">
        <v>6</v>
      </c>
      <c r="D7">
        <v>1</v>
      </c>
      <c r="E7"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v>10.8456797452498</v>
      </c>
      <c r="P7">
        <v>20.4122233421221</v>
      </c>
      <c r="Q7">
        <v>49.0560522521561</v>
      </c>
      <c r="R7">
        <v>129.99853846821401</v>
      </c>
      <c r="S7">
        <v>13.8</v>
      </c>
      <c r="T7">
        <v>0.21</v>
      </c>
      <c r="U7">
        <v>-1.34</v>
      </c>
    </row>
    <row r="8" spans="1:21" x14ac:dyDescent="0.25">
      <c r="A8" t="s">
        <v>21</v>
      </c>
      <c r="B8" t="s">
        <v>22</v>
      </c>
      <c r="C8">
        <v>7</v>
      </c>
      <c r="D8">
        <v>1</v>
      </c>
      <c r="E8"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v>11.405274543948799</v>
      </c>
      <c r="P8">
        <v>23.737622253013601</v>
      </c>
      <c r="Q8">
        <v>57.0478785220227</v>
      </c>
      <c r="R8">
        <v>151.17687808336001</v>
      </c>
      <c r="S8">
        <v>13.8</v>
      </c>
      <c r="T8">
        <v>0.21</v>
      </c>
      <c r="U8">
        <v>-1.34</v>
      </c>
    </row>
    <row r="9" spans="1:21" x14ac:dyDescent="0.25">
      <c r="A9" t="s">
        <v>21</v>
      </c>
      <c r="B9" t="s">
        <v>22</v>
      </c>
      <c r="C9">
        <v>8</v>
      </c>
      <c r="D9">
        <v>1</v>
      </c>
      <c r="E9"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v>11.858873271901199</v>
      </c>
      <c r="P9">
        <v>26.6839591327501</v>
      </c>
      <c r="Q9">
        <v>64.128716973684504</v>
      </c>
      <c r="R9">
        <v>169.941099980264</v>
      </c>
      <c r="S9">
        <v>13.8</v>
      </c>
      <c r="T9">
        <v>0.21</v>
      </c>
      <c r="U9">
        <v>-1.34</v>
      </c>
    </row>
    <row r="10" spans="1:21" x14ac:dyDescent="0.25">
      <c r="A10" t="s">
        <v>21</v>
      </c>
      <c r="B10" t="s">
        <v>22</v>
      </c>
      <c r="C10">
        <v>9</v>
      </c>
      <c r="D10">
        <v>1</v>
      </c>
      <c r="E10"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v>12.2265532547714</v>
      </c>
      <c r="P10">
        <v>29.243686140799799</v>
      </c>
      <c r="Q10">
        <v>70.280428120162995</v>
      </c>
      <c r="R10">
        <v>186.24313451843199</v>
      </c>
      <c r="S10">
        <v>13.8</v>
      </c>
      <c r="T10">
        <v>0.21</v>
      </c>
      <c r="U10">
        <v>-1.34</v>
      </c>
    </row>
    <row r="11" spans="1:21" x14ac:dyDescent="0.25">
      <c r="A11" t="s">
        <v>21</v>
      </c>
      <c r="B11" t="s">
        <v>22</v>
      </c>
      <c r="C11">
        <v>10</v>
      </c>
      <c r="D11">
        <v>1</v>
      </c>
      <c r="E11"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v>12.5245888564447</v>
      </c>
      <c r="P11">
        <v>31.4347794283191</v>
      </c>
      <c r="Q11">
        <v>75.546213478296295</v>
      </c>
      <c r="R11">
        <v>200.19746571748499</v>
      </c>
      <c r="S11">
        <v>13.8</v>
      </c>
      <c r="T11">
        <v>0.21</v>
      </c>
      <c r="U11">
        <v>-1.34</v>
      </c>
    </row>
    <row r="12" spans="1:21" x14ac:dyDescent="0.25">
      <c r="A12" t="s">
        <v>23</v>
      </c>
      <c r="B12" t="s">
        <v>24</v>
      </c>
      <c r="C12">
        <v>1</v>
      </c>
      <c r="D12">
        <v>3</v>
      </c>
      <c r="E12"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v>48.279812187087401</v>
      </c>
      <c r="P12">
        <v>1296.2217182591</v>
      </c>
      <c r="Q12">
        <v>3115.1687533263698</v>
      </c>
      <c r="R12">
        <v>8255.1971963148899</v>
      </c>
      <c r="S12">
        <v>314.89999999999998</v>
      </c>
      <c r="T12">
        <v>8.8999999999999996E-2</v>
      </c>
      <c r="U12">
        <v>-1.1299999999999999</v>
      </c>
    </row>
    <row r="13" spans="1:21" x14ac:dyDescent="0.25">
      <c r="A13" t="s">
        <v>23</v>
      </c>
      <c r="B13" t="s">
        <v>24</v>
      </c>
      <c r="C13">
        <v>2</v>
      </c>
      <c r="D13">
        <v>3</v>
      </c>
      <c r="E13"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v>110.756101882612</v>
      </c>
      <c r="P13">
        <v>13144.955654073299</v>
      </c>
      <c r="Q13">
        <v>31590.857135480201</v>
      </c>
      <c r="R13">
        <v>83715.771409022607</v>
      </c>
      <c r="S13">
        <v>314.89999999999998</v>
      </c>
      <c r="T13">
        <v>8.8999999999999996E-2</v>
      </c>
      <c r="U13">
        <v>-1.1299999999999999</v>
      </c>
    </row>
    <row r="14" spans="1:21" x14ac:dyDescent="0.25">
      <c r="A14" t="s">
        <v>23</v>
      </c>
      <c r="B14" t="s">
        <v>24</v>
      </c>
      <c r="C14">
        <v>3</v>
      </c>
      <c r="D14">
        <v>3</v>
      </c>
      <c r="E14"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v>158.59251450754499</v>
      </c>
      <c r="P14">
        <v>35790.028072359702</v>
      </c>
      <c r="Q14">
        <v>86013.045115019704</v>
      </c>
      <c r="R14">
        <v>227934.569554802</v>
      </c>
      <c r="S14">
        <v>314.89999999999998</v>
      </c>
      <c r="T14">
        <v>8.8999999999999996E-2</v>
      </c>
      <c r="U14">
        <v>-1.1299999999999999</v>
      </c>
    </row>
    <row r="15" spans="1:21" x14ac:dyDescent="0.25">
      <c r="A15" t="s">
        <v>23</v>
      </c>
      <c r="B15" t="s">
        <v>24</v>
      </c>
      <c r="C15">
        <v>4</v>
      </c>
      <c r="D15">
        <v>3</v>
      </c>
      <c r="E15"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v>195.219567489963</v>
      </c>
      <c r="P15">
        <v>63904.800593289401</v>
      </c>
      <c r="Q15">
        <v>153580.39075532201</v>
      </c>
      <c r="R15">
        <v>406988.03550160298</v>
      </c>
      <c r="S15">
        <v>314.89999999999998</v>
      </c>
      <c r="T15">
        <v>8.8999999999999996E-2</v>
      </c>
      <c r="U15">
        <v>-1.1299999999999999</v>
      </c>
    </row>
    <row r="16" spans="1:21" x14ac:dyDescent="0.25">
      <c r="A16" t="s">
        <v>23</v>
      </c>
      <c r="B16" t="s">
        <v>24</v>
      </c>
      <c r="C16">
        <v>5</v>
      </c>
      <c r="D16">
        <v>3</v>
      </c>
      <c r="E16"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v>223.26391564573601</v>
      </c>
      <c r="P16">
        <v>92934.521414995499</v>
      </c>
      <c r="Q16">
        <v>223346.60277576401</v>
      </c>
      <c r="R16">
        <v>591868.49735577498</v>
      </c>
      <c r="S16">
        <v>314.89999999999998</v>
      </c>
      <c r="T16">
        <v>8.8999999999999996E-2</v>
      </c>
      <c r="U16">
        <v>-1.1299999999999999</v>
      </c>
    </row>
    <row r="17" spans="1:21" x14ac:dyDescent="0.25">
      <c r="A17" t="s">
        <v>23</v>
      </c>
      <c r="B17" t="s">
        <v>24</v>
      </c>
      <c r="C17">
        <v>6</v>
      </c>
      <c r="D17">
        <v>3</v>
      </c>
      <c r="E17"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v>244.73671783540999</v>
      </c>
      <c r="P17">
        <v>120072.60272624101</v>
      </c>
      <c r="Q17">
        <v>288566.69725124101</v>
      </c>
      <c r="R17">
        <v>764701.74771578796</v>
      </c>
      <c r="S17">
        <v>314.89999999999998</v>
      </c>
      <c r="T17">
        <v>8.8999999999999996E-2</v>
      </c>
      <c r="U17">
        <v>-1.1299999999999999</v>
      </c>
    </row>
    <row r="18" spans="1:21" x14ac:dyDescent="0.25">
      <c r="A18" t="s">
        <v>23</v>
      </c>
      <c r="B18" t="s">
        <v>24</v>
      </c>
      <c r="C18">
        <v>7</v>
      </c>
      <c r="D18">
        <v>3</v>
      </c>
      <c r="E18"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v>261.17786424094697</v>
      </c>
      <c r="P18">
        <v>143954.68698504401</v>
      </c>
      <c r="Q18">
        <v>345961.75675328902</v>
      </c>
      <c r="R18">
        <v>916798.65539621701</v>
      </c>
      <c r="S18">
        <v>314.89999999999998</v>
      </c>
      <c r="T18">
        <v>8.8999999999999996E-2</v>
      </c>
      <c r="U18">
        <v>-1.1299999999999999</v>
      </c>
    </row>
    <row r="19" spans="1:21" x14ac:dyDescent="0.25">
      <c r="A19" t="s">
        <v>23</v>
      </c>
      <c r="B19" t="s">
        <v>24</v>
      </c>
      <c r="C19">
        <v>8</v>
      </c>
      <c r="D19">
        <v>3</v>
      </c>
      <c r="E19"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v>273.76640730768599</v>
      </c>
      <c r="P19">
        <v>164158.73057242401</v>
      </c>
      <c r="Q19">
        <v>394517.49716996902</v>
      </c>
      <c r="R19">
        <v>1045471.36750042</v>
      </c>
      <c r="S19">
        <v>314.89999999999998</v>
      </c>
      <c r="T19">
        <v>8.8999999999999996E-2</v>
      </c>
      <c r="U19">
        <v>-1.1299999999999999</v>
      </c>
    </row>
    <row r="20" spans="1:21" x14ac:dyDescent="0.25">
      <c r="A20" t="s">
        <v>23</v>
      </c>
      <c r="B20" t="s">
        <v>24</v>
      </c>
      <c r="C20">
        <v>9</v>
      </c>
      <c r="D20">
        <v>3</v>
      </c>
      <c r="E20"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v>283.40511574287001</v>
      </c>
      <c r="P20">
        <v>180796.821177259</v>
      </c>
      <c r="Q20">
        <v>434503.295307038</v>
      </c>
      <c r="R20">
        <v>1151433.73256365</v>
      </c>
      <c r="S20">
        <v>314.89999999999998</v>
      </c>
      <c r="T20">
        <v>8.8999999999999996E-2</v>
      </c>
      <c r="U20">
        <v>-1.1299999999999999</v>
      </c>
    </row>
    <row r="21" spans="1:21" x14ac:dyDescent="0.25">
      <c r="A21" t="s">
        <v>23</v>
      </c>
      <c r="B21" t="s">
        <v>24</v>
      </c>
      <c r="C21">
        <v>10</v>
      </c>
      <c r="D21">
        <v>3</v>
      </c>
      <c r="E21"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v>290.785215235397</v>
      </c>
      <c r="P21">
        <v>194240.65083008999</v>
      </c>
      <c r="Q21">
        <v>466812.42689279001</v>
      </c>
      <c r="R21">
        <v>1237052.9312658899</v>
      </c>
      <c r="S21">
        <v>314.89999999999998</v>
      </c>
      <c r="T21">
        <v>8.8999999999999996E-2</v>
      </c>
      <c r="U21">
        <v>-1.1299999999999999</v>
      </c>
    </row>
    <row r="22" spans="1:21" x14ac:dyDescent="0.25">
      <c r="A22" t="s">
        <v>25</v>
      </c>
      <c r="B22" t="s">
        <v>26</v>
      </c>
      <c r="C22">
        <v>1</v>
      </c>
      <c r="D22">
        <v>3</v>
      </c>
      <c r="E22"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v>33.658006569474097</v>
      </c>
      <c r="P22">
        <v>708.91703154675895</v>
      </c>
      <c r="Q22">
        <v>1703.71793209988</v>
      </c>
      <c r="R22">
        <v>4514.85252006467</v>
      </c>
      <c r="S22">
        <v>358.7</v>
      </c>
      <c r="T22">
        <v>9.1999999999999998E-2</v>
      </c>
      <c r="U22">
        <v>-1.929</v>
      </c>
    </row>
    <row r="23" spans="1:21" x14ac:dyDescent="0.25">
      <c r="A23" t="s">
        <v>25</v>
      </c>
      <c r="B23" t="s">
        <v>26</v>
      </c>
      <c r="C23">
        <v>2</v>
      </c>
      <c r="D23">
        <v>3</v>
      </c>
      <c r="E23"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v>112.05393234450599</v>
      </c>
      <c r="P23">
        <v>24929.754124324802</v>
      </c>
      <c r="Q23">
        <v>59912.891430725402</v>
      </c>
      <c r="R23">
        <v>158769.16229142199</v>
      </c>
      <c r="S23">
        <v>358.7</v>
      </c>
      <c r="T23">
        <v>9.1999999999999998E-2</v>
      </c>
      <c r="U23">
        <v>-1.929</v>
      </c>
    </row>
    <row r="24" spans="1:21" x14ac:dyDescent="0.25">
      <c r="A24" t="s">
        <v>25</v>
      </c>
      <c r="B24" t="s">
        <v>26</v>
      </c>
      <c r="C24">
        <v>3</v>
      </c>
      <c r="D24">
        <v>3</v>
      </c>
      <c r="E24"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v>171.54177454160001</v>
      </c>
      <c r="P24">
        <v>87932.348526784801</v>
      </c>
      <c r="Q24">
        <v>211325.03851666601</v>
      </c>
      <c r="R24">
        <v>560011.35206916498</v>
      </c>
      <c r="S24">
        <v>358.7</v>
      </c>
      <c r="T24">
        <v>9.1999999999999998E-2</v>
      </c>
      <c r="U24">
        <v>-1.929</v>
      </c>
    </row>
    <row r="25" spans="1:21" x14ac:dyDescent="0.25">
      <c r="A25" t="s">
        <v>25</v>
      </c>
      <c r="B25" t="s">
        <v>26</v>
      </c>
      <c r="C25">
        <v>4</v>
      </c>
      <c r="D25">
        <v>3</v>
      </c>
      <c r="E25"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v>216.681918423838</v>
      </c>
      <c r="P25">
        <v>175569.42327319901</v>
      </c>
      <c r="Q25">
        <v>421940.45487430599</v>
      </c>
      <c r="R25">
        <v>1118142.2054169099</v>
      </c>
      <c r="S25">
        <v>358.7</v>
      </c>
      <c r="T25">
        <v>9.1999999999999998E-2</v>
      </c>
      <c r="U25">
        <v>-1.929</v>
      </c>
    </row>
    <row r="26" spans="1:21" x14ac:dyDescent="0.25">
      <c r="A26" t="s">
        <v>25</v>
      </c>
      <c r="B26" t="s">
        <v>26</v>
      </c>
      <c r="C26">
        <v>5</v>
      </c>
      <c r="D26">
        <v>3</v>
      </c>
      <c r="E26"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v>250.934843298103</v>
      </c>
      <c r="P26">
        <v>271090.46444670402</v>
      </c>
      <c r="Q26">
        <v>651503.15896828601</v>
      </c>
      <c r="R26">
        <v>1726483.3712659599</v>
      </c>
      <c r="S26">
        <v>358.7</v>
      </c>
      <c r="T26">
        <v>9.1999999999999998E-2</v>
      </c>
      <c r="U26">
        <v>-1.929</v>
      </c>
    </row>
    <row r="27" spans="1:21" x14ac:dyDescent="0.25">
      <c r="A27" t="s">
        <v>25</v>
      </c>
      <c r="B27" t="s">
        <v>26</v>
      </c>
      <c r="C27">
        <v>6</v>
      </c>
      <c r="D27">
        <v>3</v>
      </c>
      <c r="E27"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v>276.92640560908899</v>
      </c>
      <c r="P27">
        <v>362921.17215070501</v>
      </c>
      <c r="Q27">
        <v>872197.00108316599</v>
      </c>
      <c r="R27">
        <v>2311322.05287039</v>
      </c>
      <c r="S27">
        <v>358.7</v>
      </c>
      <c r="T27">
        <v>9.1999999999999998E-2</v>
      </c>
      <c r="U27">
        <v>-1.929</v>
      </c>
    </row>
    <row r="28" spans="1:21" x14ac:dyDescent="0.25">
      <c r="A28" t="s">
        <v>25</v>
      </c>
      <c r="B28" t="s">
        <v>26</v>
      </c>
      <c r="C28">
        <v>7</v>
      </c>
      <c r="D28">
        <v>3</v>
      </c>
      <c r="E28"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v>296.64913918135198</v>
      </c>
      <c r="P28">
        <v>444890.69960510498</v>
      </c>
      <c r="Q28">
        <v>1069191.7798728801</v>
      </c>
      <c r="R28">
        <v>2833358.2166631301</v>
      </c>
      <c r="S28">
        <v>358.7</v>
      </c>
      <c r="T28">
        <v>9.1999999999999998E-2</v>
      </c>
      <c r="U28">
        <v>-1.929</v>
      </c>
    </row>
    <row r="29" spans="1:21" x14ac:dyDescent="0.25">
      <c r="A29" t="s">
        <v>25</v>
      </c>
      <c r="B29" t="s">
        <v>26</v>
      </c>
      <c r="C29">
        <v>8</v>
      </c>
      <c r="D29">
        <v>3</v>
      </c>
      <c r="E29"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v>311.61500444594401</v>
      </c>
      <c r="P29">
        <v>514664.39223161998</v>
      </c>
      <c r="Q29">
        <v>1236876.6936592599</v>
      </c>
      <c r="R29">
        <v>3277723.2381970501</v>
      </c>
      <c r="S29">
        <v>358.7</v>
      </c>
      <c r="T29">
        <v>9.1999999999999998E-2</v>
      </c>
      <c r="U29">
        <v>-1.929</v>
      </c>
    </row>
    <row r="30" spans="1:21" x14ac:dyDescent="0.25">
      <c r="A30" t="s">
        <v>25</v>
      </c>
      <c r="B30" t="s">
        <v>26</v>
      </c>
      <c r="C30">
        <v>9</v>
      </c>
      <c r="D30">
        <v>3</v>
      </c>
      <c r="E30"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v>322.97129652874702</v>
      </c>
      <c r="P30">
        <v>572188.33147296798</v>
      </c>
      <c r="Q30">
        <v>1375122.1616750001</v>
      </c>
      <c r="R30">
        <v>3644073.7284387499</v>
      </c>
      <c r="S30">
        <v>358.7</v>
      </c>
      <c r="T30">
        <v>9.1999999999999998E-2</v>
      </c>
      <c r="U30">
        <v>-1.929</v>
      </c>
    </row>
    <row r="31" spans="1:21" x14ac:dyDescent="0.25">
      <c r="A31" t="s">
        <v>25</v>
      </c>
      <c r="B31" t="s">
        <v>26</v>
      </c>
      <c r="C31">
        <v>10</v>
      </c>
      <c r="D31">
        <v>3</v>
      </c>
      <c r="E31"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v>331.58859780667899</v>
      </c>
      <c r="P31">
        <v>618569.57439944602</v>
      </c>
      <c r="Q31">
        <v>1486588.7392440401</v>
      </c>
      <c r="R31">
        <v>3939460.1589967101</v>
      </c>
      <c r="S31">
        <v>358.7</v>
      </c>
      <c r="T31">
        <v>9.1999999999999998E-2</v>
      </c>
      <c r="U31">
        <v>-1.929</v>
      </c>
    </row>
    <row r="32" spans="1:21" x14ac:dyDescent="0.25">
      <c r="A32" t="s">
        <v>27</v>
      </c>
      <c r="B32" t="s">
        <v>28</v>
      </c>
      <c r="C32">
        <v>1</v>
      </c>
      <c r="D32">
        <v>1</v>
      </c>
      <c r="E32"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v>27.042514542150101</v>
      </c>
      <c r="P32">
        <v>156.43329523840299</v>
      </c>
      <c r="Q32">
        <v>375.95120220717001</v>
      </c>
      <c r="R32">
        <v>996.27068584899905</v>
      </c>
      <c r="S32">
        <v>81.53</v>
      </c>
      <c r="T32">
        <v>0.31</v>
      </c>
      <c r="U32">
        <v>-0.3</v>
      </c>
    </row>
    <row r="33" spans="1:21" x14ac:dyDescent="0.25">
      <c r="A33" t="s">
        <v>27</v>
      </c>
      <c r="B33" t="s">
        <v>28</v>
      </c>
      <c r="C33">
        <v>2</v>
      </c>
      <c r="D33">
        <v>1</v>
      </c>
      <c r="E33"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v>41.566319638624798</v>
      </c>
      <c r="P33">
        <v>544.18084001262002</v>
      </c>
      <c r="Q33">
        <v>1307.8126412223501</v>
      </c>
      <c r="R33">
        <v>3465.70349923923</v>
      </c>
      <c r="S33">
        <v>81.53</v>
      </c>
      <c r="T33">
        <v>0.31</v>
      </c>
      <c r="U33">
        <v>-0.3</v>
      </c>
    </row>
    <row r="34" spans="1:21" x14ac:dyDescent="0.25">
      <c r="A34" t="s">
        <v>27</v>
      </c>
      <c r="B34" t="s">
        <v>28</v>
      </c>
      <c r="C34">
        <v>3</v>
      </c>
      <c r="D34">
        <v>1</v>
      </c>
      <c r="E34"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v>52.218760279428999</v>
      </c>
      <c r="P34">
        <v>1054.6046955131501</v>
      </c>
      <c r="Q34">
        <v>2534.4981867655702</v>
      </c>
      <c r="R34">
        <v>6716.4201949287599</v>
      </c>
      <c r="S34">
        <v>81.53</v>
      </c>
      <c r="T34">
        <v>0.31</v>
      </c>
      <c r="U34">
        <v>-0.3</v>
      </c>
    </row>
    <row r="35" spans="1:21" x14ac:dyDescent="0.25">
      <c r="A35" t="s">
        <v>27</v>
      </c>
      <c r="B35" t="s">
        <v>28</v>
      </c>
      <c r="C35">
        <v>4</v>
      </c>
      <c r="D35">
        <v>1</v>
      </c>
      <c r="E35"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v>60.031760443786702</v>
      </c>
      <c r="P35">
        <v>1580.14817967457</v>
      </c>
      <c r="Q35">
        <v>3797.5202587709</v>
      </c>
      <c r="R35">
        <v>10063.4286857429</v>
      </c>
      <c r="S35">
        <v>81.53</v>
      </c>
      <c r="T35">
        <v>0.31</v>
      </c>
      <c r="U35">
        <v>-0.3</v>
      </c>
    </row>
    <row r="36" spans="1:21" x14ac:dyDescent="0.25">
      <c r="A36" t="s">
        <v>27</v>
      </c>
      <c r="B36" t="s">
        <v>28</v>
      </c>
      <c r="C36">
        <v>5</v>
      </c>
      <c r="D36">
        <v>1</v>
      </c>
      <c r="E36"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v>65.762181633314697</v>
      </c>
      <c r="P36">
        <v>2058.37121948809</v>
      </c>
      <c r="Q36">
        <v>4946.8186000675096</v>
      </c>
      <c r="R36">
        <v>13109.069290178901</v>
      </c>
      <c r="S36">
        <v>81.53</v>
      </c>
      <c r="T36">
        <v>0.31</v>
      </c>
      <c r="U36">
        <v>-0.3</v>
      </c>
    </row>
    <row r="37" spans="1:21" x14ac:dyDescent="0.25">
      <c r="A37" t="s">
        <v>27</v>
      </c>
      <c r="B37" t="s">
        <v>28</v>
      </c>
      <c r="C37">
        <v>6</v>
      </c>
      <c r="D37">
        <v>1</v>
      </c>
      <c r="E37"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v>69.965141612657206</v>
      </c>
      <c r="P37">
        <v>2463.4835460760801</v>
      </c>
      <c r="Q37">
        <v>5920.4122712715198</v>
      </c>
      <c r="R37">
        <v>15689.0925188695</v>
      </c>
      <c r="S37">
        <v>81.53</v>
      </c>
      <c r="T37">
        <v>0.31</v>
      </c>
      <c r="U37">
        <v>-0.3</v>
      </c>
    </row>
    <row r="38" spans="1:21" x14ac:dyDescent="0.25">
      <c r="A38" t="s">
        <v>27</v>
      </c>
      <c r="B38" t="s">
        <v>28</v>
      </c>
      <c r="C38">
        <v>7</v>
      </c>
      <c r="D38">
        <v>1</v>
      </c>
      <c r="E38"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v>73.047789816638499</v>
      </c>
      <c r="P38">
        <v>2791.6001798030702</v>
      </c>
      <c r="Q38">
        <v>6708.9646234152196</v>
      </c>
      <c r="R38">
        <v>17778.756252050302</v>
      </c>
      <c r="S38">
        <v>81.53</v>
      </c>
      <c r="T38">
        <v>0.31</v>
      </c>
      <c r="U38">
        <v>-0.3</v>
      </c>
    </row>
    <row r="39" spans="1:21" x14ac:dyDescent="0.25">
      <c r="A39" t="s">
        <v>27</v>
      </c>
      <c r="B39" t="s">
        <v>28</v>
      </c>
      <c r="C39">
        <v>8</v>
      </c>
      <c r="D39">
        <v>1</v>
      </c>
      <c r="E39"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v>75.308748758958799</v>
      </c>
      <c r="P39">
        <v>3049.61094600149</v>
      </c>
      <c r="Q39">
        <v>7329.0337563121702</v>
      </c>
      <c r="R39">
        <v>19421.939454227198</v>
      </c>
      <c r="S39">
        <v>81.53</v>
      </c>
      <c r="T39">
        <v>0.31</v>
      </c>
      <c r="U39">
        <v>-0.3</v>
      </c>
    </row>
    <row r="40" spans="1:21" x14ac:dyDescent="0.25">
      <c r="A40" t="s">
        <v>27</v>
      </c>
      <c r="B40" t="s">
        <v>28</v>
      </c>
      <c r="C40">
        <v>9</v>
      </c>
      <c r="D40">
        <v>1</v>
      </c>
      <c r="E40"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v>76.967042213351803</v>
      </c>
      <c r="P40">
        <v>3248.4530720549801</v>
      </c>
      <c r="Q40">
        <v>7806.9047634101898</v>
      </c>
      <c r="R40">
        <v>20688.297623037</v>
      </c>
      <c r="S40">
        <v>81.53</v>
      </c>
      <c r="T40">
        <v>0.31</v>
      </c>
      <c r="U40">
        <v>-0.3</v>
      </c>
    </row>
    <row r="41" spans="1:21" x14ac:dyDescent="0.25">
      <c r="A41" t="s">
        <v>27</v>
      </c>
      <c r="B41" t="s">
        <v>28</v>
      </c>
      <c r="C41">
        <v>10</v>
      </c>
      <c r="D41">
        <v>1</v>
      </c>
      <c r="E41"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v>78.183312500002899</v>
      </c>
      <c r="P41">
        <v>3399.5660148577499</v>
      </c>
      <c r="Q41">
        <v>8170.0697304920704</v>
      </c>
      <c r="R41">
        <v>21650.684785803998</v>
      </c>
      <c r="S41">
        <v>81.53</v>
      </c>
      <c r="T41">
        <v>0.31</v>
      </c>
      <c r="U41">
        <v>-0.3</v>
      </c>
    </row>
    <row r="42" spans="1:21" x14ac:dyDescent="0.25">
      <c r="A42" t="s">
        <v>29</v>
      </c>
      <c r="B42" t="s">
        <v>30</v>
      </c>
      <c r="C42">
        <v>1</v>
      </c>
      <c r="D42">
        <v>7</v>
      </c>
      <c r="E42" s="2"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v>219.265780084395</v>
      </c>
      <c r="P42">
        <v>34260.676659675199</v>
      </c>
      <c r="Q42">
        <v>82337.603123468507</v>
      </c>
      <c r="R42">
        <v>218194.648277192</v>
      </c>
      <c r="S42">
        <v>282</v>
      </c>
      <c r="T42">
        <v>0.18</v>
      </c>
      <c r="U42">
        <v>-1.35</v>
      </c>
    </row>
    <row r="43" spans="1:21" x14ac:dyDescent="0.25">
      <c r="A43" t="s">
        <v>29</v>
      </c>
      <c r="B43" t="s">
        <v>30</v>
      </c>
      <c r="C43">
        <v>2</v>
      </c>
      <c r="D43">
        <v>7</v>
      </c>
      <c r="E43" s="2"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v>264.20518592161699</v>
      </c>
      <c r="P43">
        <v>59938.707617156499</v>
      </c>
      <c r="Q43">
        <v>144048.804655507</v>
      </c>
      <c r="R43">
        <v>381729.33233709401</v>
      </c>
      <c r="S43">
        <v>282</v>
      </c>
      <c r="T43">
        <v>0.18</v>
      </c>
      <c r="U43">
        <v>-1.35</v>
      </c>
    </row>
    <row r="44" spans="1:21" x14ac:dyDescent="0.25">
      <c r="A44" t="s">
        <v>29</v>
      </c>
      <c r="B44" t="s">
        <v>30</v>
      </c>
      <c r="C44">
        <v>3</v>
      </c>
      <c r="D44">
        <v>7</v>
      </c>
      <c r="E44" s="2"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v>276.952429335852</v>
      </c>
      <c r="P44">
        <v>69039.700378839203</v>
      </c>
      <c r="Q44">
        <v>165920.93337860901</v>
      </c>
      <c r="R44">
        <v>439690.47345331399</v>
      </c>
      <c r="S44">
        <v>282</v>
      </c>
      <c r="T44">
        <v>0.18</v>
      </c>
      <c r="U44">
        <v>-1.35</v>
      </c>
    </row>
    <row r="45" spans="1:21" x14ac:dyDescent="0.25">
      <c r="A45" t="s">
        <v>29</v>
      </c>
      <c r="B45" t="s">
        <v>30</v>
      </c>
      <c r="C45">
        <v>4</v>
      </c>
      <c r="D45">
        <v>7</v>
      </c>
      <c r="E45" s="2"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v>280.56823625707199</v>
      </c>
      <c r="P45">
        <v>71779.2418875851</v>
      </c>
      <c r="Q45">
        <v>172504.78704057899</v>
      </c>
      <c r="R45">
        <v>457137.68565753498</v>
      </c>
      <c r="S45">
        <v>282</v>
      </c>
      <c r="T45">
        <v>0.18</v>
      </c>
      <c r="U45">
        <v>-1.35</v>
      </c>
    </row>
    <row r="46" spans="1:21" x14ac:dyDescent="0.25">
      <c r="A46" t="s">
        <v>29</v>
      </c>
      <c r="B46" t="s">
        <v>30</v>
      </c>
      <c r="C46">
        <v>5</v>
      </c>
      <c r="D46">
        <v>7</v>
      </c>
      <c r="E46" s="2"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v>281.59387444932202</v>
      </c>
      <c r="P46">
        <v>72569.306178378101</v>
      </c>
      <c r="Q46">
        <v>174403.52362023099</v>
      </c>
      <c r="R46">
        <v>462169.33759361203</v>
      </c>
      <c r="S46">
        <v>282</v>
      </c>
      <c r="T46">
        <v>0.18</v>
      </c>
      <c r="U46">
        <v>-1.35</v>
      </c>
    </row>
    <row r="47" spans="1:21" x14ac:dyDescent="0.25">
      <c r="A47" t="s">
        <v>29</v>
      </c>
      <c r="B47" t="s">
        <v>30</v>
      </c>
      <c r="C47">
        <v>6</v>
      </c>
      <c r="D47">
        <v>7</v>
      </c>
      <c r="E47" s="2"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v>281.88480085228599</v>
      </c>
      <c r="P47">
        <v>72794.461787243505</v>
      </c>
      <c r="Q47">
        <v>174944.632990251</v>
      </c>
      <c r="R47">
        <v>463603.27742416499</v>
      </c>
      <c r="S47">
        <v>282</v>
      </c>
      <c r="T47">
        <v>0.18</v>
      </c>
      <c r="U47">
        <v>-1.35</v>
      </c>
    </row>
    <row r="48" spans="1:21" x14ac:dyDescent="0.25">
      <c r="A48" t="s">
        <v>29</v>
      </c>
      <c r="B48" t="s">
        <v>30</v>
      </c>
      <c r="C48">
        <v>7</v>
      </c>
      <c r="D48">
        <v>7</v>
      </c>
      <c r="E48" s="2"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v>281.967323297902</v>
      </c>
      <c r="P48">
        <v>72858.412760649197</v>
      </c>
      <c r="Q48">
        <v>175098.32434667001</v>
      </c>
      <c r="R48">
        <v>464010.55951867398</v>
      </c>
      <c r="S48">
        <v>282</v>
      </c>
      <c r="T48">
        <v>0.18</v>
      </c>
      <c r="U48">
        <v>-1.35</v>
      </c>
    </row>
    <row r="49" spans="1:21" x14ac:dyDescent="0.25">
      <c r="A49" t="s">
        <v>29</v>
      </c>
      <c r="B49" t="s">
        <v>30</v>
      </c>
      <c r="C49">
        <v>8</v>
      </c>
      <c r="D49">
        <v>7</v>
      </c>
      <c r="E49" s="2"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v>281.99073112187699</v>
      </c>
      <c r="P49">
        <v>72876.559528140206</v>
      </c>
      <c r="Q49">
        <v>175141.93590036099</v>
      </c>
      <c r="R49">
        <v>464126.13013595698</v>
      </c>
      <c r="S49">
        <v>282</v>
      </c>
      <c r="T49">
        <v>0.18</v>
      </c>
      <c r="U49">
        <v>-1.35</v>
      </c>
    </row>
    <row r="50" spans="1:21" x14ac:dyDescent="0.25">
      <c r="A50" t="s">
        <v>29</v>
      </c>
      <c r="B50" t="s">
        <v>30</v>
      </c>
      <c r="C50">
        <v>9</v>
      </c>
      <c r="D50">
        <v>7</v>
      </c>
      <c r="E50" s="2"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v>281.99737084539902</v>
      </c>
      <c r="P50">
        <v>72881.707480323705</v>
      </c>
      <c r="Q50">
        <v>175154.30781140001</v>
      </c>
      <c r="R50">
        <v>464158.91570021102</v>
      </c>
      <c r="S50">
        <v>282</v>
      </c>
      <c r="T50">
        <v>0.18</v>
      </c>
      <c r="U50">
        <v>-1.35</v>
      </c>
    </row>
    <row r="51" spans="1:21" x14ac:dyDescent="0.25">
      <c r="A51" t="s">
        <v>29</v>
      </c>
      <c r="B51" t="s">
        <v>30</v>
      </c>
      <c r="C51">
        <v>10</v>
      </c>
      <c r="D51">
        <v>7</v>
      </c>
      <c r="E51" s="2"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v>281.99925422971103</v>
      </c>
      <c r="P51">
        <v>72883.167761823803</v>
      </c>
      <c r="Q51">
        <v>175157.817259851</v>
      </c>
      <c r="R51">
        <v>464168.21573860402</v>
      </c>
      <c r="S51">
        <v>282</v>
      </c>
      <c r="T51">
        <v>0.18</v>
      </c>
      <c r="U51">
        <v>-1.35</v>
      </c>
    </row>
    <row r="52" spans="1:21" x14ac:dyDescent="0.25">
      <c r="A52" s="2" t="s">
        <v>31</v>
      </c>
      <c r="B52" t="s">
        <v>32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v>20.469999999626999</v>
      </c>
      <c r="I52">
        <v>2.0469999999626998E-2</v>
      </c>
      <c r="J52">
        <v>2.0469999999626999E-5</v>
      </c>
      <c r="K52">
        <v>4.5128571399177697E-2</v>
      </c>
      <c r="L52" s="3">
        <v>1.1599999999999999E-2</v>
      </c>
      <c r="M52" s="3">
        <v>3</v>
      </c>
      <c r="N52">
        <v>12.084256948656501</v>
      </c>
      <c r="O52" s="2">
        <v>17.621741541719199</v>
      </c>
      <c r="P52" s="2">
        <v>63.475257401935899</v>
      </c>
      <c r="Q52" s="2">
        <v>152.54808315774099</v>
      </c>
      <c r="R52" s="2">
        <v>404.25242036801302</v>
      </c>
      <c r="S52" s="2">
        <v>29.1726666666667</v>
      </c>
      <c r="T52" s="2">
        <v>0.92646666666666699</v>
      </c>
      <c r="U52" s="2">
        <v>0</v>
      </c>
    </row>
    <row r="53" spans="1:21" x14ac:dyDescent="0.25">
      <c r="A53" s="2" t="s">
        <v>31</v>
      </c>
      <c r="B53" t="s">
        <v>32</v>
      </c>
      <c r="C53">
        <v>2</v>
      </c>
      <c r="D53">
        <v>1</v>
      </c>
      <c r="E53">
        <v>2</v>
      </c>
      <c r="F53">
        <v>86.10910835</v>
      </c>
      <c r="G53">
        <v>228.18913710000001</v>
      </c>
      <c r="H53">
        <v>35.829999984434998</v>
      </c>
      <c r="I53">
        <v>3.5829999984435E-2</v>
      </c>
      <c r="J53">
        <v>3.5829999984434998E-5</v>
      </c>
      <c r="K53">
        <v>7.8991534565685098E-2</v>
      </c>
      <c r="L53" s="3">
        <v>1.1599999999999999E-2</v>
      </c>
      <c r="M53" s="3">
        <v>3</v>
      </c>
      <c r="N53">
        <v>14.5634054165095</v>
      </c>
      <c r="O53" s="2">
        <v>24.5990747915504</v>
      </c>
      <c r="P53" s="2">
        <v>172.668973842546</v>
      </c>
      <c r="Q53" s="2">
        <v>414.969896281052</v>
      </c>
      <c r="R53" s="2">
        <v>1099.67022514479</v>
      </c>
      <c r="S53" s="2">
        <v>29.1726666666667</v>
      </c>
      <c r="T53" s="2">
        <v>0.92646666666666699</v>
      </c>
      <c r="U53" s="2">
        <v>0</v>
      </c>
    </row>
    <row r="54" spans="1:21" x14ac:dyDescent="0.25">
      <c r="A54" s="2" t="s">
        <v>31</v>
      </c>
      <c r="B54" t="s">
        <v>32</v>
      </c>
      <c r="C54">
        <v>3</v>
      </c>
      <c r="D54">
        <v>1</v>
      </c>
      <c r="E54">
        <v>3</v>
      </c>
      <c r="F54">
        <v>123.02331169999999</v>
      </c>
      <c r="G54">
        <v>326.011776</v>
      </c>
      <c r="H54">
        <v>51.189999998369998</v>
      </c>
      <c r="I54">
        <v>5.1189999998369998E-2</v>
      </c>
      <c r="J54">
        <v>5.118999999837E-5</v>
      </c>
      <c r="K54">
        <v>0.11285449779640599</v>
      </c>
      <c r="L54" s="3">
        <v>1.1599999999999999E-2</v>
      </c>
      <c r="M54" s="3">
        <v>3</v>
      </c>
      <c r="N54">
        <v>16.402462244751302</v>
      </c>
      <c r="O54" s="2">
        <v>27.361751747397399</v>
      </c>
      <c r="P54" s="2">
        <v>237.62366170011001</v>
      </c>
      <c r="Q54" s="2">
        <v>571.07344796950395</v>
      </c>
      <c r="R54" s="2">
        <v>1513.3446371191801</v>
      </c>
      <c r="S54" s="2">
        <v>29.1726666666667</v>
      </c>
      <c r="T54" s="2">
        <v>0.92646666666666699</v>
      </c>
      <c r="U54" s="2">
        <v>0</v>
      </c>
    </row>
    <row r="55" spans="1:21" x14ac:dyDescent="0.25">
      <c r="A55" s="2" t="s">
        <v>31</v>
      </c>
      <c r="B55" t="s">
        <v>32</v>
      </c>
      <c r="C55">
        <v>4</v>
      </c>
      <c r="D55">
        <v>1</v>
      </c>
      <c r="E55">
        <v>4</v>
      </c>
      <c r="F55">
        <v>164.56380680000001</v>
      </c>
      <c r="G55">
        <v>436.094088</v>
      </c>
      <c r="H55">
        <v>68.475000009479999</v>
      </c>
      <c r="I55">
        <v>6.8475000009479994E-2</v>
      </c>
      <c r="J55">
        <v>6.8475000009480004E-5</v>
      </c>
      <c r="K55">
        <v>0.15096135452090001</v>
      </c>
      <c r="L55" s="3">
        <v>1.1599999999999999E-2</v>
      </c>
      <c r="M55" s="3">
        <v>3</v>
      </c>
      <c r="N55">
        <v>18.072768429706201</v>
      </c>
      <c r="O55" s="2">
        <v>28.455634422780999</v>
      </c>
      <c r="P55" s="2">
        <v>267.27775043602998</v>
      </c>
      <c r="Q55" s="2">
        <v>642.34018369629803</v>
      </c>
      <c r="R55" s="2">
        <v>1702.20148679519</v>
      </c>
      <c r="S55" s="2">
        <v>29.1726666666667</v>
      </c>
      <c r="T55" s="2">
        <v>0.92646666666666699</v>
      </c>
      <c r="U55" s="2">
        <v>0</v>
      </c>
    </row>
    <row r="56" spans="1:21" x14ac:dyDescent="0.25">
      <c r="A56" s="2" t="s">
        <v>31</v>
      </c>
      <c r="B56" t="s">
        <v>32</v>
      </c>
      <c r="C56">
        <v>5</v>
      </c>
      <c r="D56">
        <v>1</v>
      </c>
      <c r="E56">
        <v>5</v>
      </c>
      <c r="F56">
        <v>206.1043018</v>
      </c>
      <c r="G56">
        <v>546.17639980000001</v>
      </c>
      <c r="H56">
        <v>85.759999978980005</v>
      </c>
      <c r="I56">
        <v>8.5759999978979998E-2</v>
      </c>
      <c r="J56">
        <v>8.5759999978979995E-5</v>
      </c>
      <c r="K56">
        <v>0.18906821115365899</v>
      </c>
      <c r="L56" s="3">
        <v>1.1599999999999999E-2</v>
      </c>
      <c r="M56" s="3">
        <v>3</v>
      </c>
      <c r="N56">
        <v>19.4808959921927</v>
      </c>
      <c r="O56" s="2">
        <v>28.888757559010099</v>
      </c>
      <c r="P56" s="2">
        <v>279.66916248891698</v>
      </c>
      <c r="Q56" s="2">
        <v>672.12007327305196</v>
      </c>
      <c r="R56" s="2">
        <v>1781.1181941735899</v>
      </c>
      <c r="S56" s="2">
        <v>29.1726666666667</v>
      </c>
      <c r="T56" s="2">
        <v>0.92646666666666699</v>
      </c>
      <c r="U56" s="2">
        <v>0</v>
      </c>
    </row>
    <row r="57" spans="1:21" x14ac:dyDescent="0.25">
      <c r="A57" s="2" t="s">
        <v>31</v>
      </c>
      <c r="B57" t="s">
        <v>32</v>
      </c>
      <c r="C57">
        <v>6</v>
      </c>
      <c r="D57">
        <v>1</v>
      </c>
      <c r="E57">
        <v>6</v>
      </c>
      <c r="F57">
        <v>244.71280949999999</v>
      </c>
      <c r="G57">
        <v>648.48894510000002</v>
      </c>
      <c r="H57">
        <v>101.82500003295</v>
      </c>
      <c r="I57">
        <v>0.10182500003295</v>
      </c>
      <c r="J57">
        <v>1.0182500003295E-4</v>
      </c>
      <c r="K57">
        <v>0.224485431572642</v>
      </c>
      <c r="L57" s="3">
        <v>1.1599999999999999E-2</v>
      </c>
      <c r="M57" s="3">
        <v>3</v>
      </c>
      <c r="N57">
        <v>20.6283967913844</v>
      </c>
      <c r="O57" s="2">
        <v>29.0602527799863</v>
      </c>
      <c r="P57" s="2">
        <v>284.67947239585698</v>
      </c>
      <c r="Q57" s="2">
        <v>684.16119297249895</v>
      </c>
      <c r="R57" s="2">
        <v>1813.0271613771199</v>
      </c>
      <c r="S57" s="2">
        <v>29.1726666666667</v>
      </c>
      <c r="T57" s="2">
        <v>0.92646666666666699</v>
      </c>
      <c r="U57" s="2">
        <v>0</v>
      </c>
    </row>
    <row r="58" spans="1:21" x14ac:dyDescent="0.25">
      <c r="A58" s="2" t="s">
        <v>31</v>
      </c>
      <c r="B58" t="s">
        <v>32</v>
      </c>
      <c r="C58">
        <v>7</v>
      </c>
      <c r="D58">
        <v>1</v>
      </c>
      <c r="E58">
        <v>7</v>
      </c>
      <c r="F58">
        <v>283.32131700000002</v>
      </c>
      <c r="G58">
        <v>750.80149010000002</v>
      </c>
      <c r="H58">
        <v>117.8900000037</v>
      </c>
      <c r="I58">
        <v>0.11789000000369999</v>
      </c>
      <c r="J58">
        <v>1.178900000037E-4</v>
      </c>
      <c r="K58">
        <v>0.25990265180815703</v>
      </c>
      <c r="L58" s="3">
        <v>1.1599999999999999E-2</v>
      </c>
      <c r="M58" s="3">
        <v>3</v>
      </c>
      <c r="N58">
        <v>21.660725206894199</v>
      </c>
      <c r="O58" s="2">
        <v>29.128156358339801</v>
      </c>
      <c r="P58" s="2">
        <v>286.67972607794502</v>
      </c>
      <c r="Q58" s="2">
        <v>688.96833952882605</v>
      </c>
      <c r="R58" s="2">
        <v>1825.7660997513899</v>
      </c>
      <c r="S58" s="2">
        <v>29.1726666666667</v>
      </c>
      <c r="T58" s="2">
        <v>0.92646666666666699</v>
      </c>
      <c r="U58" s="2">
        <v>0</v>
      </c>
    </row>
    <row r="59" spans="1:21" x14ac:dyDescent="0.25">
      <c r="A59" s="2" t="s">
        <v>31</v>
      </c>
      <c r="B59" t="s">
        <v>32</v>
      </c>
      <c r="C59">
        <v>8</v>
      </c>
      <c r="D59">
        <v>1</v>
      </c>
      <c r="E59">
        <v>8</v>
      </c>
      <c r="F59">
        <v>314.44364339999998</v>
      </c>
      <c r="G59">
        <v>833.27565500000003</v>
      </c>
      <c r="H59">
        <v>130.84000001874</v>
      </c>
      <c r="I59">
        <v>0.13084000001873999</v>
      </c>
      <c r="J59">
        <v>1.3084000001873999E-4</v>
      </c>
      <c r="K59">
        <v>0.28845248084131497</v>
      </c>
      <c r="L59" s="3">
        <v>1.1599999999999999E-2</v>
      </c>
      <c r="M59" s="3">
        <v>3</v>
      </c>
      <c r="N59">
        <v>22.4264663428077</v>
      </c>
      <c r="O59" s="2">
        <v>29.155042798247401</v>
      </c>
      <c r="P59" s="2">
        <v>287.474309221856</v>
      </c>
      <c r="Q59" s="2">
        <v>690.87793612558403</v>
      </c>
      <c r="R59" s="2">
        <v>1830.8265307327999</v>
      </c>
      <c r="S59" s="2">
        <v>29.1726666666667</v>
      </c>
      <c r="T59" s="2">
        <v>0.92646666666666699</v>
      </c>
      <c r="U59" s="2">
        <v>0</v>
      </c>
    </row>
    <row r="60" spans="1:21" x14ac:dyDescent="0.25">
      <c r="A60" s="2" t="s">
        <v>31</v>
      </c>
      <c r="B60" t="s">
        <v>32</v>
      </c>
      <c r="C60">
        <v>9</v>
      </c>
      <c r="D60">
        <v>1</v>
      </c>
      <c r="E60">
        <v>9</v>
      </c>
      <c r="F60">
        <v>345.5659698</v>
      </c>
      <c r="G60">
        <v>915.74981979999995</v>
      </c>
      <c r="H60">
        <v>143.79000003377999</v>
      </c>
      <c r="I60">
        <v>0.14379000003378001</v>
      </c>
      <c r="J60">
        <v>1.4379000003378E-4</v>
      </c>
      <c r="K60">
        <v>0.31700230987447198</v>
      </c>
      <c r="L60" s="3">
        <v>1.1599999999999999E-2</v>
      </c>
      <c r="M60" s="3">
        <v>3</v>
      </c>
      <c r="N60">
        <v>23.143208333852002</v>
      </c>
      <c r="O60" s="2">
        <v>29.165688491279099</v>
      </c>
      <c r="P60" s="2">
        <v>287.78932994100302</v>
      </c>
      <c r="Q60" s="2">
        <v>691.63501547945998</v>
      </c>
      <c r="R60" s="2">
        <v>1832.8327910205701</v>
      </c>
      <c r="S60" s="2">
        <v>29.1726666666667</v>
      </c>
      <c r="T60" s="2">
        <v>0.92646666666666699</v>
      </c>
      <c r="U60" s="2">
        <v>0</v>
      </c>
    </row>
    <row r="61" spans="1:21" x14ac:dyDescent="0.25">
      <c r="A61" s="2" t="s">
        <v>31</v>
      </c>
      <c r="B61" t="s">
        <v>32</v>
      </c>
      <c r="C61">
        <v>10</v>
      </c>
      <c r="D61">
        <v>1</v>
      </c>
      <c r="E61">
        <v>10</v>
      </c>
      <c r="F61">
        <v>372.74693589999998</v>
      </c>
      <c r="G61">
        <v>987.77937999999995</v>
      </c>
      <c r="H61">
        <v>155.10000002799001</v>
      </c>
      <c r="I61">
        <v>0.15510000002798999</v>
      </c>
      <c r="J61">
        <v>1.5510000002799001E-4</v>
      </c>
      <c r="K61">
        <v>0.34193656206170697</v>
      </c>
      <c r="L61" s="3">
        <v>1.1599999999999999E-2</v>
      </c>
      <c r="M61" s="3">
        <v>3</v>
      </c>
      <c r="N61">
        <v>23.734746790222701</v>
      </c>
      <c r="O61" s="2">
        <v>29.1699036562662</v>
      </c>
      <c r="P61" s="2">
        <v>287.91412605230499</v>
      </c>
      <c r="Q61" s="2">
        <v>691.93493403582204</v>
      </c>
      <c r="R61" s="2">
        <v>1833.6275751949299</v>
      </c>
      <c r="S61" s="2">
        <v>29.1726666666667</v>
      </c>
      <c r="T61" s="2">
        <v>0.92646666666666699</v>
      </c>
      <c r="U61" s="2">
        <v>0</v>
      </c>
    </row>
    <row r="62" spans="1:21" x14ac:dyDescent="0.25">
      <c r="A62" t="s">
        <v>33</v>
      </c>
      <c r="B62" t="s">
        <v>34</v>
      </c>
      <c r="C62">
        <v>1</v>
      </c>
      <c r="D62">
        <v>2</v>
      </c>
      <c r="E62"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v>19.1988128345637</v>
      </c>
      <c r="P62">
        <v>106.148627567673</v>
      </c>
      <c r="Q62">
        <v>255.10364712250299</v>
      </c>
      <c r="R62">
        <v>676.02466487463198</v>
      </c>
      <c r="S62" s="4">
        <v>58.9</v>
      </c>
      <c r="T62" s="4">
        <v>0.22</v>
      </c>
      <c r="U62" s="4">
        <v>0.20699999999999999</v>
      </c>
    </row>
    <row r="63" spans="1:21" x14ac:dyDescent="0.25">
      <c r="A63" t="s">
        <v>33</v>
      </c>
      <c r="B63" t="s">
        <v>34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v>33.330989505220401</v>
      </c>
      <c r="P63">
        <v>555.438372390013</v>
      </c>
      <c r="Q63">
        <v>1334.86751355447</v>
      </c>
      <c r="R63">
        <v>3537.3989109193299</v>
      </c>
      <c r="S63" s="4">
        <v>58.9</v>
      </c>
      <c r="T63" s="4">
        <v>0.22</v>
      </c>
      <c r="U63" s="4">
        <v>0.20699999999999999</v>
      </c>
    </row>
    <row r="64" spans="1:21" x14ac:dyDescent="0.25">
      <c r="A64" t="s">
        <v>33</v>
      </c>
      <c r="B64" t="s">
        <v>34</v>
      </c>
      <c r="C64">
        <v>3</v>
      </c>
      <c r="D64">
        <v>2</v>
      </c>
      <c r="E64"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v>42.432625990304899</v>
      </c>
      <c r="P64">
        <v>1146.0168080164101</v>
      </c>
      <c r="Q64">
        <v>2754.1860322432399</v>
      </c>
      <c r="R64">
        <v>7298.5929854445803</v>
      </c>
      <c r="S64" s="4">
        <v>58.9</v>
      </c>
      <c r="T64" s="4">
        <v>0.22</v>
      </c>
      <c r="U64" s="4">
        <v>0.20699999999999999</v>
      </c>
    </row>
    <row r="65" spans="1:21" x14ac:dyDescent="0.25">
      <c r="A65" t="s">
        <v>33</v>
      </c>
      <c r="B65" t="s">
        <v>34</v>
      </c>
      <c r="C65">
        <v>4</v>
      </c>
      <c r="D65">
        <v>2</v>
      </c>
      <c r="E65"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v>48.294411378158401</v>
      </c>
      <c r="P65">
        <v>1689.5921790812799</v>
      </c>
      <c r="Q65">
        <v>4060.5435690489899</v>
      </c>
      <c r="R65">
        <v>10760.440457979799</v>
      </c>
      <c r="S65" s="4">
        <v>58.9</v>
      </c>
      <c r="T65" s="4">
        <v>0.22</v>
      </c>
      <c r="U65" s="4">
        <v>0.20699999999999999</v>
      </c>
    </row>
    <row r="66" spans="1:21" x14ac:dyDescent="0.25">
      <c r="A66" t="s">
        <v>33</v>
      </c>
      <c r="B66" t="s">
        <v>34</v>
      </c>
      <c r="C66">
        <v>5</v>
      </c>
      <c r="D66">
        <v>2</v>
      </c>
      <c r="E66"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v>52.069614660509103</v>
      </c>
      <c r="P66">
        <v>2117.6020570614801</v>
      </c>
      <c r="Q66">
        <v>5089.1662029836198</v>
      </c>
      <c r="R66">
        <v>13486.2904379066</v>
      </c>
      <c r="S66" s="4">
        <v>58.9</v>
      </c>
      <c r="T66" s="4">
        <v>0.22</v>
      </c>
      <c r="U66" s="4">
        <v>0.20699999999999999</v>
      </c>
    </row>
    <row r="67" spans="1:21" x14ac:dyDescent="0.25">
      <c r="A67" t="s">
        <v>33</v>
      </c>
      <c r="B67" t="s">
        <v>34</v>
      </c>
      <c r="C67">
        <v>6</v>
      </c>
      <c r="D67">
        <v>2</v>
      </c>
      <c r="E67"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v>54.500983071335497</v>
      </c>
      <c r="P67">
        <v>2428.3107759137201</v>
      </c>
      <c r="Q67">
        <v>5835.8826626140899</v>
      </c>
      <c r="R67">
        <v>15465.089055927299</v>
      </c>
      <c r="S67" s="4">
        <v>58.9</v>
      </c>
      <c r="T67" s="4">
        <v>0.22</v>
      </c>
      <c r="U67" s="4">
        <v>0.20699999999999999</v>
      </c>
    </row>
    <row r="68" spans="1:21" x14ac:dyDescent="0.25">
      <c r="A68" t="s">
        <v>33</v>
      </c>
      <c r="B68" t="s">
        <v>34</v>
      </c>
      <c r="C68">
        <v>7</v>
      </c>
      <c r="D68">
        <v>2</v>
      </c>
      <c r="E68"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v>56.066872880978799</v>
      </c>
      <c r="P68">
        <v>2643.6883748447099</v>
      </c>
      <c r="Q68">
        <v>6353.4928499031703</v>
      </c>
      <c r="R68">
        <v>16836.7560522434</v>
      </c>
      <c r="S68" s="4">
        <v>58.9</v>
      </c>
      <c r="T68" s="4">
        <v>0.22</v>
      </c>
      <c r="U68" s="4">
        <v>0.20699999999999999</v>
      </c>
    </row>
    <row r="69" spans="1:21" x14ac:dyDescent="0.25">
      <c r="A69" t="s">
        <v>33</v>
      </c>
      <c r="B69" t="s">
        <v>34</v>
      </c>
      <c r="C69">
        <v>8</v>
      </c>
      <c r="D69">
        <v>2</v>
      </c>
      <c r="E69"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v>57.075362949792002</v>
      </c>
      <c r="P69">
        <v>2788.9280146025999</v>
      </c>
      <c r="Q69">
        <v>6702.5426931088796</v>
      </c>
      <c r="R69">
        <v>17761.738136738499</v>
      </c>
      <c r="S69" s="4">
        <v>58.9</v>
      </c>
      <c r="T69" s="4">
        <v>0.22</v>
      </c>
      <c r="U69" s="4">
        <v>0.20699999999999999</v>
      </c>
    </row>
    <row r="70" spans="1:21" x14ac:dyDescent="0.25">
      <c r="A70" t="s">
        <v>33</v>
      </c>
      <c r="B70" t="s">
        <v>34</v>
      </c>
      <c r="C70">
        <v>9</v>
      </c>
      <c r="D70">
        <v>2</v>
      </c>
      <c r="E70"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v>57.724867284408298</v>
      </c>
      <c r="P70">
        <v>2885.2276689179398</v>
      </c>
      <c r="Q70">
        <v>6933.9766135975597</v>
      </c>
      <c r="R70">
        <v>18375.038026033501</v>
      </c>
      <c r="S70" s="4">
        <v>58.9</v>
      </c>
      <c r="T70" s="4">
        <v>0.22</v>
      </c>
      <c r="U70" s="4">
        <v>0.20699999999999999</v>
      </c>
    </row>
    <row r="71" spans="1:21" x14ac:dyDescent="0.25">
      <c r="A71" t="s">
        <v>33</v>
      </c>
      <c r="B71" t="s">
        <v>34</v>
      </c>
      <c r="C71">
        <v>10</v>
      </c>
      <c r="D71">
        <v>2</v>
      </c>
      <c r="E71"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v>58.143171731552599</v>
      </c>
      <c r="P71">
        <v>2948.4068809014698</v>
      </c>
      <c r="Q71">
        <v>7085.8132201429098</v>
      </c>
      <c r="R71">
        <v>18777.405033378702</v>
      </c>
      <c r="S71" s="4">
        <v>58.9</v>
      </c>
      <c r="T71" s="4">
        <v>0.22</v>
      </c>
      <c r="U71" s="4">
        <v>0.20699999999999999</v>
      </c>
    </row>
    <row r="72" spans="1:21" x14ac:dyDescent="0.25">
      <c r="A72" t="s">
        <v>35</v>
      </c>
      <c r="B72" t="s">
        <v>36</v>
      </c>
      <c r="C72">
        <v>1</v>
      </c>
      <c r="D72">
        <v>1</v>
      </c>
      <c r="E72"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v>12.644084665180401</v>
      </c>
      <c r="P72">
        <v>42.450370046910898</v>
      </c>
      <c r="Q72">
        <v>102.019634815936</v>
      </c>
      <c r="R72">
        <v>270.35203226223001</v>
      </c>
      <c r="S72" s="4">
        <v>21.02</v>
      </c>
      <c r="T72" s="4">
        <v>0.86</v>
      </c>
      <c r="U72" s="4">
        <v>-6.9989999999999997E-2</v>
      </c>
    </row>
    <row r="73" spans="1:21" x14ac:dyDescent="0.25">
      <c r="A73" t="s">
        <v>35</v>
      </c>
      <c r="B73" t="s">
        <v>36</v>
      </c>
      <c r="C73">
        <v>2</v>
      </c>
      <c r="D73">
        <v>1</v>
      </c>
      <c r="E73"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v>17.4756302256006</v>
      </c>
      <c r="P73">
        <v>112.077345120461</v>
      </c>
      <c r="Q73">
        <v>269.35194693694001</v>
      </c>
      <c r="R73">
        <v>713.78265938289098</v>
      </c>
      <c r="S73" s="4">
        <v>21.02</v>
      </c>
      <c r="T73" s="4">
        <v>0.86</v>
      </c>
      <c r="U73" s="4">
        <v>-6.9989999999999997E-2</v>
      </c>
    </row>
    <row r="74" spans="1:21" x14ac:dyDescent="0.25">
      <c r="A74" t="s">
        <v>35</v>
      </c>
      <c r="B74" t="s">
        <v>36</v>
      </c>
      <c r="C74">
        <v>3</v>
      </c>
      <c r="D74">
        <v>1</v>
      </c>
      <c r="E74"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v>19.520157105761101</v>
      </c>
      <c r="P74">
        <v>156.195752908825</v>
      </c>
      <c r="Q74">
        <v>375.380324222122</v>
      </c>
      <c r="R74">
        <v>994.757859188623</v>
      </c>
      <c r="S74" s="4">
        <v>21.02</v>
      </c>
      <c r="T74" s="4">
        <v>0.86</v>
      </c>
      <c r="U74" s="4">
        <v>-6.9989999999999997E-2</v>
      </c>
    </row>
    <row r="75" spans="1:21" x14ac:dyDescent="0.25">
      <c r="A75" t="s">
        <v>35</v>
      </c>
      <c r="B75" t="s">
        <v>36</v>
      </c>
      <c r="C75">
        <v>4</v>
      </c>
      <c r="D75">
        <v>1</v>
      </c>
      <c r="E75"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v>20.385323357724399</v>
      </c>
      <c r="P75">
        <v>177.89842738929701</v>
      </c>
      <c r="Q75">
        <v>427.53767697499899</v>
      </c>
      <c r="R75">
        <v>1132.9748439837499</v>
      </c>
      <c r="S75" s="4">
        <v>21.02</v>
      </c>
      <c r="T75" s="4">
        <v>0.86</v>
      </c>
      <c r="U75" s="4">
        <v>-6.9989999999999997E-2</v>
      </c>
    </row>
    <row r="76" spans="1:21" x14ac:dyDescent="0.25">
      <c r="A76" t="s">
        <v>35</v>
      </c>
      <c r="B76" t="s">
        <v>36</v>
      </c>
      <c r="C76">
        <v>5</v>
      </c>
      <c r="D76">
        <v>1</v>
      </c>
      <c r="E76"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v>20.751428910456202</v>
      </c>
      <c r="P76">
        <v>187.656371865458</v>
      </c>
      <c r="Q76">
        <v>450.98863702345102</v>
      </c>
      <c r="R76">
        <v>1195.11988811214</v>
      </c>
      <c r="S76" s="4">
        <v>21.02</v>
      </c>
      <c r="T76" s="4">
        <v>0.86</v>
      </c>
      <c r="U76" s="4">
        <v>-6.9989999999999997E-2</v>
      </c>
    </row>
    <row r="77" spans="1:21" x14ac:dyDescent="0.25">
      <c r="A77" t="s">
        <v>35</v>
      </c>
      <c r="B77" t="s">
        <v>36</v>
      </c>
      <c r="C77">
        <v>6</v>
      </c>
      <c r="D77">
        <v>1</v>
      </c>
      <c r="E77"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v>20.9063508984983</v>
      </c>
      <c r="P77">
        <v>191.89073267934299</v>
      </c>
      <c r="Q77">
        <v>461.16494275256599</v>
      </c>
      <c r="R77">
        <v>1222.0870982942999</v>
      </c>
      <c r="S77" s="4">
        <v>21.02</v>
      </c>
      <c r="T77" s="4">
        <v>0.86</v>
      </c>
      <c r="U77" s="4">
        <v>-6.9989999999999997E-2</v>
      </c>
    </row>
    <row r="78" spans="1:21" x14ac:dyDescent="0.25">
      <c r="A78" t="s">
        <v>35</v>
      </c>
      <c r="B78" t="s">
        <v>36</v>
      </c>
      <c r="C78">
        <v>7</v>
      </c>
      <c r="D78">
        <v>1</v>
      </c>
      <c r="E78"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v>20.971908009555001</v>
      </c>
      <c r="P78">
        <v>193.70156382249999</v>
      </c>
      <c r="Q78">
        <v>465.51685609829298</v>
      </c>
      <c r="R78">
        <v>1233.6196686604801</v>
      </c>
      <c r="S78" s="4">
        <v>21.02</v>
      </c>
      <c r="T78" s="4">
        <v>0.86</v>
      </c>
      <c r="U78" s="4">
        <v>-6.9989999999999997E-2</v>
      </c>
    </row>
    <row r="79" spans="1:21" x14ac:dyDescent="0.25">
      <c r="A79" t="s">
        <v>35</v>
      </c>
      <c r="B79" t="s">
        <v>36</v>
      </c>
      <c r="C79">
        <v>8</v>
      </c>
      <c r="D79">
        <v>1</v>
      </c>
      <c r="E79"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v>20.9996492931805</v>
      </c>
      <c r="P79">
        <v>194.471256475155</v>
      </c>
      <c r="Q79">
        <v>467.366634162835</v>
      </c>
      <c r="R79">
        <v>1238.5215805315099</v>
      </c>
      <c r="S79" s="4">
        <v>21.02</v>
      </c>
      <c r="T79" s="4">
        <v>0.86</v>
      </c>
      <c r="U79" s="4">
        <v>-6.9989999999999997E-2</v>
      </c>
    </row>
    <row r="80" spans="1:21" x14ac:dyDescent="0.25">
      <c r="A80" t="s">
        <v>35</v>
      </c>
      <c r="B80" t="s">
        <v>36</v>
      </c>
      <c r="C80">
        <v>9</v>
      </c>
      <c r="D80">
        <v>1</v>
      </c>
      <c r="E80"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v>21.0113883525256</v>
      </c>
      <c r="P80">
        <v>194.797574215157</v>
      </c>
      <c r="Q80">
        <v>468.15086329045101</v>
      </c>
      <c r="R80">
        <v>1240.5997877197001</v>
      </c>
      <c r="S80" s="4">
        <v>21.02</v>
      </c>
      <c r="T80" s="4">
        <v>0.86</v>
      </c>
      <c r="U80" s="4">
        <v>-6.9989999999999997E-2</v>
      </c>
    </row>
    <row r="81" spans="1:21" x14ac:dyDescent="0.25">
      <c r="A81" t="s">
        <v>35</v>
      </c>
      <c r="B81" t="s">
        <v>36</v>
      </c>
      <c r="C81">
        <v>10</v>
      </c>
      <c r="D81">
        <v>1</v>
      </c>
      <c r="E81"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v>21.016355877322599</v>
      </c>
      <c r="P81">
        <v>194.93576935351501</v>
      </c>
      <c r="Q81">
        <v>468.48298330573198</v>
      </c>
      <c r="R81">
        <v>1241.4799057601899</v>
      </c>
      <c r="S81" s="4">
        <v>21.02</v>
      </c>
      <c r="T81" s="4">
        <v>0.86</v>
      </c>
      <c r="U81" s="4">
        <v>-6.9989999999999997E-2</v>
      </c>
    </row>
    <row r="82" spans="1:21" x14ac:dyDescent="0.25">
      <c r="A82" t="s">
        <v>37</v>
      </c>
      <c r="B82" t="s">
        <v>38</v>
      </c>
      <c r="C82">
        <v>1</v>
      </c>
      <c r="D82">
        <v>9</v>
      </c>
      <c r="E82"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 s="2">
        <v>2074.86068892197</v>
      </c>
      <c r="P82" s="2">
        <v>53594235.192170598</v>
      </c>
      <c r="Q82" s="2">
        <v>128801334.275824</v>
      </c>
      <c r="R82" s="2">
        <v>341323535.830935</v>
      </c>
      <c r="S82" s="2">
        <v>2097.36</v>
      </c>
      <c r="T82" s="2">
        <v>0.5</v>
      </c>
      <c r="U82" s="2">
        <v>0</v>
      </c>
    </row>
    <row r="83" spans="1:21" x14ac:dyDescent="0.25">
      <c r="A83" t="s">
        <v>37</v>
      </c>
      <c r="B83" t="s">
        <v>38</v>
      </c>
      <c r="C83">
        <v>2</v>
      </c>
      <c r="D83">
        <v>9</v>
      </c>
      <c r="E83"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 s="2">
        <v>2097.11005523112</v>
      </c>
      <c r="P83" s="2">
        <v>55336911.736742303</v>
      </c>
      <c r="Q83" s="2">
        <v>132989453.82538401</v>
      </c>
      <c r="R83" s="2">
        <v>352422052.63726699</v>
      </c>
      <c r="S83" s="2">
        <v>2097.36</v>
      </c>
      <c r="T83" s="2">
        <v>0.5</v>
      </c>
      <c r="U83" s="2">
        <v>0</v>
      </c>
    </row>
    <row r="84" spans="1:21" x14ac:dyDescent="0.25">
      <c r="A84" t="s">
        <v>37</v>
      </c>
      <c r="B84" t="s">
        <v>38</v>
      </c>
      <c r="C84">
        <v>3</v>
      </c>
      <c r="D84">
        <v>9</v>
      </c>
      <c r="E84"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 s="2">
        <v>2097.35722336443</v>
      </c>
      <c r="P84" s="2">
        <v>55356480.285264499</v>
      </c>
      <c r="Q84" s="2">
        <v>133036482.30056401</v>
      </c>
      <c r="R84" s="2">
        <v>352546678.09649402</v>
      </c>
      <c r="S84" s="2">
        <v>2097.36</v>
      </c>
      <c r="T84" s="2">
        <v>0.5</v>
      </c>
      <c r="U84" s="2">
        <v>0</v>
      </c>
    </row>
    <row r="85" spans="1:21" x14ac:dyDescent="0.25">
      <c r="A85" t="s">
        <v>37</v>
      </c>
      <c r="B85" t="s">
        <v>38</v>
      </c>
      <c r="C85">
        <v>4</v>
      </c>
      <c r="D85">
        <v>9</v>
      </c>
      <c r="E85"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 s="2">
        <v>2097.35996915436</v>
      </c>
      <c r="P85" s="2">
        <v>55356697.698107503</v>
      </c>
      <c r="Q85" s="2">
        <v>133037004.801989</v>
      </c>
      <c r="R85" s="2">
        <v>352548062.72526997</v>
      </c>
      <c r="S85" s="2">
        <v>2097.36</v>
      </c>
      <c r="T85" s="2">
        <v>0.5</v>
      </c>
      <c r="U85" s="2">
        <v>0</v>
      </c>
    </row>
    <row r="86" spans="1:21" x14ac:dyDescent="0.25">
      <c r="A86" t="s">
        <v>37</v>
      </c>
      <c r="B86" t="s">
        <v>38</v>
      </c>
      <c r="C86">
        <v>5</v>
      </c>
      <c r="D86">
        <v>9</v>
      </c>
      <c r="E86"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 s="2">
        <v>2097.3599996573398</v>
      </c>
      <c r="P86" s="2">
        <v>55356700.113349199</v>
      </c>
      <c r="Q86" s="2">
        <v>133037010.606463</v>
      </c>
      <c r="R86" s="2">
        <v>352548078.10712701</v>
      </c>
      <c r="S86" s="2">
        <v>2097.36</v>
      </c>
      <c r="T86" s="2">
        <v>0.5</v>
      </c>
      <c r="U86" s="2">
        <v>0</v>
      </c>
    </row>
    <row r="87" spans="1:21" x14ac:dyDescent="0.25">
      <c r="A87" t="s">
        <v>37</v>
      </c>
      <c r="B87" t="s">
        <v>38</v>
      </c>
      <c r="C87">
        <v>6</v>
      </c>
      <c r="D87">
        <v>9</v>
      </c>
      <c r="E87"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 s="2">
        <v>2097.3599999961898</v>
      </c>
      <c r="P87" s="2">
        <v>55356700.140180103</v>
      </c>
      <c r="Q87" s="2">
        <v>133037010.670945</v>
      </c>
      <c r="R87" s="2">
        <v>352548078.27800298</v>
      </c>
      <c r="S87" s="2">
        <v>2097.36</v>
      </c>
      <c r="T87" s="2">
        <v>0.5</v>
      </c>
      <c r="U87" s="2">
        <v>0</v>
      </c>
    </row>
    <row r="88" spans="1:21" x14ac:dyDescent="0.25">
      <c r="A88" t="s">
        <v>37</v>
      </c>
      <c r="B88" t="s">
        <v>38</v>
      </c>
      <c r="C88">
        <v>7</v>
      </c>
      <c r="D88">
        <v>9</v>
      </c>
      <c r="E88"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 s="2">
        <v>2097.3599999999601</v>
      </c>
      <c r="P88" s="2">
        <v>55356700.140478201</v>
      </c>
      <c r="Q88" s="2">
        <v>133037010.671661</v>
      </c>
      <c r="R88" s="2">
        <v>352548078.27990198</v>
      </c>
      <c r="S88" s="2">
        <v>2097.36</v>
      </c>
      <c r="T88" s="2">
        <v>0.5</v>
      </c>
      <c r="U88" s="2">
        <v>0</v>
      </c>
    </row>
    <row r="89" spans="1:21" x14ac:dyDescent="0.25">
      <c r="A89" t="s">
        <v>37</v>
      </c>
      <c r="B89" t="s">
        <v>38</v>
      </c>
      <c r="C89">
        <v>8</v>
      </c>
      <c r="D89">
        <v>9</v>
      </c>
      <c r="E89"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 s="2">
        <v>2097.36</v>
      </c>
      <c r="P89" s="2">
        <v>55356700.140481502</v>
      </c>
      <c r="Q89" s="2">
        <v>133037010.67166901</v>
      </c>
      <c r="R89" s="2">
        <v>352548078.27992302</v>
      </c>
      <c r="S89" s="2">
        <v>2097.36</v>
      </c>
      <c r="T89" s="2">
        <v>0.5</v>
      </c>
      <c r="U89" s="2">
        <v>0</v>
      </c>
    </row>
    <row r="90" spans="1:21" x14ac:dyDescent="0.25">
      <c r="A90" t="s">
        <v>37</v>
      </c>
      <c r="B90" t="s">
        <v>38</v>
      </c>
      <c r="C90">
        <v>9</v>
      </c>
      <c r="D90">
        <v>9</v>
      </c>
      <c r="E90"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 s="2">
        <v>2097.36</v>
      </c>
      <c r="P90" s="2">
        <v>55356700.140481502</v>
      </c>
      <c r="Q90" s="2">
        <v>133037010.67166901</v>
      </c>
      <c r="R90" s="2">
        <v>352548078.27992302</v>
      </c>
      <c r="S90" s="2">
        <v>2097.36</v>
      </c>
      <c r="T90" s="2">
        <v>0.5</v>
      </c>
      <c r="U90" s="2">
        <v>0</v>
      </c>
    </row>
    <row r="91" spans="1:21" x14ac:dyDescent="0.25">
      <c r="A91" t="s">
        <v>37</v>
      </c>
      <c r="B91" t="s">
        <v>38</v>
      </c>
      <c r="C91">
        <v>10</v>
      </c>
      <c r="D91">
        <v>9</v>
      </c>
      <c r="E91"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 s="2">
        <v>2097.36</v>
      </c>
      <c r="P91" s="2">
        <v>55356700.140481502</v>
      </c>
      <c r="Q91" s="2">
        <v>133037010.67166901</v>
      </c>
      <c r="R91" s="2">
        <v>352548078.27992302</v>
      </c>
      <c r="S91" s="2">
        <v>2097.36</v>
      </c>
      <c r="T91" s="2">
        <v>0.5</v>
      </c>
      <c r="U91" s="2">
        <v>0</v>
      </c>
    </row>
    <row r="92" spans="1:21" x14ac:dyDescent="0.25">
      <c r="A92" t="s">
        <v>39</v>
      </c>
      <c r="B92" t="s">
        <v>40</v>
      </c>
      <c r="C92">
        <v>1</v>
      </c>
      <c r="D92">
        <v>2</v>
      </c>
      <c r="E92"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v>28.0613187207728</v>
      </c>
      <c r="P92">
        <v>265.15845240718301</v>
      </c>
      <c r="Q92">
        <v>637.24694161783896</v>
      </c>
      <c r="R92">
        <v>1688.70439528727</v>
      </c>
      <c r="S92">
        <v>150.93</v>
      </c>
      <c r="T92">
        <v>0.11</v>
      </c>
      <c r="U92">
        <v>0.13</v>
      </c>
    </row>
    <row r="93" spans="1:21" x14ac:dyDescent="0.25">
      <c r="A93" t="s">
        <v>39</v>
      </c>
      <c r="B93" t="s">
        <v>40</v>
      </c>
      <c r="C93">
        <v>2</v>
      </c>
      <c r="D93">
        <v>2</v>
      </c>
      <c r="E93"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v>52.325573592559699</v>
      </c>
      <c r="P93">
        <v>1719.1874784798999</v>
      </c>
      <c r="Q93">
        <v>4131.6690182165303</v>
      </c>
      <c r="R93">
        <v>10948.9228982738</v>
      </c>
      <c r="S93">
        <v>150.93</v>
      </c>
      <c r="T93">
        <v>0.11</v>
      </c>
      <c r="U93">
        <v>0.13</v>
      </c>
    </row>
    <row r="94" spans="1:21" x14ac:dyDescent="0.25">
      <c r="A94" t="s">
        <v>39</v>
      </c>
      <c r="B94" t="s">
        <v>40</v>
      </c>
      <c r="C94">
        <v>3</v>
      </c>
      <c r="D94">
        <v>2</v>
      </c>
      <c r="E94"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v>71.798094245721302</v>
      </c>
      <c r="P94">
        <v>4441.4011070428996</v>
      </c>
      <c r="Q94">
        <v>10673.8791325232</v>
      </c>
      <c r="R94">
        <v>28285.7797011865</v>
      </c>
      <c r="S94">
        <v>150.93</v>
      </c>
      <c r="T94">
        <v>0.11</v>
      </c>
      <c r="U94">
        <v>0.13</v>
      </c>
    </row>
    <row r="95" spans="1:21" x14ac:dyDescent="0.25">
      <c r="A95" t="s">
        <v>39</v>
      </c>
      <c r="B95" t="s">
        <v>40</v>
      </c>
      <c r="C95">
        <v>4</v>
      </c>
      <c r="D95">
        <v>2</v>
      </c>
      <c r="E95"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v>87.425158113596197</v>
      </c>
      <c r="P95">
        <v>8018.4518441494702</v>
      </c>
      <c r="Q95">
        <v>19270.492295480599</v>
      </c>
      <c r="R95">
        <v>51066.804583023499</v>
      </c>
      <c r="S95">
        <v>150.93</v>
      </c>
      <c r="T95">
        <v>0.11</v>
      </c>
      <c r="U95">
        <v>0.13</v>
      </c>
    </row>
    <row r="96" spans="1:21" x14ac:dyDescent="0.25">
      <c r="A96" t="s">
        <v>39</v>
      </c>
      <c r="B96" t="s">
        <v>40</v>
      </c>
      <c r="C96">
        <v>5</v>
      </c>
      <c r="D96">
        <v>2</v>
      </c>
      <c r="E96"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v>99.966170624525901</v>
      </c>
      <c r="P96">
        <v>11987.8255443007</v>
      </c>
      <c r="Q96">
        <v>28809.962855805501</v>
      </c>
      <c r="R96">
        <v>76346.401567884604</v>
      </c>
      <c r="S96">
        <v>150.93</v>
      </c>
      <c r="T96">
        <v>0.11</v>
      </c>
      <c r="U96">
        <v>0.13</v>
      </c>
    </row>
    <row r="97" spans="1:21" x14ac:dyDescent="0.25">
      <c r="A97" t="s">
        <v>39</v>
      </c>
      <c r="B97" t="s">
        <v>40</v>
      </c>
      <c r="C97">
        <v>6</v>
      </c>
      <c r="D97">
        <v>2</v>
      </c>
      <c r="E97"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v>110.03056891003</v>
      </c>
      <c r="P97">
        <v>15985.319518006399</v>
      </c>
      <c r="Q97">
        <v>38417.013982231299</v>
      </c>
      <c r="R97">
        <v>101805.087052913</v>
      </c>
      <c r="S97">
        <v>150.93</v>
      </c>
      <c r="T97">
        <v>0.11</v>
      </c>
      <c r="U97">
        <v>0.13</v>
      </c>
    </row>
    <row r="98" spans="1:21" x14ac:dyDescent="0.25">
      <c r="A98" t="s">
        <v>39</v>
      </c>
      <c r="B98" t="s">
        <v>40</v>
      </c>
      <c r="C98">
        <v>7</v>
      </c>
      <c r="D98">
        <v>2</v>
      </c>
      <c r="E98"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v>118.10743772432799</v>
      </c>
      <c r="P98">
        <v>19770.287712418001</v>
      </c>
      <c r="Q98">
        <v>47513.308609512103</v>
      </c>
      <c r="R98">
        <v>125910.267815207</v>
      </c>
      <c r="S98">
        <v>150.93</v>
      </c>
      <c r="T98">
        <v>0.11</v>
      </c>
      <c r="U98">
        <v>0.13</v>
      </c>
    </row>
    <row r="99" spans="1:21" x14ac:dyDescent="0.25">
      <c r="A99" t="s">
        <v>39</v>
      </c>
      <c r="B99" t="s">
        <v>40</v>
      </c>
      <c r="C99">
        <v>8</v>
      </c>
      <c r="D99">
        <v>2</v>
      </c>
      <c r="E99"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v>124.589276776479</v>
      </c>
      <c r="P99">
        <v>23207.226476381598</v>
      </c>
      <c r="Q99">
        <v>55773.195088636297</v>
      </c>
      <c r="R99">
        <v>147798.96698488601</v>
      </c>
      <c r="S99">
        <v>150.93</v>
      </c>
      <c r="T99">
        <v>0.11</v>
      </c>
      <c r="U99">
        <v>0.13</v>
      </c>
    </row>
    <row r="100" spans="1:21" x14ac:dyDescent="0.25">
      <c r="A100" t="s">
        <v>39</v>
      </c>
      <c r="B100" t="s">
        <v>40</v>
      </c>
      <c r="C100">
        <v>9</v>
      </c>
      <c r="D100">
        <v>2</v>
      </c>
      <c r="E100"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v>129.79107446119801</v>
      </c>
      <c r="P100">
        <v>26237.093874199702</v>
      </c>
      <c r="Q100">
        <v>63054.779798605297</v>
      </c>
      <c r="R100">
        <v>167095.16646630401</v>
      </c>
      <c r="S100">
        <v>150.93</v>
      </c>
      <c r="T100">
        <v>0.11</v>
      </c>
      <c r="U100">
        <v>0.13</v>
      </c>
    </row>
    <row r="101" spans="1:21" x14ac:dyDescent="0.25">
      <c r="A101" t="s">
        <v>39</v>
      </c>
      <c r="B101" t="s">
        <v>40</v>
      </c>
      <c r="C101">
        <v>10</v>
      </c>
      <c r="D101">
        <v>2</v>
      </c>
      <c r="E101"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v>133.96561488638201</v>
      </c>
      <c r="P101">
        <v>28851.026615496699</v>
      </c>
      <c r="Q101">
        <v>69336.761873339696</v>
      </c>
      <c r="R101">
        <v>183742.41896435001</v>
      </c>
      <c r="S101">
        <v>150.93</v>
      </c>
      <c r="T101">
        <v>0.11</v>
      </c>
      <c r="U101">
        <v>0.13</v>
      </c>
    </row>
    <row r="102" spans="1:21" x14ac:dyDescent="0.25">
      <c r="A102" t="s">
        <v>41</v>
      </c>
      <c r="B102" t="s">
        <v>42</v>
      </c>
      <c r="C102">
        <v>1</v>
      </c>
      <c r="D102">
        <v>4</v>
      </c>
      <c r="E102"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v>36.422627340305503</v>
      </c>
      <c r="P102">
        <v>927.58931316686903</v>
      </c>
      <c r="Q102">
        <v>2229.2461263322998</v>
      </c>
      <c r="R102">
        <v>5907.5022347805898</v>
      </c>
      <c r="S102">
        <v>91.5</v>
      </c>
      <c r="T102">
        <v>0.12690000000000001</v>
      </c>
      <c r="U102">
        <v>0</v>
      </c>
    </row>
    <row r="103" spans="1:21" x14ac:dyDescent="0.25">
      <c r="A103" t="s">
        <v>41</v>
      </c>
      <c r="B103" t="s">
        <v>42</v>
      </c>
      <c r="C103">
        <v>2</v>
      </c>
      <c r="D103">
        <v>4</v>
      </c>
      <c r="E103"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v>58.346808971640797</v>
      </c>
      <c r="P103">
        <v>3997.2180213995698</v>
      </c>
      <c r="Q103">
        <v>9606.3879389559406</v>
      </c>
      <c r="R103">
        <v>25456.9280382332</v>
      </c>
      <c r="S103">
        <v>91.5</v>
      </c>
      <c r="T103">
        <v>0.12690000000000001</v>
      </c>
      <c r="U103">
        <v>0</v>
      </c>
    </row>
    <row r="104" spans="1:21" x14ac:dyDescent="0.25">
      <c r="A104" t="s">
        <v>41</v>
      </c>
      <c r="B104" t="s">
        <v>42</v>
      </c>
      <c r="C104">
        <v>3</v>
      </c>
      <c r="D104">
        <v>4</v>
      </c>
      <c r="E104"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v>71.543817954896397</v>
      </c>
      <c r="P104">
        <v>7521.0477792886604</v>
      </c>
      <c r="Q104">
        <v>18075.0968019434</v>
      </c>
      <c r="R104">
        <v>47899.0065251501</v>
      </c>
      <c r="S104">
        <v>91.5</v>
      </c>
      <c r="T104">
        <v>0.12690000000000001</v>
      </c>
      <c r="U104">
        <v>0</v>
      </c>
    </row>
    <row r="105" spans="1:21" x14ac:dyDescent="0.25">
      <c r="A105" t="s">
        <v>41</v>
      </c>
      <c r="B105" t="s">
        <v>42</v>
      </c>
      <c r="C105">
        <v>4</v>
      </c>
      <c r="D105">
        <v>4</v>
      </c>
      <c r="E105"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v>79.487605733739102</v>
      </c>
      <c r="P105">
        <v>10423.9660199672</v>
      </c>
      <c r="Q105">
        <v>25051.588608428799</v>
      </c>
      <c r="R105">
        <v>66386.709812336398</v>
      </c>
      <c r="S105">
        <v>91.5</v>
      </c>
      <c r="T105">
        <v>0.12690000000000001</v>
      </c>
      <c r="U105">
        <v>0</v>
      </c>
    </row>
    <row r="106" spans="1:21" x14ac:dyDescent="0.25">
      <c r="A106" t="s">
        <v>41</v>
      </c>
      <c r="B106" t="s">
        <v>42</v>
      </c>
      <c r="C106">
        <v>5</v>
      </c>
      <c r="D106">
        <v>4</v>
      </c>
      <c r="E106"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v>84.269277425813897</v>
      </c>
      <c r="P106">
        <v>12493.3680838173</v>
      </c>
      <c r="Q106">
        <v>30024.917288674202</v>
      </c>
      <c r="R106">
        <v>79566.030814986603</v>
      </c>
      <c r="S106">
        <v>91.5</v>
      </c>
      <c r="T106">
        <v>0.12690000000000001</v>
      </c>
      <c r="U106">
        <v>0</v>
      </c>
    </row>
    <row r="107" spans="1:21" x14ac:dyDescent="0.25">
      <c r="A107" t="s">
        <v>41</v>
      </c>
      <c r="B107" t="s">
        <v>42</v>
      </c>
      <c r="C107">
        <v>6</v>
      </c>
      <c r="D107">
        <v>4</v>
      </c>
      <c r="E107"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v>87.147549706914603</v>
      </c>
      <c r="P107">
        <v>13864.233325167101</v>
      </c>
      <c r="Q107">
        <v>33319.474465674401</v>
      </c>
      <c r="R107">
        <v>88296.607334037195</v>
      </c>
      <c r="S107">
        <v>91.5</v>
      </c>
      <c r="T107">
        <v>0.12690000000000001</v>
      </c>
      <c r="U107">
        <v>0</v>
      </c>
    </row>
    <row r="108" spans="1:21" x14ac:dyDescent="0.25">
      <c r="A108" t="s">
        <v>41</v>
      </c>
      <c r="B108" t="s">
        <v>42</v>
      </c>
      <c r="C108">
        <v>7</v>
      </c>
      <c r="D108">
        <v>4</v>
      </c>
      <c r="E108"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v>88.880092603551205</v>
      </c>
      <c r="P108">
        <v>14736.6491332853</v>
      </c>
      <c r="Q108">
        <v>35416.123848318501</v>
      </c>
      <c r="R108">
        <v>93852.7281980439</v>
      </c>
      <c r="S108">
        <v>91.5</v>
      </c>
      <c r="T108">
        <v>0.12690000000000001</v>
      </c>
      <c r="U108">
        <v>0</v>
      </c>
    </row>
    <row r="109" spans="1:21" x14ac:dyDescent="0.25">
      <c r="A109" t="s">
        <v>41</v>
      </c>
      <c r="B109" t="s">
        <v>42</v>
      </c>
      <c r="C109">
        <v>8</v>
      </c>
      <c r="D109">
        <v>4</v>
      </c>
      <c r="E109"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v>89.922976874228397</v>
      </c>
      <c r="P109">
        <v>15279.315297302401</v>
      </c>
      <c r="Q109">
        <v>36720.2963165162</v>
      </c>
      <c r="R109">
        <v>97308.785238768003</v>
      </c>
      <c r="S109">
        <v>91.5</v>
      </c>
      <c r="T109">
        <v>0.12690000000000001</v>
      </c>
      <c r="U109">
        <v>0</v>
      </c>
    </row>
    <row r="110" spans="1:21" x14ac:dyDescent="0.25">
      <c r="A110" t="s">
        <v>41</v>
      </c>
      <c r="B110" t="s">
        <v>42</v>
      </c>
      <c r="C110">
        <v>9</v>
      </c>
      <c r="D110">
        <v>4</v>
      </c>
      <c r="E110"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v>90.550729066764205</v>
      </c>
      <c r="P110">
        <v>15612.4063975565</v>
      </c>
      <c r="Q110">
        <v>37520.803647095803</v>
      </c>
      <c r="R110">
        <v>99430.129664803797</v>
      </c>
      <c r="S110">
        <v>91.5</v>
      </c>
      <c r="T110">
        <v>0.12690000000000001</v>
      </c>
      <c r="U110">
        <v>0</v>
      </c>
    </row>
    <row r="111" spans="1:21" x14ac:dyDescent="0.25">
      <c r="A111" t="s">
        <v>41</v>
      </c>
      <c r="B111" t="s">
        <v>42</v>
      </c>
      <c r="C111">
        <v>10</v>
      </c>
      <c r="D111">
        <v>4</v>
      </c>
      <c r="E111"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v>90.928597279291296</v>
      </c>
      <c r="P111">
        <v>15815.2594832019</v>
      </c>
      <c r="Q111">
        <v>38008.314066815503</v>
      </c>
      <c r="R111">
        <v>100722.03227706099</v>
      </c>
      <c r="S111">
        <v>91.5</v>
      </c>
      <c r="T111">
        <v>0.12690000000000001</v>
      </c>
      <c r="U111">
        <v>0</v>
      </c>
    </row>
    <row r="112" spans="1:21" x14ac:dyDescent="0.25">
      <c r="A112" t="s">
        <v>43</v>
      </c>
      <c r="B112" t="s">
        <v>44</v>
      </c>
      <c r="C112">
        <v>1</v>
      </c>
      <c r="D112">
        <v>2</v>
      </c>
      <c r="E112"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 s="2">
        <v>28.1894449982616</v>
      </c>
      <c r="P112" s="2">
        <v>322.56858449086297</v>
      </c>
      <c r="Q112" s="2">
        <v>775.21890048272701</v>
      </c>
      <c r="R112" s="2">
        <v>2054.3300862792298</v>
      </c>
      <c r="S112" s="2">
        <v>47.633333333333297</v>
      </c>
      <c r="T112" s="2">
        <v>0.44800000000000001</v>
      </c>
      <c r="U112" s="2">
        <v>0</v>
      </c>
    </row>
    <row r="113" spans="1:21" x14ac:dyDescent="0.25">
      <c r="A113" t="s">
        <v>43</v>
      </c>
      <c r="B113" t="s">
        <v>44</v>
      </c>
      <c r="C113">
        <v>2</v>
      </c>
      <c r="D113">
        <v>2</v>
      </c>
      <c r="E113"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 s="2">
        <v>39.696353761883302</v>
      </c>
      <c r="P113" s="2">
        <v>900.77089226532598</v>
      </c>
      <c r="Q113" s="2">
        <v>2164.7942616326</v>
      </c>
      <c r="R113" s="2">
        <v>5736.7047933263902</v>
      </c>
      <c r="S113" s="2">
        <v>47.633333333333297</v>
      </c>
      <c r="T113" s="2">
        <v>0.44800000000000001</v>
      </c>
      <c r="U113" s="2">
        <v>0</v>
      </c>
    </row>
    <row r="114" spans="1:21" x14ac:dyDescent="0.25">
      <c r="A114" t="s">
        <v>43</v>
      </c>
      <c r="B114" t="s">
        <v>44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 s="2">
        <v>44.3934646593301</v>
      </c>
      <c r="P114" s="2">
        <v>1259.85224392177</v>
      </c>
      <c r="Q114" s="2">
        <v>3027.7631432871199</v>
      </c>
      <c r="R114" s="2">
        <v>8023.5723297108698</v>
      </c>
      <c r="S114" s="2">
        <v>47.633333333333297</v>
      </c>
      <c r="T114" s="2">
        <v>0.44800000000000001</v>
      </c>
      <c r="U114" s="2">
        <v>0</v>
      </c>
    </row>
    <row r="115" spans="1:21" x14ac:dyDescent="0.25">
      <c r="A115" t="s">
        <v>43</v>
      </c>
      <c r="B115" t="s">
        <v>44</v>
      </c>
      <c r="C115">
        <v>4</v>
      </c>
      <c r="D115">
        <v>2</v>
      </c>
      <c r="E115"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 s="2">
        <v>46.310821547799101</v>
      </c>
      <c r="P115" s="2">
        <v>1430.2433865410001</v>
      </c>
      <c r="Q115" s="2">
        <v>3437.2587996659399</v>
      </c>
      <c r="R115" s="2">
        <v>9108.7358191147505</v>
      </c>
      <c r="S115" s="2">
        <v>47.633333333333297</v>
      </c>
      <c r="T115" s="2">
        <v>0.44800000000000001</v>
      </c>
      <c r="U115" s="2">
        <v>0</v>
      </c>
    </row>
    <row r="116" spans="1:21" x14ac:dyDescent="0.25">
      <c r="A116" t="s">
        <v>43</v>
      </c>
      <c r="B116" t="s">
        <v>44</v>
      </c>
      <c r="C116">
        <v>5</v>
      </c>
      <c r="D116">
        <v>2</v>
      </c>
      <c r="E116"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 s="2">
        <v>47.093485086732699</v>
      </c>
      <c r="P116" s="2">
        <v>1503.9901260122399</v>
      </c>
      <c r="Q116" s="2">
        <v>3614.4920115650998</v>
      </c>
      <c r="R116" s="2">
        <v>9578.4038306475304</v>
      </c>
      <c r="S116" s="2">
        <v>47.633333333333297</v>
      </c>
      <c r="T116" s="2">
        <v>0.44800000000000001</v>
      </c>
      <c r="U116" s="2">
        <v>0</v>
      </c>
    </row>
    <row r="117" spans="1:21" x14ac:dyDescent="0.25">
      <c r="A117" t="s">
        <v>43</v>
      </c>
      <c r="B117" t="s">
        <v>44</v>
      </c>
      <c r="C117">
        <v>6</v>
      </c>
      <c r="D117">
        <v>2</v>
      </c>
      <c r="E117"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 s="2">
        <v>47.412967713498801</v>
      </c>
      <c r="P117" s="2">
        <v>1534.8074966596901</v>
      </c>
      <c r="Q117" s="2">
        <v>3688.5544260026199</v>
      </c>
      <c r="R117" s="2">
        <v>9774.6692289069306</v>
      </c>
      <c r="S117" s="2">
        <v>47.633333333333297</v>
      </c>
      <c r="T117" s="2">
        <v>0.44800000000000001</v>
      </c>
      <c r="U117" s="2">
        <v>0</v>
      </c>
    </row>
    <row r="118" spans="1:21" x14ac:dyDescent="0.25">
      <c r="A118" t="s">
        <v>43</v>
      </c>
      <c r="B118" t="s">
        <v>44</v>
      </c>
      <c r="C118">
        <v>7</v>
      </c>
      <c r="D118">
        <v>2</v>
      </c>
      <c r="E118"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 s="2">
        <v>47.543380264649898</v>
      </c>
      <c r="P118" s="2">
        <v>1547.50713712176</v>
      </c>
      <c r="Q118" s="2">
        <v>3719.07507118904</v>
      </c>
      <c r="R118" s="2">
        <v>9855.5489386509507</v>
      </c>
      <c r="S118" s="2">
        <v>47.633333333333297</v>
      </c>
      <c r="T118" s="2">
        <v>0.44800000000000001</v>
      </c>
      <c r="U118" s="2">
        <v>0</v>
      </c>
    </row>
    <row r="119" spans="1:21" x14ac:dyDescent="0.25">
      <c r="A119" t="s">
        <v>43</v>
      </c>
      <c r="B119" t="s">
        <v>44</v>
      </c>
      <c r="C119">
        <v>8</v>
      </c>
      <c r="D119">
        <v>2</v>
      </c>
      <c r="E119"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 s="2">
        <v>47.596614563084003</v>
      </c>
      <c r="P119" s="2">
        <v>1552.7111885852801</v>
      </c>
      <c r="Q119" s="2">
        <v>3731.58180385791</v>
      </c>
      <c r="R119" s="2">
        <v>9888.6917802234693</v>
      </c>
      <c r="S119" s="2">
        <v>47.633333333333297</v>
      </c>
      <c r="T119" s="2">
        <v>0.44800000000000001</v>
      </c>
      <c r="U119" s="2">
        <v>0</v>
      </c>
    </row>
    <row r="120" spans="1:21" x14ac:dyDescent="0.25">
      <c r="A120" t="s">
        <v>43</v>
      </c>
      <c r="B120" t="s">
        <v>44</v>
      </c>
      <c r="C120">
        <v>9</v>
      </c>
      <c r="D120">
        <v>2</v>
      </c>
      <c r="E120"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 s="2">
        <v>47.618344760866002</v>
      </c>
      <c r="P120" s="2">
        <v>1554.8388269591901</v>
      </c>
      <c r="Q120" s="2">
        <v>3736.6950900244801</v>
      </c>
      <c r="R120" s="2">
        <v>9902.2419885648796</v>
      </c>
      <c r="S120" s="2">
        <v>47.633333333333297</v>
      </c>
      <c r="T120" s="2">
        <v>0.44800000000000001</v>
      </c>
      <c r="U120" s="2">
        <v>0</v>
      </c>
    </row>
    <row r="121" spans="1:21" x14ac:dyDescent="0.25">
      <c r="A121" t="s">
        <v>43</v>
      </c>
      <c r="B121" t="s">
        <v>44</v>
      </c>
      <c r="C121">
        <v>10</v>
      </c>
      <c r="D121">
        <v>2</v>
      </c>
      <c r="E121"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 s="2">
        <v>47.627215010113801</v>
      </c>
      <c r="P121" s="2">
        <v>1555.7078855504301</v>
      </c>
      <c r="Q121" s="2">
        <v>3738.7836711137402</v>
      </c>
      <c r="R121" s="2">
        <v>9907.7767284513993</v>
      </c>
      <c r="S121" s="2">
        <v>47.633333333333297</v>
      </c>
      <c r="T121" s="2">
        <v>0.44800000000000001</v>
      </c>
      <c r="U121" s="2">
        <v>0</v>
      </c>
    </row>
    <row r="122" spans="1:21" x14ac:dyDescent="0.25">
      <c r="A122" t="s">
        <v>45</v>
      </c>
      <c r="B122" t="s">
        <v>46</v>
      </c>
      <c r="C122">
        <v>1</v>
      </c>
      <c r="D122">
        <v>5</v>
      </c>
      <c r="E122"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 s="2">
        <v>210.25548566594</v>
      </c>
      <c r="P122" s="2">
        <v>107272.06964857</v>
      </c>
      <c r="Q122" s="2">
        <v>257803.58002540399</v>
      </c>
      <c r="R122" s="2">
        <v>683179.48706732003</v>
      </c>
      <c r="S122" s="2">
        <v>300.78571428571399</v>
      </c>
      <c r="T122" s="2">
        <v>0.24014285714285699</v>
      </c>
      <c r="U122" s="2">
        <v>0</v>
      </c>
    </row>
    <row r="123" spans="1:21" x14ac:dyDescent="0.25">
      <c r="A123" t="s">
        <v>45</v>
      </c>
      <c r="B123" t="s">
        <v>46</v>
      </c>
      <c r="C123">
        <v>2</v>
      </c>
      <c r="D123">
        <v>5</v>
      </c>
      <c r="E123"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 s="2">
        <v>266.14213576925499</v>
      </c>
      <c r="P123" s="2">
        <v>228065.097309423</v>
      </c>
      <c r="Q123" s="2">
        <v>548101.65178904904</v>
      </c>
      <c r="R123" s="2">
        <v>1452469.37724098</v>
      </c>
      <c r="S123" s="2">
        <v>300.78571428571399</v>
      </c>
      <c r="T123" s="2">
        <v>0.24014285714285699</v>
      </c>
      <c r="U123" s="2">
        <v>1</v>
      </c>
    </row>
    <row r="124" spans="1:21" x14ac:dyDescent="0.25">
      <c r="A124" t="s">
        <v>45</v>
      </c>
      <c r="B124" t="s">
        <v>46</v>
      </c>
      <c r="C124">
        <v>3</v>
      </c>
      <c r="D124">
        <v>5</v>
      </c>
      <c r="E124"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 s="2">
        <v>287.52851223592398</v>
      </c>
      <c r="P124" s="2">
        <v>292061.37189564598</v>
      </c>
      <c r="Q124" s="2">
        <v>701901.87910513405</v>
      </c>
      <c r="R124" s="2">
        <v>1860039.9796285999</v>
      </c>
      <c r="S124" s="2">
        <v>300.78571428571399</v>
      </c>
      <c r="T124" s="2">
        <v>0.24014285714285699</v>
      </c>
      <c r="U124" s="2">
        <v>2</v>
      </c>
    </row>
    <row r="125" spans="1:21" x14ac:dyDescent="0.25">
      <c r="A125" t="s">
        <v>45</v>
      </c>
      <c r="B125" t="s">
        <v>46</v>
      </c>
      <c r="C125">
        <v>4</v>
      </c>
      <c r="D125">
        <v>5</v>
      </c>
      <c r="E125"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 s="2">
        <v>295.71252572623899</v>
      </c>
      <c r="P125" s="2">
        <v>319505.46579705598</v>
      </c>
      <c r="Q125" s="2">
        <v>767857.40398235095</v>
      </c>
      <c r="R125" s="2">
        <v>2034822.1205532299</v>
      </c>
      <c r="S125" s="2">
        <v>300.78571428571399</v>
      </c>
      <c r="T125" s="2">
        <v>0.24014285714285699</v>
      </c>
      <c r="U125" s="2">
        <v>3</v>
      </c>
    </row>
    <row r="126" spans="1:21" x14ac:dyDescent="0.25">
      <c r="A126" t="s">
        <v>45</v>
      </c>
      <c r="B126" t="s">
        <v>46</v>
      </c>
      <c r="C126">
        <v>5</v>
      </c>
      <c r="D126">
        <v>5</v>
      </c>
      <c r="E126"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 s="2">
        <v>298.84433615303402</v>
      </c>
      <c r="P126" s="2">
        <v>330460.28998611099</v>
      </c>
      <c r="Q126" s="2">
        <v>794184.78727736499</v>
      </c>
      <c r="R126" s="2">
        <v>2104589.6862850199</v>
      </c>
      <c r="S126" s="2">
        <v>300.78571428571399</v>
      </c>
      <c r="T126" s="2">
        <v>0.24014285714285699</v>
      </c>
      <c r="U126" s="2">
        <v>4</v>
      </c>
    </row>
    <row r="127" spans="1:21" x14ac:dyDescent="0.25">
      <c r="A127" t="s">
        <v>45</v>
      </c>
      <c r="B127" t="s">
        <v>46</v>
      </c>
      <c r="C127">
        <v>6</v>
      </c>
      <c r="D127">
        <v>5</v>
      </c>
      <c r="E127"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 s="2">
        <v>300.04279905402802</v>
      </c>
      <c r="P127" s="2">
        <v>334719.83781043102</v>
      </c>
      <c r="Q127" s="2">
        <v>804421.62415388296</v>
      </c>
      <c r="R127" s="2">
        <v>2131717.3040077901</v>
      </c>
      <c r="S127" s="2">
        <v>300.78571428571399</v>
      </c>
      <c r="T127" s="2">
        <v>0.24014285714285699</v>
      </c>
      <c r="U127" s="2">
        <v>5</v>
      </c>
    </row>
    <row r="128" spans="1:21" x14ac:dyDescent="0.25">
      <c r="A128" t="s">
        <v>45</v>
      </c>
      <c r="B128" t="s">
        <v>46</v>
      </c>
      <c r="C128">
        <v>7</v>
      </c>
      <c r="D128">
        <v>5</v>
      </c>
      <c r="E128"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 s="2">
        <v>300.50141982901903</v>
      </c>
      <c r="P128" s="2">
        <v>336359.79302631901</v>
      </c>
      <c r="Q128" s="2">
        <v>808362.87677558104</v>
      </c>
      <c r="R128" s="2">
        <v>2142161.6234552902</v>
      </c>
      <c r="S128" s="2">
        <v>300.78571428571399</v>
      </c>
      <c r="T128" s="2">
        <v>0.24014285714285699</v>
      </c>
      <c r="U128" s="2">
        <v>6</v>
      </c>
    </row>
    <row r="129" spans="1:21" x14ac:dyDescent="0.25">
      <c r="A129" t="s">
        <v>45</v>
      </c>
      <c r="B129" t="s">
        <v>46</v>
      </c>
      <c r="C129">
        <v>8</v>
      </c>
      <c r="D129">
        <v>5</v>
      </c>
      <c r="E129"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 s="2">
        <v>300.67692214542598</v>
      </c>
      <c r="P129" s="2">
        <v>336988.82013305998</v>
      </c>
      <c r="Q129" s="2">
        <v>809874.59777231305</v>
      </c>
      <c r="R129" s="2">
        <v>2146167.6840966302</v>
      </c>
      <c r="S129" s="2">
        <v>300.78571428571399</v>
      </c>
      <c r="T129" s="2">
        <v>0.24014285714285699</v>
      </c>
      <c r="U129" s="2">
        <v>7</v>
      </c>
    </row>
    <row r="130" spans="1:21" x14ac:dyDescent="0.25">
      <c r="A130" t="s">
        <v>45</v>
      </c>
      <c r="B130" t="s">
        <v>46</v>
      </c>
      <c r="C130">
        <v>9</v>
      </c>
      <c r="D130">
        <v>5</v>
      </c>
      <c r="E130"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 s="2">
        <v>300.744082345626</v>
      </c>
      <c r="P130" s="2">
        <v>337229.74634921202</v>
      </c>
      <c r="Q130" s="2">
        <v>810453.60814518703</v>
      </c>
      <c r="R130" s="2">
        <v>2147702.0615847399</v>
      </c>
      <c r="S130" s="2">
        <v>300.78571428571399</v>
      </c>
      <c r="T130" s="2">
        <v>0.24014285714285699</v>
      </c>
      <c r="U130" s="2">
        <v>8</v>
      </c>
    </row>
    <row r="131" spans="1:21" x14ac:dyDescent="0.25">
      <c r="A131" t="s">
        <v>45</v>
      </c>
      <c r="B131" t="s">
        <v>46</v>
      </c>
      <c r="C131">
        <v>10</v>
      </c>
      <c r="D131">
        <v>5</v>
      </c>
      <c r="E131"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 s="2">
        <v>300.76978281832203</v>
      </c>
      <c r="P131" s="2">
        <v>337321.973904919</v>
      </c>
      <c r="Q131" s="2">
        <v>810675.25571958395</v>
      </c>
      <c r="R131" s="2">
        <v>2148289.4276569001</v>
      </c>
      <c r="S131" s="2">
        <v>300.78571428571399</v>
      </c>
      <c r="T131" s="2">
        <v>0.24014285714285699</v>
      </c>
      <c r="U131" s="2">
        <v>9</v>
      </c>
    </row>
    <row r="132" spans="1:21" x14ac:dyDescent="0.25">
      <c r="A132" s="2" t="s">
        <v>47</v>
      </c>
      <c r="B132" t="s">
        <v>48</v>
      </c>
      <c r="C132">
        <v>1</v>
      </c>
      <c r="D132">
        <v>1</v>
      </c>
      <c r="E132">
        <v>1</v>
      </c>
      <c r="F132">
        <v>48.065368900000003</v>
      </c>
      <c r="G132">
        <v>127.37322760000001</v>
      </c>
      <c r="H132">
        <v>19.999999999290001</v>
      </c>
      <c r="I132">
        <v>1.9999999999289999E-2</v>
      </c>
      <c r="J132">
        <v>1.9999999999290002E-5</v>
      </c>
      <c r="K132">
        <v>4.40923999984347E-2</v>
      </c>
      <c r="L132" s="3">
        <v>1.23E-2</v>
      </c>
      <c r="M132" s="3">
        <v>3.2</v>
      </c>
      <c r="N132">
        <v>10.080371233277299</v>
      </c>
      <c r="O132" s="2">
        <v>17.377043611361099</v>
      </c>
      <c r="P132" s="2">
        <v>114.242569590294</v>
      </c>
      <c r="Q132" s="2">
        <v>274.55556258181798</v>
      </c>
      <c r="R132" s="2">
        <v>727.57224084181701</v>
      </c>
      <c r="S132" s="2">
        <v>39.200000000000003</v>
      </c>
      <c r="T132" s="2">
        <v>0.58571428571428596</v>
      </c>
      <c r="U132" s="2">
        <v>0</v>
      </c>
    </row>
    <row r="133" spans="1:21" x14ac:dyDescent="0.25">
      <c r="A133" s="2" t="s">
        <v>47</v>
      </c>
      <c r="B133" t="s">
        <v>48</v>
      </c>
      <c r="C133">
        <v>2</v>
      </c>
      <c r="D133">
        <v>1</v>
      </c>
      <c r="E133">
        <v>2</v>
      </c>
      <c r="F133">
        <v>120.16342229999999</v>
      </c>
      <c r="G133">
        <v>318.43306899999999</v>
      </c>
      <c r="H133">
        <v>50.000000019029997</v>
      </c>
      <c r="I133">
        <v>5.0000000019030003E-2</v>
      </c>
      <c r="J133">
        <v>5.000000001903E-5</v>
      </c>
      <c r="K133">
        <v>0.11023100004195401</v>
      </c>
      <c r="L133" s="3">
        <v>1.23E-2</v>
      </c>
      <c r="M133" s="3">
        <v>3.2</v>
      </c>
      <c r="N133">
        <v>13.422480419128</v>
      </c>
      <c r="O133" s="2">
        <v>27.050984042335799</v>
      </c>
      <c r="P133" s="2">
        <v>470.85905826241498</v>
      </c>
      <c r="Q133" s="2">
        <v>1131.6007168046499</v>
      </c>
      <c r="R133" s="2">
        <v>2998.7418995323201</v>
      </c>
      <c r="S133" s="2">
        <v>39.200000000000003</v>
      </c>
      <c r="T133" s="2">
        <v>0.58571428571428596</v>
      </c>
      <c r="U133" s="2">
        <v>0</v>
      </c>
    </row>
    <row r="134" spans="1:21" x14ac:dyDescent="0.25">
      <c r="A134" s="2" t="s">
        <v>47</v>
      </c>
      <c r="B134" t="s">
        <v>48</v>
      </c>
      <c r="C134">
        <v>3</v>
      </c>
      <c r="D134">
        <v>1</v>
      </c>
      <c r="E134">
        <v>3</v>
      </c>
      <c r="F134">
        <v>192.26147560000001</v>
      </c>
      <c r="G134">
        <v>509.49291040000003</v>
      </c>
      <c r="H134">
        <v>79.999999997160003</v>
      </c>
      <c r="I134">
        <v>7.9999999997159996E-2</v>
      </c>
      <c r="J134">
        <v>7.9999999997160007E-5</v>
      </c>
      <c r="K134">
        <v>0.176369599993739</v>
      </c>
      <c r="L134" s="3">
        <v>1.23E-2</v>
      </c>
      <c r="M134" s="3">
        <v>3.2</v>
      </c>
      <c r="N134">
        <v>15.546057640091</v>
      </c>
      <c r="O134" s="2">
        <v>32.4365447599749</v>
      </c>
      <c r="P134" s="2">
        <v>841.813304763318</v>
      </c>
      <c r="Q134" s="2">
        <v>2023.10335199067</v>
      </c>
      <c r="R134" s="2">
        <v>5361.2238827752699</v>
      </c>
      <c r="S134" s="2">
        <v>39.200000000000003</v>
      </c>
      <c r="T134" s="2">
        <v>0.58571428571428596</v>
      </c>
      <c r="U134" s="2">
        <v>0</v>
      </c>
    </row>
    <row r="135" spans="1:21" x14ac:dyDescent="0.25">
      <c r="A135" s="2" t="s">
        <v>47</v>
      </c>
      <c r="B135" t="s">
        <v>48</v>
      </c>
      <c r="C135">
        <v>4</v>
      </c>
      <c r="D135">
        <v>1</v>
      </c>
      <c r="E135">
        <v>4</v>
      </c>
      <c r="F135">
        <v>242.73011299999999</v>
      </c>
      <c r="G135">
        <v>643.23479940000004</v>
      </c>
      <c r="H135">
        <v>101.0000000193</v>
      </c>
      <c r="I135">
        <v>0.1010000000193</v>
      </c>
      <c r="J135">
        <v>1.0100000001929999E-4</v>
      </c>
      <c r="K135">
        <v>0.222666620042549</v>
      </c>
      <c r="L135" s="3">
        <v>1.23E-2</v>
      </c>
      <c r="M135" s="3">
        <v>3.2</v>
      </c>
      <c r="N135">
        <v>16.720724143912001</v>
      </c>
      <c r="O135" s="2">
        <v>35.434729879092401</v>
      </c>
      <c r="P135" s="2">
        <v>1117.06466933811</v>
      </c>
      <c r="Q135" s="2">
        <v>2684.6062709399298</v>
      </c>
      <c r="R135" s="2">
        <v>7114.2066179908197</v>
      </c>
      <c r="S135" s="2">
        <v>39.200000000000003</v>
      </c>
      <c r="T135" s="2">
        <v>0.58571428571428596</v>
      </c>
      <c r="U135" s="2">
        <v>0</v>
      </c>
    </row>
    <row r="136" spans="1:21" x14ac:dyDescent="0.25">
      <c r="A136" s="2" t="s">
        <v>47</v>
      </c>
      <c r="B136" t="s">
        <v>48</v>
      </c>
      <c r="C136">
        <v>5</v>
      </c>
      <c r="D136">
        <v>1</v>
      </c>
      <c r="E136">
        <v>5</v>
      </c>
      <c r="F136">
        <v>254.74645520000001</v>
      </c>
      <c r="G136">
        <v>675.07810619999998</v>
      </c>
      <c r="H136">
        <v>106.00000000871999</v>
      </c>
      <c r="I136">
        <v>0.10600000000871999</v>
      </c>
      <c r="J136">
        <v>1.0600000000872E-4</v>
      </c>
      <c r="K136">
        <v>0.233689720019224</v>
      </c>
      <c r="L136" s="3">
        <v>1.23E-2</v>
      </c>
      <c r="M136" s="3">
        <v>3.2</v>
      </c>
      <c r="N136">
        <v>16.975115407979299</v>
      </c>
      <c r="O136" s="2">
        <v>37.103843733673202</v>
      </c>
      <c r="P136" s="2">
        <v>1294.33173211756</v>
      </c>
      <c r="Q136" s="2">
        <v>3110.6266092707501</v>
      </c>
      <c r="R136" s="2">
        <v>8243.1605145674694</v>
      </c>
      <c r="S136" s="2">
        <v>39.200000000000003</v>
      </c>
      <c r="T136" s="2">
        <v>0.58571428571428596</v>
      </c>
      <c r="U136" s="2">
        <v>0</v>
      </c>
    </row>
    <row r="137" spans="1:21" x14ac:dyDescent="0.25">
      <c r="A137" s="2" t="s">
        <v>47</v>
      </c>
      <c r="B137" t="s">
        <v>48</v>
      </c>
      <c r="C137">
        <v>6</v>
      </c>
      <c r="D137">
        <v>1</v>
      </c>
      <c r="E137">
        <v>6</v>
      </c>
      <c r="F137">
        <v>283.32131700000002</v>
      </c>
      <c r="G137">
        <v>750.80149010000002</v>
      </c>
      <c r="H137">
        <v>117.8900000037</v>
      </c>
      <c r="I137">
        <v>0.11789000000369999</v>
      </c>
      <c r="J137">
        <v>1.178900000037E-4</v>
      </c>
      <c r="K137">
        <v>0.25990265180815703</v>
      </c>
      <c r="L137" s="3">
        <v>1.23E-2</v>
      </c>
      <c r="M137" s="3">
        <v>3.2</v>
      </c>
      <c r="N137">
        <v>17.548548692677901</v>
      </c>
      <c r="O137" s="2">
        <v>38.033052888167802</v>
      </c>
      <c r="P137" s="2">
        <v>1400.9444367063199</v>
      </c>
      <c r="Q137" s="2">
        <v>3366.8455580541199</v>
      </c>
      <c r="R137" s="2">
        <v>8922.1407288434293</v>
      </c>
      <c r="S137" s="2">
        <v>39.200000000000003</v>
      </c>
      <c r="T137" s="2">
        <v>0.58571428571428596</v>
      </c>
      <c r="U137" s="2">
        <v>0</v>
      </c>
    </row>
    <row r="138" spans="1:21" x14ac:dyDescent="0.25">
      <c r="A138" s="2" t="s">
        <v>47</v>
      </c>
      <c r="B138" t="s">
        <v>48</v>
      </c>
      <c r="C138">
        <v>7</v>
      </c>
      <c r="D138">
        <v>1</v>
      </c>
      <c r="E138">
        <v>7</v>
      </c>
      <c r="F138">
        <v>314.44364339999998</v>
      </c>
      <c r="G138">
        <v>833.27565500000003</v>
      </c>
      <c r="H138">
        <v>130.84000001874</v>
      </c>
      <c r="I138">
        <v>0.13084000001873999</v>
      </c>
      <c r="J138">
        <v>1.3084000001873999E-4</v>
      </c>
      <c r="K138">
        <v>0.28845248084131497</v>
      </c>
      <c r="L138" s="3">
        <v>1.23E-2</v>
      </c>
      <c r="M138" s="3">
        <v>3.2</v>
      </c>
      <c r="N138">
        <v>18.1295101576066</v>
      </c>
      <c r="O138" s="2">
        <v>38.550351124251002</v>
      </c>
      <c r="P138" s="2">
        <v>1462.83651709122</v>
      </c>
      <c r="Q138" s="2">
        <v>3515.5888418438399</v>
      </c>
      <c r="R138" s="2">
        <v>9316.3104308861693</v>
      </c>
      <c r="S138" s="2">
        <v>39.200000000000003</v>
      </c>
      <c r="T138" s="2">
        <v>0.58571428571428596</v>
      </c>
      <c r="U138" s="2">
        <v>0</v>
      </c>
    </row>
    <row r="139" spans="1:21" x14ac:dyDescent="0.25">
      <c r="A139" s="2" t="s">
        <v>47</v>
      </c>
      <c r="B139" t="s">
        <v>48</v>
      </c>
      <c r="C139">
        <v>8</v>
      </c>
      <c r="D139">
        <v>1</v>
      </c>
      <c r="E139">
        <v>8</v>
      </c>
      <c r="F139">
        <v>345.5659698</v>
      </c>
      <c r="G139">
        <v>915.74981979999995</v>
      </c>
      <c r="H139">
        <v>143.79000003377999</v>
      </c>
      <c r="I139">
        <v>0.14379000003378001</v>
      </c>
      <c r="J139">
        <v>1.4379000003378E-4</v>
      </c>
      <c r="K139">
        <v>0.31700230987447198</v>
      </c>
      <c r="L139" s="3">
        <v>1.23E-2</v>
      </c>
      <c r="M139" s="3">
        <v>3.2</v>
      </c>
      <c r="N139">
        <v>18.672173165729799</v>
      </c>
      <c r="O139" s="2">
        <v>38.838335227464299</v>
      </c>
      <c r="P139" s="2">
        <v>1498.0939513752</v>
      </c>
      <c r="Q139" s="2">
        <v>3600.3219211132</v>
      </c>
      <c r="R139" s="2">
        <v>9540.8530909499696</v>
      </c>
      <c r="S139" s="2">
        <v>39.200000000000003</v>
      </c>
      <c r="T139" s="2">
        <v>0.58571428571428596</v>
      </c>
      <c r="U139" s="2">
        <v>0</v>
      </c>
    </row>
    <row r="140" spans="1:21" x14ac:dyDescent="0.25">
      <c r="A140" s="2" t="s">
        <v>47</v>
      </c>
      <c r="B140" t="s">
        <v>48</v>
      </c>
      <c r="C140">
        <v>9</v>
      </c>
      <c r="D140">
        <v>1</v>
      </c>
      <c r="E140">
        <v>9</v>
      </c>
      <c r="F140">
        <v>372.74693589999998</v>
      </c>
      <c r="G140">
        <v>987.77937999999995</v>
      </c>
      <c r="H140">
        <v>155.10000002799001</v>
      </c>
      <c r="I140">
        <v>0.15510000002798999</v>
      </c>
      <c r="J140">
        <v>1.5510000002799001E-4</v>
      </c>
      <c r="K140">
        <v>0.34193656206170697</v>
      </c>
      <c r="L140" s="3">
        <v>1.23E-2</v>
      </c>
      <c r="M140" s="3">
        <v>3.2</v>
      </c>
      <c r="N140">
        <v>19.119249450601199</v>
      </c>
      <c r="O140" s="2">
        <v>38.998658302082802</v>
      </c>
      <c r="P140" s="2">
        <v>1517.97298458809</v>
      </c>
      <c r="Q140" s="2">
        <v>3648.0965743525499</v>
      </c>
      <c r="R140" s="2">
        <v>9667.4559220342508</v>
      </c>
      <c r="S140" s="2">
        <v>39.200000000000003</v>
      </c>
      <c r="T140" s="2">
        <v>0.58571428571428596</v>
      </c>
      <c r="U140" s="2">
        <v>0</v>
      </c>
    </row>
    <row r="141" spans="1:21" x14ac:dyDescent="0.25">
      <c r="A141" s="2" t="s">
        <v>47</v>
      </c>
      <c r="B141" t="s">
        <v>48</v>
      </c>
      <c r="C141">
        <v>10</v>
      </c>
      <c r="D141">
        <v>1</v>
      </c>
      <c r="E141">
        <v>10</v>
      </c>
      <c r="F141">
        <v>408.79596249999997</v>
      </c>
      <c r="G141">
        <v>1083.309301</v>
      </c>
      <c r="H141">
        <v>170.09999999625001</v>
      </c>
      <c r="I141">
        <v>0.17009999999625</v>
      </c>
      <c r="J141">
        <v>1.7009999999625E-4</v>
      </c>
      <c r="K141">
        <v>0.37500586199173302</v>
      </c>
      <c r="L141" s="3">
        <v>1.23E-2</v>
      </c>
      <c r="M141" s="3">
        <v>3.2</v>
      </c>
      <c r="N141">
        <v>19.6788515996443</v>
      </c>
      <c r="O141" s="2">
        <v>39.087911451712699</v>
      </c>
      <c r="P141" s="2">
        <v>1529.1180047687301</v>
      </c>
      <c r="Q141" s="2">
        <v>3674.8810496725</v>
      </c>
      <c r="R141" s="2">
        <v>9738.4347816321097</v>
      </c>
      <c r="S141" s="2">
        <v>39.200000000000003</v>
      </c>
      <c r="T141" s="2">
        <v>0.58571428571428596</v>
      </c>
      <c r="U141" s="2">
        <v>0</v>
      </c>
    </row>
    <row r="142" spans="1:21" x14ac:dyDescent="0.25">
      <c r="A142" s="2" t="s">
        <v>49</v>
      </c>
      <c r="B142" t="s">
        <v>50</v>
      </c>
      <c r="C142">
        <v>1</v>
      </c>
      <c r="D142">
        <v>1</v>
      </c>
      <c r="E142">
        <v>1</v>
      </c>
      <c r="F142">
        <v>127.5414564</v>
      </c>
      <c r="G142">
        <v>337.98485950000003</v>
      </c>
      <c r="H142">
        <v>53.070000008039997</v>
      </c>
      <c r="I142">
        <v>5.3070000008039998E-2</v>
      </c>
      <c r="J142">
        <v>5.3070000008040001E-5</v>
      </c>
      <c r="K142">
        <v>0.116999183417725</v>
      </c>
      <c r="L142" s="3">
        <v>1.2E-2</v>
      </c>
      <c r="M142" s="3">
        <v>3.1</v>
      </c>
      <c r="N142">
        <v>14.9976040757329</v>
      </c>
      <c r="O142" s="2">
        <v>10.9405693213658</v>
      </c>
      <c r="P142" s="2">
        <v>19.9620438384346</v>
      </c>
      <c r="Q142" s="2">
        <v>47.974150056319502</v>
      </c>
      <c r="R142" s="2">
        <v>127.131497649247</v>
      </c>
      <c r="S142" s="2">
        <v>54.3</v>
      </c>
      <c r="T142" s="2">
        <v>0.22500000000000001</v>
      </c>
      <c r="U142" s="2">
        <v>0</v>
      </c>
    </row>
    <row r="143" spans="1:21" x14ac:dyDescent="0.25">
      <c r="A143" s="2" t="s">
        <v>49</v>
      </c>
      <c r="B143" t="s">
        <v>50</v>
      </c>
      <c r="C143">
        <v>2</v>
      </c>
      <c r="D143">
        <v>1</v>
      </c>
      <c r="E143">
        <v>2</v>
      </c>
      <c r="F143">
        <v>347.4885845</v>
      </c>
      <c r="G143">
        <v>920.84474890000001</v>
      </c>
      <c r="H143">
        <v>144.59000001045001</v>
      </c>
      <c r="I143">
        <v>0.14459000001045</v>
      </c>
      <c r="J143">
        <v>1.4459000001045E-4</v>
      </c>
      <c r="K143">
        <v>0.31876600582303799</v>
      </c>
      <c r="L143" s="3">
        <v>1.2E-2</v>
      </c>
      <c r="M143" s="3">
        <v>3.1</v>
      </c>
      <c r="N143">
        <v>20.722289929778999</v>
      </c>
      <c r="O143" s="2">
        <v>19.676791366937699</v>
      </c>
      <c r="P143" s="2">
        <v>123.151446299805</v>
      </c>
      <c r="Q143" s="2">
        <v>295.96598485893901</v>
      </c>
      <c r="R143" s="2">
        <v>784.30985987618999</v>
      </c>
      <c r="S143" s="2">
        <v>54.3</v>
      </c>
      <c r="T143" s="2">
        <v>0.22500000000000001</v>
      </c>
      <c r="U143" s="2">
        <v>0</v>
      </c>
    </row>
    <row r="144" spans="1:21" x14ac:dyDescent="0.25">
      <c r="A144" s="2" t="s">
        <v>49</v>
      </c>
      <c r="B144" t="s">
        <v>50</v>
      </c>
      <c r="C144">
        <v>3</v>
      </c>
      <c r="D144">
        <v>1</v>
      </c>
      <c r="E144">
        <v>3</v>
      </c>
      <c r="F144">
        <v>732.42009129999997</v>
      </c>
      <c r="G144">
        <v>1940.9132420000001</v>
      </c>
      <c r="H144">
        <v>304.75999998993001</v>
      </c>
      <c r="I144">
        <v>0.30475999998992997</v>
      </c>
      <c r="J144">
        <v>3.0475999998992999E-4</v>
      </c>
      <c r="K144">
        <v>0.67187999117779895</v>
      </c>
      <c r="L144" s="3">
        <v>1.2E-2</v>
      </c>
      <c r="M144" s="3">
        <v>3.1</v>
      </c>
      <c r="N144">
        <v>26.3569841710204</v>
      </c>
      <c r="O144" s="2">
        <v>26.6528063610101</v>
      </c>
      <c r="P144" s="2">
        <v>315.48910976816597</v>
      </c>
      <c r="Q144" s="2">
        <v>758.20502227389102</v>
      </c>
      <c r="R144" s="2">
        <v>2009.24330902581</v>
      </c>
      <c r="S144" s="2">
        <v>54.3</v>
      </c>
      <c r="T144" s="2">
        <v>0.22500000000000001</v>
      </c>
      <c r="U144" s="2">
        <v>0</v>
      </c>
    </row>
    <row r="145" spans="1:21" x14ac:dyDescent="0.25">
      <c r="A145" s="2" t="s">
        <v>49</v>
      </c>
      <c r="B145" t="s">
        <v>50</v>
      </c>
      <c r="C145">
        <v>4</v>
      </c>
      <c r="D145">
        <v>1</v>
      </c>
      <c r="E145">
        <v>4</v>
      </c>
      <c r="F145">
        <v>1115.2006730000001</v>
      </c>
      <c r="G145">
        <v>2955.281782</v>
      </c>
      <c r="H145">
        <v>464.03500003530002</v>
      </c>
      <c r="I145">
        <v>0.46403500003530002</v>
      </c>
      <c r="J145">
        <v>4.6403500003530001E-4</v>
      </c>
      <c r="K145">
        <v>1.0230208417778199</v>
      </c>
      <c r="L145" s="3">
        <v>1.2E-2</v>
      </c>
      <c r="M145" s="3">
        <v>3.1</v>
      </c>
      <c r="N145">
        <v>30.185377428940999</v>
      </c>
      <c r="O145" s="2">
        <v>32.223267476085503</v>
      </c>
      <c r="P145" s="2">
        <v>568.20746158456905</v>
      </c>
      <c r="Q145" s="2">
        <v>1365.55506268822</v>
      </c>
      <c r="R145" s="2">
        <v>3618.7209161237902</v>
      </c>
      <c r="S145" s="2">
        <v>54.3</v>
      </c>
      <c r="T145" s="2">
        <v>0.22500000000000001</v>
      </c>
      <c r="U145" s="2">
        <v>0</v>
      </c>
    </row>
    <row r="146" spans="1:21" x14ac:dyDescent="0.25">
      <c r="A146" s="2" t="s">
        <v>49</v>
      </c>
      <c r="B146" t="s">
        <v>50</v>
      </c>
      <c r="C146">
        <v>5</v>
      </c>
      <c r="D146">
        <v>1</v>
      </c>
      <c r="E146">
        <v>5</v>
      </c>
      <c r="F146">
        <v>1550.4325879999999</v>
      </c>
      <c r="G146">
        <v>4108.6463590000003</v>
      </c>
      <c r="H146">
        <v>645.13499986679994</v>
      </c>
      <c r="I146">
        <v>0.64513499986680001</v>
      </c>
      <c r="J146">
        <v>6.4513499986680004E-4</v>
      </c>
      <c r="K146">
        <v>1.4222775234063401</v>
      </c>
      <c r="L146" s="3">
        <v>1.2E-2</v>
      </c>
      <c r="M146" s="3">
        <v>3.1</v>
      </c>
      <c r="N146">
        <v>33.570503685170699</v>
      </c>
      <c r="O146" s="2">
        <v>36.671371022441598</v>
      </c>
      <c r="P146" s="2">
        <v>848.38972898018005</v>
      </c>
      <c r="Q146" s="2">
        <v>2038.90826479255</v>
      </c>
      <c r="R146" s="2">
        <v>5403.1069017002601</v>
      </c>
      <c r="S146" s="2">
        <v>54.3</v>
      </c>
      <c r="T146" s="2">
        <v>0.22500000000000001</v>
      </c>
      <c r="U146" s="2">
        <v>0</v>
      </c>
    </row>
    <row r="147" spans="1:21" x14ac:dyDescent="0.25">
      <c r="A147" s="2" t="s">
        <v>49</v>
      </c>
      <c r="B147" t="s">
        <v>50</v>
      </c>
      <c r="C147">
        <v>6</v>
      </c>
      <c r="D147">
        <v>1</v>
      </c>
      <c r="E147">
        <v>6</v>
      </c>
      <c r="F147">
        <v>1976.4359529999999</v>
      </c>
      <c r="G147">
        <v>5237.5552749999997</v>
      </c>
      <c r="H147">
        <v>822.3950000433</v>
      </c>
      <c r="I147">
        <v>0.82239500004330002</v>
      </c>
      <c r="J147">
        <v>8.2239500004329996E-4</v>
      </c>
      <c r="K147">
        <v>1.81306846499546</v>
      </c>
      <c r="L147" s="3">
        <v>1.2E-2</v>
      </c>
      <c r="M147" s="3">
        <v>3.1</v>
      </c>
      <c r="N147">
        <v>36.305087581617997</v>
      </c>
      <c r="O147" s="2">
        <v>40.223253846928102</v>
      </c>
      <c r="P147" s="2">
        <v>1129.9534835971399</v>
      </c>
      <c r="Q147" s="2">
        <v>2715.58155154324</v>
      </c>
      <c r="R147" s="2">
        <v>7196.2911115895804</v>
      </c>
      <c r="S147" s="2">
        <v>54.3</v>
      </c>
      <c r="T147" s="2">
        <v>0.22500000000000001</v>
      </c>
      <c r="U147" s="2">
        <v>0</v>
      </c>
    </row>
    <row r="148" spans="1:21" x14ac:dyDescent="0.25">
      <c r="A148" s="2" t="s">
        <v>49</v>
      </c>
      <c r="B148" t="s">
        <v>50</v>
      </c>
      <c r="C148">
        <v>7</v>
      </c>
      <c r="D148">
        <v>1</v>
      </c>
      <c r="E148">
        <v>7</v>
      </c>
      <c r="F148">
        <v>2275.6669069999998</v>
      </c>
      <c r="G148">
        <v>6030.517304</v>
      </c>
      <c r="H148">
        <v>946.90500000270004</v>
      </c>
      <c r="I148">
        <v>0.94690500000269995</v>
      </c>
      <c r="J148">
        <v>9.4690500000270004E-4</v>
      </c>
      <c r="K148">
        <v>2.0875657011059499</v>
      </c>
      <c r="L148" s="3">
        <v>1.2E-2</v>
      </c>
      <c r="M148" s="3">
        <v>3.1</v>
      </c>
      <c r="N148">
        <v>37.9942428895584</v>
      </c>
      <c r="O148" s="2">
        <v>43.059489889413399</v>
      </c>
      <c r="P148" s="2">
        <v>1395.7086685865499</v>
      </c>
      <c r="Q148" s="2">
        <v>3354.2626017460898</v>
      </c>
      <c r="R148" s="2">
        <v>8888.7958946271392</v>
      </c>
      <c r="S148" s="2">
        <v>54.3</v>
      </c>
      <c r="T148" s="2">
        <v>0.22500000000000001</v>
      </c>
      <c r="U148" s="2">
        <v>0</v>
      </c>
    </row>
    <row r="149" spans="1:21" x14ac:dyDescent="0.25">
      <c r="A149" s="2" t="s">
        <v>49</v>
      </c>
      <c r="B149" t="s">
        <v>50</v>
      </c>
      <c r="C149">
        <v>8</v>
      </c>
      <c r="D149">
        <v>1</v>
      </c>
      <c r="E149">
        <v>8</v>
      </c>
      <c r="F149">
        <v>2451.3338140000001</v>
      </c>
      <c r="G149">
        <v>6496.0346079999999</v>
      </c>
      <c r="H149">
        <v>1020.0000000054</v>
      </c>
      <c r="I149">
        <v>1.0200000000053999</v>
      </c>
      <c r="J149">
        <v>1.0200000000054001E-3</v>
      </c>
      <c r="K149">
        <v>2.2487124000118999</v>
      </c>
      <c r="L149" s="3">
        <v>1.2E-2</v>
      </c>
      <c r="M149" s="3">
        <v>3.1</v>
      </c>
      <c r="N149">
        <v>38.916622113975301</v>
      </c>
      <c r="O149" s="2">
        <v>45.324270369567799</v>
      </c>
      <c r="P149" s="2">
        <v>1636.08850313776</v>
      </c>
      <c r="Q149" s="2">
        <v>3931.9598729578402</v>
      </c>
      <c r="R149" s="2">
        <v>10419.693663338299</v>
      </c>
      <c r="S149" s="2">
        <v>54.3</v>
      </c>
      <c r="T149" s="2">
        <v>0.22500000000000001</v>
      </c>
      <c r="U149" s="2">
        <v>0</v>
      </c>
    </row>
    <row r="150" spans="1:21" x14ac:dyDescent="0.25">
      <c r="A150" s="2" t="s">
        <v>49</v>
      </c>
      <c r="B150" t="s">
        <v>50</v>
      </c>
      <c r="C150">
        <v>9</v>
      </c>
      <c r="D150">
        <v>1</v>
      </c>
      <c r="E150">
        <v>9</v>
      </c>
      <c r="F150">
        <v>2643.5952900000002</v>
      </c>
      <c r="G150">
        <v>7005.5275179999999</v>
      </c>
      <c r="H150">
        <v>1100.000000169</v>
      </c>
      <c r="I150">
        <v>1.100000000169</v>
      </c>
      <c r="J150">
        <v>1.1000000001690001E-3</v>
      </c>
      <c r="K150">
        <v>2.4250820003725799</v>
      </c>
      <c r="L150" s="3">
        <v>1.2E-2</v>
      </c>
      <c r="M150" s="3">
        <v>3.1</v>
      </c>
      <c r="N150">
        <v>39.876163449959897</v>
      </c>
      <c r="O150" s="2">
        <v>47.132734314900802</v>
      </c>
      <c r="P150" s="2">
        <v>1847.06175226286</v>
      </c>
      <c r="Q150" s="2">
        <v>4438.9852253373101</v>
      </c>
      <c r="R150" s="2">
        <v>11763.310847143901</v>
      </c>
      <c r="S150" s="2">
        <v>54.3</v>
      </c>
      <c r="T150" s="2">
        <v>0.22500000000000001</v>
      </c>
      <c r="U150" s="2">
        <v>0</v>
      </c>
    </row>
    <row r="151" spans="1:21" x14ac:dyDescent="0.25">
      <c r="A151" s="2" t="s">
        <v>49</v>
      </c>
      <c r="B151" t="s">
        <v>50</v>
      </c>
      <c r="C151">
        <v>10</v>
      </c>
      <c r="D151">
        <v>1</v>
      </c>
      <c r="E151">
        <v>10</v>
      </c>
      <c r="F151">
        <v>3076.18361</v>
      </c>
      <c r="G151">
        <v>8151.8865660000001</v>
      </c>
      <c r="H151">
        <v>1280.0000001210001</v>
      </c>
      <c r="I151">
        <v>1.2800000001209999</v>
      </c>
      <c r="J151">
        <v>1.2800000001210001E-3</v>
      </c>
      <c r="K151">
        <v>2.8219136002667602</v>
      </c>
      <c r="L151" s="3">
        <v>1.2E-2</v>
      </c>
      <c r="M151" s="3">
        <v>3.1</v>
      </c>
      <c r="N151">
        <v>41.874029007707797</v>
      </c>
      <c r="O151" s="2">
        <v>48.576822106290798</v>
      </c>
      <c r="P151" s="2">
        <v>2028.2031629154401</v>
      </c>
      <c r="Q151" s="2">
        <v>4874.3166616569197</v>
      </c>
      <c r="R151" s="2">
        <v>12916.9391533908</v>
      </c>
      <c r="S151" s="2">
        <v>54.3</v>
      </c>
      <c r="T151" s="2">
        <v>0.22500000000000001</v>
      </c>
      <c r="U151" s="2">
        <v>0</v>
      </c>
    </row>
    <row r="152" spans="1:21" x14ac:dyDescent="0.25">
      <c r="A152" s="2" t="s">
        <v>51</v>
      </c>
      <c r="B152" t="s">
        <v>52</v>
      </c>
      <c r="C152">
        <v>1</v>
      </c>
      <c r="D152">
        <v>1</v>
      </c>
      <c r="E152">
        <v>1</v>
      </c>
      <c r="F152">
        <v>476.02739730000002</v>
      </c>
      <c r="G152">
        <v>1261.4726029999999</v>
      </c>
      <c r="H152">
        <v>198.07500001653</v>
      </c>
      <c r="I152">
        <v>0.19807500001653</v>
      </c>
      <c r="J152">
        <v>1.9807500001652999E-4</v>
      </c>
      <c r="K152">
        <v>0.43668010653644301</v>
      </c>
      <c r="L152" s="3">
        <v>1.24E-2</v>
      </c>
      <c r="M152" s="3">
        <v>3.2</v>
      </c>
      <c r="N152">
        <v>20.585669387454399</v>
      </c>
      <c r="O152" s="2">
        <v>4.83731052056749</v>
      </c>
      <c r="P152" s="2">
        <v>1.9237754539629399</v>
      </c>
      <c r="Q152" s="2">
        <v>4.6233488439388202</v>
      </c>
      <c r="R152" s="2">
        <v>12.2518744364379</v>
      </c>
      <c r="S152">
        <v>20.9</v>
      </c>
      <c r="T152">
        <v>0.19500000000000001</v>
      </c>
      <c r="U152">
        <v>-0.35</v>
      </c>
    </row>
    <row r="153" spans="1:21" x14ac:dyDescent="0.25">
      <c r="A153" s="2" t="s">
        <v>51</v>
      </c>
      <c r="B153" t="s">
        <v>52</v>
      </c>
      <c r="C153">
        <v>2</v>
      </c>
      <c r="D153">
        <v>1</v>
      </c>
      <c r="E153">
        <v>2</v>
      </c>
      <c r="F153">
        <v>1129.488104</v>
      </c>
      <c r="G153">
        <v>2993.143474</v>
      </c>
      <c r="H153">
        <v>469.98000007439998</v>
      </c>
      <c r="I153">
        <v>0.4699800000744</v>
      </c>
      <c r="J153">
        <v>4.6998000007440001E-4</v>
      </c>
      <c r="K153">
        <v>1.0361273077640201</v>
      </c>
      <c r="L153" s="3">
        <v>1.24E-2</v>
      </c>
      <c r="M153" s="3">
        <v>3.2</v>
      </c>
      <c r="N153">
        <v>26.9668692028389</v>
      </c>
      <c r="O153" s="2">
        <v>7.6830623947311398</v>
      </c>
      <c r="P153" s="2">
        <v>8.4553509376347797</v>
      </c>
      <c r="Q153" s="2">
        <v>20.3204781005402</v>
      </c>
      <c r="R153" s="2">
        <v>53.8492669664316</v>
      </c>
      <c r="S153">
        <v>20.9</v>
      </c>
      <c r="T153">
        <v>0.19500000000000001</v>
      </c>
      <c r="U153">
        <v>-0.35</v>
      </c>
    </row>
    <row r="154" spans="1:21" x14ac:dyDescent="0.25">
      <c r="A154" s="2" t="s">
        <v>51</v>
      </c>
      <c r="B154" t="s">
        <v>52</v>
      </c>
      <c r="C154">
        <v>3</v>
      </c>
      <c r="D154">
        <v>1</v>
      </c>
      <c r="E154">
        <v>3</v>
      </c>
      <c r="F154">
        <v>1548.9065129999999</v>
      </c>
      <c r="G154">
        <v>4104.6022599999997</v>
      </c>
      <c r="H154">
        <v>644.50000005929996</v>
      </c>
      <c r="I154">
        <v>0.64450000005929997</v>
      </c>
      <c r="J154">
        <v>6.445000000593E-4</v>
      </c>
      <c r="K154">
        <v>1.42087759013073</v>
      </c>
      <c r="L154" s="3">
        <v>1.24E-2</v>
      </c>
      <c r="M154" s="3">
        <v>3.2</v>
      </c>
      <c r="N154">
        <v>29.763766337987398</v>
      </c>
      <c r="O154" s="2">
        <v>10.0246456650209</v>
      </c>
      <c r="P154" s="2">
        <v>19.8080892334971</v>
      </c>
      <c r="Q154" s="2">
        <v>47.604155812297797</v>
      </c>
      <c r="R154" s="2">
        <v>126.151012902589</v>
      </c>
      <c r="S154">
        <v>20.9</v>
      </c>
      <c r="T154">
        <v>0.19500000000000001</v>
      </c>
      <c r="U154">
        <v>-0.35</v>
      </c>
    </row>
    <row r="155" spans="1:21" x14ac:dyDescent="0.25">
      <c r="A155" s="2" t="s">
        <v>51</v>
      </c>
      <c r="B155" t="s">
        <v>52</v>
      </c>
      <c r="C155">
        <v>4</v>
      </c>
      <c r="D155">
        <v>1</v>
      </c>
      <c r="E155">
        <v>4</v>
      </c>
      <c r="F155">
        <v>2095.4578219999999</v>
      </c>
      <c r="G155">
        <v>5552.9632300000003</v>
      </c>
      <c r="H155">
        <v>871.91999973420002</v>
      </c>
      <c r="I155">
        <v>0.87191999973419998</v>
      </c>
      <c r="J155">
        <v>8.7191999973420002E-4</v>
      </c>
      <c r="K155">
        <v>1.9222522698140101</v>
      </c>
      <c r="L155" s="3">
        <v>1.24E-2</v>
      </c>
      <c r="M155" s="3">
        <v>3.2</v>
      </c>
      <c r="N155">
        <v>32.711817394436999</v>
      </c>
      <c r="O155" s="2">
        <v>11.951381534539401</v>
      </c>
      <c r="P155" s="2">
        <v>34.7663934151836</v>
      </c>
      <c r="Q155" s="2">
        <v>83.552976244132694</v>
      </c>
      <c r="R155" s="2">
        <v>221.41538704695199</v>
      </c>
      <c r="S155">
        <v>20.9</v>
      </c>
      <c r="T155">
        <v>0.19500000000000001</v>
      </c>
      <c r="U155">
        <v>-0.35</v>
      </c>
    </row>
    <row r="156" spans="1:21" x14ac:dyDescent="0.25">
      <c r="A156" s="2" t="s">
        <v>51</v>
      </c>
      <c r="B156" t="s">
        <v>52</v>
      </c>
      <c r="C156">
        <v>5</v>
      </c>
      <c r="D156">
        <v>1</v>
      </c>
      <c r="E156">
        <v>5</v>
      </c>
      <c r="F156">
        <v>2636.890171</v>
      </c>
      <c r="G156">
        <v>6987.7589529999996</v>
      </c>
      <c r="H156">
        <v>1097.2100001531001</v>
      </c>
      <c r="I156">
        <v>1.0972100001531</v>
      </c>
      <c r="J156">
        <v>1.0972100001530999E-3</v>
      </c>
      <c r="K156">
        <v>2.41893111053753</v>
      </c>
      <c r="L156" s="3">
        <v>1.24E-2</v>
      </c>
      <c r="M156" s="3">
        <v>3.2</v>
      </c>
      <c r="N156">
        <v>35.147648337383004</v>
      </c>
      <c r="O156" s="2">
        <v>13.536766584899</v>
      </c>
      <c r="P156" s="2">
        <v>51.792812427196701</v>
      </c>
      <c r="Q156" s="2">
        <v>124.47203178850501</v>
      </c>
      <c r="R156" s="2">
        <v>329.85088423953698</v>
      </c>
      <c r="S156">
        <v>20.9</v>
      </c>
      <c r="T156">
        <v>0.19500000000000001</v>
      </c>
      <c r="U156">
        <v>-0.35</v>
      </c>
    </row>
    <row r="157" spans="1:21" x14ac:dyDescent="0.25">
      <c r="A157" s="2" t="s">
        <v>51</v>
      </c>
      <c r="B157" t="s">
        <v>52</v>
      </c>
      <c r="C157">
        <v>6</v>
      </c>
      <c r="D157">
        <v>1</v>
      </c>
      <c r="E157">
        <v>6</v>
      </c>
      <c r="F157">
        <v>2919.850997</v>
      </c>
      <c r="G157">
        <v>7737.6051429999998</v>
      </c>
      <c r="H157">
        <v>1214.9499998517001</v>
      </c>
      <c r="I157">
        <v>1.2149499998516999</v>
      </c>
      <c r="J157">
        <v>1.2149499998517E-3</v>
      </c>
      <c r="K157">
        <v>2.67850306867305</v>
      </c>
      <c r="L157" s="3">
        <v>1.24E-2</v>
      </c>
      <c r="M157" s="3">
        <v>3.2</v>
      </c>
      <c r="N157">
        <v>36.285258805695399</v>
      </c>
      <c r="O157" s="2">
        <v>14.841276350698701</v>
      </c>
      <c r="P157" s="2">
        <v>69.523190031244795</v>
      </c>
      <c r="Q157" s="2">
        <v>167.08288880376099</v>
      </c>
      <c r="R157" s="2">
        <v>442.76965532996599</v>
      </c>
      <c r="S157">
        <v>20.9</v>
      </c>
      <c r="T157">
        <v>0.19500000000000001</v>
      </c>
      <c r="U157">
        <v>-0.35</v>
      </c>
    </row>
    <row r="158" spans="1:21" x14ac:dyDescent="0.25">
      <c r="A158" s="2" t="s">
        <v>51</v>
      </c>
      <c r="B158" t="s">
        <v>52</v>
      </c>
      <c r="C158">
        <v>7</v>
      </c>
      <c r="D158">
        <v>1</v>
      </c>
      <c r="E158">
        <v>7</v>
      </c>
      <c r="F158">
        <v>3445.5659700000001</v>
      </c>
      <c r="G158">
        <v>9130.7498190000006</v>
      </c>
      <c r="H158">
        <v>1433.7000001169999</v>
      </c>
      <c r="I158">
        <v>1.4337000001169999</v>
      </c>
      <c r="J158">
        <v>1.4337000001169999E-3</v>
      </c>
      <c r="K158">
        <v>3.1607636942579398</v>
      </c>
      <c r="L158" s="3">
        <v>1.24E-2</v>
      </c>
      <c r="M158" s="3">
        <v>3.2</v>
      </c>
      <c r="N158">
        <v>38.211926836032902</v>
      </c>
      <c r="O158" s="2">
        <v>15.9146721977712</v>
      </c>
      <c r="P158" s="2">
        <v>86.930928383652699</v>
      </c>
      <c r="Q158" s="2">
        <v>208.918357086404</v>
      </c>
      <c r="R158" s="2">
        <v>553.63364627897101</v>
      </c>
      <c r="S158">
        <v>20.9</v>
      </c>
      <c r="T158">
        <v>0.19500000000000001</v>
      </c>
      <c r="U158">
        <v>-0.35</v>
      </c>
    </row>
    <row r="159" spans="1:21" x14ac:dyDescent="0.25">
      <c r="A159" s="2" t="s">
        <v>51</v>
      </c>
      <c r="B159" t="s">
        <v>52</v>
      </c>
      <c r="C159">
        <v>8</v>
      </c>
      <c r="D159">
        <v>1</v>
      </c>
      <c r="E159">
        <v>8</v>
      </c>
      <c r="F159">
        <v>3970.9204519999998</v>
      </c>
      <c r="G159">
        <v>10522.939200000001</v>
      </c>
      <c r="H159">
        <v>1652.3000000771999</v>
      </c>
      <c r="I159">
        <v>1.6523000000771999</v>
      </c>
      <c r="J159">
        <v>1.6523000000772E-3</v>
      </c>
      <c r="K159">
        <v>3.6426936261702001</v>
      </c>
      <c r="L159" s="3">
        <v>1.24E-2</v>
      </c>
      <c r="M159" s="3">
        <v>3.2</v>
      </c>
      <c r="N159">
        <v>39.944639456634</v>
      </c>
      <c r="O159" s="2">
        <v>16.7978995025559</v>
      </c>
      <c r="P159" s="2">
        <v>103.33266183026301</v>
      </c>
      <c r="Q159" s="2">
        <v>248.33612552334299</v>
      </c>
      <c r="R159" s="2">
        <v>658.09073263685798</v>
      </c>
      <c r="S159">
        <v>20.9</v>
      </c>
      <c r="T159">
        <v>0.19500000000000001</v>
      </c>
      <c r="U159">
        <v>-0.35</v>
      </c>
    </row>
    <row r="160" spans="1:21" x14ac:dyDescent="0.25">
      <c r="A160" s="2" t="s">
        <v>51</v>
      </c>
      <c r="B160" t="s">
        <v>52</v>
      </c>
      <c r="C160">
        <v>9</v>
      </c>
      <c r="D160">
        <v>1</v>
      </c>
      <c r="E160">
        <v>9</v>
      </c>
      <c r="F160">
        <v>4109.5890410000002</v>
      </c>
      <c r="G160">
        <v>10890.410959999999</v>
      </c>
      <c r="H160">
        <v>1709.9999999601</v>
      </c>
      <c r="I160">
        <v>1.7099999999601001</v>
      </c>
      <c r="J160">
        <v>1.7099999999601E-3</v>
      </c>
      <c r="K160">
        <v>3.7699001999120401</v>
      </c>
      <c r="L160" s="3">
        <v>1.24E-2</v>
      </c>
      <c r="M160" s="3">
        <v>3.2</v>
      </c>
      <c r="N160">
        <v>40.375415800387898</v>
      </c>
      <c r="O160" s="2">
        <v>17.524649539874201</v>
      </c>
      <c r="P160" s="2">
        <v>118.331284386763</v>
      </c>
      <c r="Q160" s="2">
        <v>284.38184183312501</v>
      </c>
      <c r="R160" s="2">
        <v>753.61188085778201</v>
      </c>
      <c r="S160">
        <v>20.9</v>
      </c>
      <c r="T160">
        <v>0.19500000000000001</v>
      </c>
      <c r="U160">
        <v>-0.35</v>
      </c>
    </row>
    <row r="161" spans="1:21" x14ac:dyDescent="0.25">
      <c r="A161" s="2" t="s">
        <v>51</v>
      </c>
      <c r="B161" t="s">
        <v>52</v>
      </c>
      <c r="C161">
        <v>10</v>
      </c>
      <c r="D161">
        <v>1</v>
      </c>
      <c r="E161">
        <v>10</v>
      </c>
      <c r="F161">
        <v>4373.9485699999996</v>
      </c>
      <c r="G161">
        <v>11590.96371</v>
      </c>
      <c r="H161">
        <v>1819.999999977</v>
      </c>
      <c r="I161">
        <v>1.819999999977</v>
      </c>
      <c r="J161">
        <v>1.819999999977E-3</v>
      </c>
      <c r="K161">
        <v>4.0124083999492903</v>
      </c>
      <c r="L161" s="3">
        <v>1.24E-2</v>
      </c>
      <c r="M161" s="3">
        <v>3.2</v>
      </c>
      <c r="N161">
        <v>41.169731262769901</v>
      </c>
      <c r="O161" s="2">
        <v>18.1226446583232</v>
      </c>
      <c r="P161" s="2">
        <v>131.74396360654799</v>
      </c>
      <c r="Q161" s="2">
        <v>316.61611056608501</v>
      </c>
      <c r="R161" s="2">
        <v>839.03269300012403</v>
      </c>
      <c r="S161">
        <v>20.9</v>
      </c>
      <c r="T161">
        <v>0.19500000000000001</v>
      </c>
      <c r="U161">
        <v>-0.35</v>
      </c>
    </row>
    <row r="162" spans="1:21" x14ac:dyDescent="0.25">
      <c r="A162" t="s">
        <v>53</v>
      </c>
      <c r="B162" t="s">
        <v>54</v>
      </c>
      <c r="C162">
        <v>1</v>
      </c>
      <c r="D162">
        <v>2</v>
      </c>
      <c r="E162"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v>11.817416766733</v>
      </c>
      <c r="P162">
        <v>17.503414393556</v>
      </c>
      <c r="Q162">
        <v>42.065403493285203</v>
      </c>
      <c r="R162">
        <v>111.473319257206</v>
      </c>
      <c r="S162">
        <v>41</v>
      </c>
      <c r="T162">
        <v>0.17</v>
      </c>
      <c r="U162">
        <v>0</v>
      </c>
    </row>
    <row r="163" spans="1:21" x14ac:dyDescent="0.25">
      <c r="A163" t="s">
        <v>53</v>
      </c>
      <c r="B163" t="s">
        <v>54</v>
      </c>
      <c r="C163">
        <v>2</v>
      </c>
      <c r="D163">
        <v>2</v>
      </c>
      <c r="E163"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v>20.228703313010801</v>
      </c>
      <c r="P163">
        <v>85.464740484643798</v>
      </c>
      <c r="Q163">
        <v>205.39471397414999</v>
      </c>
      <c r="R163">
        <v>544.29599203149701</v>
      </c>
      <c r="S163">
        <v>41</v>
      </c>
      <c r="T163">
        <v>0.17</v>
      </c>
      <c r="U163">
        <v>0</v>
      </c>
    </row>
    <row r="164" spans="1:21" x14ac:dyDescent="0.25">
      <c r="A164" t="s">
        <v>53</v>
      </c>
      <c r="B164" t="s">
        <v>54</v>
      </c>
      <c r="C164">
        <v>3</v>
      </c>
      <c r="D164">
        <v>2</v>
      </c>
      <c r="E164"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v>26.2156074529038</v>
      </c>
      <c r="P164">
        <v>183.62551462282201</v>
      </c>
      <c r="Q164">
        <v>441.30140500558002</v>
      </c>
      <c r="R164">
        <v>1169.44872326479</v>
      </c>
      <c r="S164">
        <v>41</v>
      </c>
      <c r="T164">
        <v>0.17</v>
      </c>
      <c r="U164">
        <v>0</v>
      </c>
    </row>
    <row r="165" spans="1:21" x14ac:dyDescent="0.25">
      <c r="A165" t="s">
        <v>53</v>
      </c>
      <c r="B165" t="s">
        <v>54</v>
      </c>
      <c r="C165">
        <v>4</v>
      </c>
      <c r="D165">
        <v>2</v>
      </c>
      <c r="E165"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v>30.476908144904201</v>
      </c>
      <c r="P165">
        <v>286.34883404136099</v>
      </c>
      <c r="Q165">
        <v>688.17311713857498</v>
      </c>
      <c r="R165">
        <v>1823.65876041722</v>
      </c>
      <c r="S165">
        <v>41</v>
      </c>
      <c r="T165">
        <v>0.17</v>
      </c>
      <c r="U165">
        <v>0</v>
      </c>
    </row>
    <row r="166" spans="1:21" x14ac:dyDescent="0.25">
      <c r="A166" t="s">
        <v>53</v>
      </c>
      <c r="B166" t="s">
        <v>54</v>
      </c>
      <c r="C166">
        <v>5</v>
      </c>
      <c r="D166">
        <v>2</v>
      </c>
      <c r="E166"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v>33.509975513837901</v>
      </c>
      <c r="P166">
        <v>378.83044312640698</v>
      </c>
      <c r="Q166">
        <v>910.43125000338205</v>
      </c>
      <c r="R166">
        <v>2412.6428125089601</v>
      </c>
      <c r="S166">
        <v>41</v>
      </c>
      <c r="T166">
        <v>0.17</v>
      </c>
      <c r="U166">
        <v>0</v>
      </c>
    </row>
    <row r="167" spans="1:21" x14ac:dyDescent="0.25">
      <c r="A167" t="s">
        <v>53</v>
      </c>
      <c r="B167" t="s">
        <v>54</v>
      </c>
      <c r="C167">
        <v>6</v>
      </c>
      <c r="D167">
        <v>2</v>
      </c>
      <c r="E167"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v>35.668822853984501</v>
      </c>
      <c r="P167">
        <v>455.44206302122302</v>
      </c>
      <c r="Q167">
        <v>1094.54953862346</v>
      </c>
      <c r="R167">
        <v>2900.5562773521801</v>
      </c>
      <c r="S167">
        <v>41</v>
      </c>
      <c r="T167">
        <v>0.17</v>
      </c>
      <c r="U167">
        <v>0</v>
      </c>
    </row>
    <row r="168" spans="1:21" x14ac:dyDescent="0.25">
      <c r="A168" t="s">
        <v>53</v>
      </c>
      <c r="B168" t="s">
        <v>54</v>
      </c>
      <c r="C168">
        <v>7</v>
      </c>
      <c r="D168">
        <v>2</v>
      </c>
      <c r="E168"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v>37.205426322075901</v>
      </c>
      <c r="P168">
        <v>515.78628244311005</v>
      </c>
      <c r="Q168">
        <v>1239.5728970033899</v>
      </c>
      <c r="R168">
        <v>3284.8681770589801</v>
      </c>
      <c r="S168">
        <v>41</v>
      </c>
      <c r="T168">
        <v>0.17</v>
      </c>
      <c r="U168">
        <v>0</v>
      </c>
    </row>
    <row r="169" spans="1:21" x14ac:dyDescent="0.25">
      <c r="A169" t="s">
        <v>53</v>
      </c>
      <c r="B169" t="s">
        <v>54</v>
      </c>
      <c r="C169">
        <v>8</v>
      </c>
      <c r="D169">
        <v>2</v>
      </c>
      <c r="E169"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v>38.299135068517501</v>
      </c>
      <c r="P169">
        <v>561.80900521213903</v>
      </c>
      <c r="Q169">
        <v>1350.1778543911</v>
      </c>
      <c r="R169">
        <v>3577.97131413643</v>
      </c>
      <c r="S169">
        <v>41</v>
      </c>
      <c r="T169">
        <v>0.17</v>
      </c>
      <c r="U169">
        <v>0</v>
      </c>
    </row>
    <row r="170" spans="1:21" x14ac:dyDescent="0.25">
      <c r="A170" t="s">
        <v>53</v>
      </c>
      <c r="B170" t="s">
        <v>54</v>
      </c>
      <c r="C170">
        <v>9</v>
      </c>
      <c r="D170">
        <v>2</v>
      </c>
      <c r="E170"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v>39.077604495980502</v>
      </c>
      <c r="P170">
        <v>596.16798297115497</v>
      </c>
      <c r="Q170">
        <v>1432.7517014447401</v>
      </c>
      <c r="R170">
        <v>3796.79200882856</v>
      </c>
      <c r="S170">
        <v>41</v>
      </c>
      <c r="T170">
        <v>0.17</v>
      </c>
      <c r="U170">
        <v>0</v>
      </c>
    </row>
    <row r="171" spans="1:21" x14ac:dyDescent="0.25">
      <c r="A171" t="s">
        <v>53</v>
      </c>
      <c r="B171" t="s">
        <v>54</v>
      </c>
      <c r="C171">
        <v>10</v>
      </c>
      <c r="D171">
        <v>2</v>
      </c>
      <c r="E171"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v>39.631695931626602</v>
      </c>
      <c r="P171">
        <v>621.45127699565796</v>
      </c>
      <c r="Q171">
        <v>1493.5142441616399</v>
      </c>
      <c r="R171">
        <v>3957.8127470283398</v>
      </c>
      <c r="S171">
        <v>41</v>
      </c>
      <c r="T171">
        <v>0.17</v>
      </c>
      <c r="U171">
        <v>0</v>
      </c>
    </row>
    <row r="172" spans="1:21" x14ac:dyDescent="0.25">
      <c r="A172" t="s">
        <v>55</v>
      </c>
      <c r="B172" t="s">
        <v>56</v>
      </c>
      <c r="C172">
        <v>1</v>
      </c>
      <c r="D172">
        <v>1</v>
      </c>
      <c r="E172"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v>12.715233006614501</v>
      </c>
      <c r="P172">
        <v>26.724914311425199</v>
      </c>
      <c r="Q172">
        <v>64.2271432622573</v>
      </c>
      <c r="R172">
        <v>170.20192964498199</v>
      </c>
      <c r="S172">
        <v>152</v>
      </c>
      <c r="T172">
        <v>9.6000000000000002E-2</v>
      </c>
      <c r="U172">
        <v>0.09</v>
      </c>
    </row>
    <row r="173" spans="1:21" x14ac:dyDescent="0.25">
      <c r="A173" t="s">
        <v>55</v>
      </c>
      <c r="B173" t="s">
        <v>56</v>
      </c>
      <c r="C173">
        <v>2</v>
      </c>
      <c r="D173">
        <v>1</v>
      </c>
      <c r="E173"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v>25.464801199995101</v>
      </c>
      <c r="P173">
        <v>214.66647380591499</v>
      </c>
      <c r="Q173">
        <v>515.90116271548902</v>
      </c>
      <c r="R173">
        <v>1367.1380811960501</v>
      </c>
      <c r="S173">
        <v>152</v>
      </c>
      <c r="T173">
        <v>9.6000000000000002E-2</v>
      </c>
      <c r="U173">
        <v>0.09</v>
      </c>
    </row>
    <row r="174" spans="1:21" x14ac:dyDescent="0.25">
      <c r="A174" t="s">
        <v>55</v>
      </c>
      <c r="B174" t="s">
        <v>56</v>
      </c>
      <c r="C174">
        <v>3</v>
      </c>
      <c r="D174">
        <v>1</v>
      </c>
      <c r="E174"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v>37.047325124095401</v>
      </c>
      <c r="P174">
        <v>661.01896891849594</v>
      </c>
      <c r="Q174">
        <v>1588.6060296046501</v>
      </c>
      <c r="R174">
        <v>4209.8059784523302</v>
      </c>
      <c r="S174">
        <v>152</v>
      </c>
      <c r="T174">
        <v>9.6000000000000002E-2</v>
      </c>
      <c r="U174">
        <v>0.09</v>
      </c>
    </row>
    <row r="175" spans="1:21" x14ac:dyDescent="0.25">
      <c r="A175" t="s">
        <v>55</v>
      </c>
      <c r="B175" t="s">
        <v>56</v>
      </c>
      <c r="C175">
        <v>4</v>
      </c>
      <c r="D175">
        <v>1</v>
      </c>
      <c r="E175"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v>47.569631324395502</v>
      </c>
      <c r="P175">
        <v>1399.3704826257199</v>
      </c>
      <c r="Q175">
        <v>3363.0629238781898</v>
      </c>
      <c r="R175">
        <v>8912.1167482772107</v>
      </c>
      <c r="S175">
        <v>152</v>
      </c>
      <c r="T175">
        <v>9.6000000000000002E-2</v>
      </c>
      <c r="U175">
        <v>0.09</v>
      </c>
    </row>
    <row r="176" spans="1:21" x14ac:dyDescent="0.25">
      <c r="A176" t="s">
        <v>55</v>
      </c>
      <c r="B176" t="s">
        <v>56</v>
      </c>
      <c r="C176">
        <v>5</v>
      </c>
      <c r="D176">
        <v>1</v>
      </c>
      <c r="E176"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v>57.1287678734247</v>
      </c>
      <c r="P176">
        <v>2423.86219369639</v>
      </c>
      <c r="Q176">
        <v>5825.1915253458101</v>
      </c>
      <c r="R176">
        <v>15436.757542166401</v>
      </c>
      <c r="S176">
        <v>152</v>
      </c>
      <c r="T176">
        <v>9.6000000000000002E-2</v>
      </c>
      <c r="U176">
        <v>0.09</v>
      </c>
    </row>
    <row r="177" spans="1:21" x14ac:dyDescent="0.25">
      <c r="A177" t="s">
        <v>55</v>
      </c>
      <c r="B177" t="s">
        <v>56</v>
      </c>
      <c r="C177">
        <v>6</v>
      </c>
      <c r="D177">
        <v>1</v>
      </c>
      <c r="E177"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v>65.812899452904901</v>
      </c>
      <c r="P177">
        <v>3705.7526325367598</v>
      </c>
      <c r="Q177">
        <v>8905.9183670674392</v>
      </c>
      <c r="R177">
        <v>23600.683672728701</v>
      </c>
      <c r="S177">
        <v>152</v>
      </c>
      <c r="T177">
        <v>9.6000000000000002E-2</v>
      </c>
      <c r="U177">
        <v>0.09</v>
      </c>
    </row>
    <row r="178" spans="1:21" x14ac:dyDescent="0.25">
      <c r="A178" t="s">
        <v>55</v>
      </c>
      <c r="B178" t="s">
        <v>56</v>
      </c>
      <c r="C178">
        <v>7</v>
      </c>
      <c r="D178">
        <v>1</v>
      </c>
      <c r="E178"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v>73.702120503668596</v>
      </c>
      <c r="P178">
        <v>5204.55140074882</v>
      </c>
      <c r="Q178">
        <v>12507.934152244199</v>
      </c>
      <c r="R178">
        <v>33146.025503447199</v>
      </c>
      <c r="S178">
        <v>152</v>
      </c>
      <c r="T178">
        <v>9.6000000000000002E-2</v>
      </c>
      <c r="U178">
        <v>0.09</v>
      </c>
    </row>
    <row r="179" spans="1:21" x14ac:dyDescent="0.25">
      <c r="A179" t="s">
        <v>55</v>
      </c>
      <c r="B179" t="s">
        <v>56</v>
      </c>
      <c r="C179">
        <v>8</v>
      </c>
      <c r="D179">
        <v>1</v>
      </c>
      <c r="E179"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v>80.869193943099205</v>
      </c>
      <c r="P179">
        <v>6875.3164990699797</v>
      </c>
      <c r="Q179">
        <v>16523.231192189302</v>
      </c>
      <c r="R179">
        <v>43786.5626593017</v>
      </c>
      <c r="S179">
        <v>152</v>
      </c>
      <c r="T179">
        <v>9.6000000000000002E-2</v>
      </c>
      <c r="U179">
        <v>0.09</v>
      </c>
    </row>
    <row r="180" spans="1:21" x14ac:dyDescent="0.25">
      <c r="A180" t="s">
        <v>55</v>
      </c>
      <c r="B180" t="s">
        <v>56</v>
      </c>
      <c r="C180">
        <v>9</v>
      </c>
      <c r="D180">
        <v>1</v>
      </c>
      <c r="E180"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v>87.380222263343697</v>
      </c>
      <c r="P180">
        <v>8673.2684272407605</v>
      </c>
      <c r="Q180">
        <v>20844.192326942499</v>
      </c>
      <c r="R180">
        <v>55237.109666397599</v>
      </c>
      <c r="S180">
        <v>152</v>
      </c>
      <c r="T180">
        <v>9.6000000000000002E-2</v>
      </c>
      <c r="U180">
        <v>0.09</v>
      </c>
    </row>
    <row r="181" spans="1:21" x14ac:dyDescent="0.25">
      <c r="A181" t="s">
        <v>55</v>
      </c>
      <c r="B181" t="s">
        <v>56</v>
      </c>
      <c r="C181">
        <v>10</v>
      </c>
      <c r="D181">
        <v>1</v>
      </c>
      <c r="E181"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v>93.295257199890003</v>
      </c>
      <c r="P181">
        <v>10556.5510262714</v>
      </c>
      <c r="Q181">
        <v>25370.225970371001</v>
      </c>
      <c r="R181">
        <v>67231.098821482999</v>
      </c>
      <c r="S181">
        <v>152</v>
      </c>
      <c r="T181">
        <v>9.6000000000000002E-2</v>
      </c>
      <c r="U181">
        <v>0.09</v>
      </c>
    </row>
    <row r="182" spans="1:21" x14ac:dyDescent="0.25">
      <c r="A182" t="s">
        <v>57</v>
      </c>
      <c r="B182" t="s">
        <v>58</v>
      </c>
      <c r="C182">
        <v>1</v>
      </c>
      <c r="D182">
        <v>2</v>
      </c>
      <c r="E182"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v>40.143918515854601</v>
      </c>
      <c r="P182">
        <v>763.38090886834902</v>
      </c>
      <c r="Q182">
        <v>1834.60924986385</v>
      </c>
      <c r="R182">
        <v>4861.7145121392095</v>
      </c>
      <c r="S182">
        <v>72.900000000000006</v>
      </c>
      <c r="T182">
        <v>0.4</v>
      </c>
      <c r="U182">
        <v>0</v>
      </c>
    </row>
    <row r="183" spans="1:21" x14ac:dyDescent="0.25">
      <c r="A183" t="s">
        <v>57</v>
      </c>
      <c r="B183" t="s">
        <v>58</v>
      </c>
      <c r="C183">
        <v>2</v>
      </c>
      <c r="D183">
        <v>2</v>
      </c>
      <c r="E183"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v>58.181743838189597</v>
      </c>
      <c r="P183">
        <v>2324.0325637394799</v>
      </c>
      <c r="Q183">
        <v>5585.2741257858097</v>
      </c>
      <c r="R183">
        <v>14800.9764333324</v>
      </c>
      <c r="S183">
        <v>72.900000000000006</v>
      </c>
      <c r="T183">
        <v>0.4</v>
      </c>
      <c r="U183">
        <v>0</v>
      </c>
    </row>
    <row r="184" spans="1:21" x14ac:dyDescent="0.25">
      <c r="A184" t="s">
        <v>57</v>
      </c>
      <c r="B184" t="s">
        <v>58</v>
      </c>
      <c r="C184">
        <v>3</v>
      </c>
      <c r="D184">
        <v>2</v>
      </c>
      <c r="E184"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v>66.286661205201796</v>
      </c>
      <c r="P184">
        <v>3436.8489166374002</v>
      </c>
      <c r="Q184">
        <v>8259.6705518803192</v>
      </c>
      <c r="R184">
        <v>21888.126962482798</v>
      </c>
      <c r="S184">
        <v>72.900000000000006</v>
      </c>
      <c r="T184">
        <v>0.4</v>
      </c>
      <c r="U184">
        <v>0</v>
      </c>
    </row>
    <row r="185" spans="1:21" x14ac:dyDescent="0.25">
      <c r="A185" t="s">
        <v>57</v>
      </c>
      <c r="B185" t="s">
        <v>58</v>
      </c>
      <c r="C185">
        <v>4</v>
      </c>
      <c r="D185">
        <v>2</v>
      </c>
      <c r="E185"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v>69.928435329977106</v>
      </c>
      <c r="P185">
        <v>4034.99907909485</v>
      </c>
      <c r="Q185">
        <v>9697.1859627369704</v>
      </c>
      <c r="R185">
        <v>25697.542801252999</v>
      </c>
      <c r="S185">
        <v>72.900000000000006</v>
      </c>
      <c r="T185">
        <v>0.4</v>
      </c>
      <c r="U185">
        <v>0</v>
      </c>
    </row>
    <row r="186" spans="1:21" x14ac:dyDescent="0.25">
      <c r="A186" t="s">
        <v>57</v>
      </c>
      <c r="B186" t="s">
        <v>58</v>
      </c>
      <c r="C186">
        <v>5</v>
      </c>
      <c r="D186">
        <v>2</v>
      </c>
      <c r="E186"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v>71.564789925011297</v>
      </c>
      <c r="P186">
        <v>4324.9412223072704</v>
      </c>
      <c r="Q186">
        <v>10393.994766419801</v>
      </c>
      <c r="R186">
        <v>27544.086131012398</v>
      </c>
      <c r="S186">
        <v>72.900000000000006</v>
      </c>
      <c r="T186">
        <v>0.4</v>
      </c>
      <c r="U186">
        <v>0</v>
      </c>
    </row>
    <row r="187" spans="1:21" x14ac:dyDescent="0.25">
      <c r="A187" t="s">
        <v>57</v>
      </c>
      <c r="B187" t="s">
        <v>58</v>
      </c>
      <c r="C187">
        <v>6</v>
      </c>
      <c r="D187">
        <v>2</v>
      </c>
      <c r="E187"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v>72.300051440126495</v>
      </c>
      <c r="P187">
        <v>4459.6197093998098</v>
      </c>
      <c r="Q187">
        <v>10717.6633246811</v>
      </c>
      <c r="R187">
        <v>28401.807810404898</v>
      </c>
      <c r="S187">
        <v>72.900000000000006</v>
      </c>
      <c r="T187">
        <v>0.4</v>
      </c>
      <c r="U187">
        <v>0</v>
      </c>
    </row>
    <row r="188" spans="1:21" x14ac:dyDescent="0.25">
      <c r="A188" t="s">
        <v>57</v>
      </c>
      <c r="B188" t="s">
        <v>58</v>
      </c>
      <c r="C188">
        <v>7</v>
      </c>
      <c r="D188">
        <v>2</v>
      </c>
      <c r="E188"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v>72.6304257350684</v>
      </c>
      <c r="P188">
        <v>4521.0340391404197</v>
      </c>
      <c r="Q188">
        <v>10865.2584454228</v>
      </c>
      <c r="R188">
        <v>28792.9348803703</v>
      </c>
      <c r="S188">
        <v>72.900000000000006</v>
      </c>
      <c r="T188">
        <v>0.4</v>
      </c>
      <c r="U188">
        <v>0</v>
      </c>
    </row>
    <row r="189" spans="1:21" x14ac:dyDescent="0.25">
      <c r="A189" t="s">
        <v>57</v>
      </c>
      <c r="B189" t="s">
        <v>58</v>
      </c>
      <c r="C189">
        <v>8</v>
      </c>
      <c r="D189">
        <v>2</v>
      </c>
      <c r="E189"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v>72.778872474785601</v>
      </c>
      <c r="P189">
        <v>4548.8118772293401</v>
      </c>
      <c r="Q189">
        <v>10932.0160471746</v>
      </c>
      <c r="R189">
        <v>28969.842525012598</v>
      </c>
      <c r="S189">
        <v>72.900000000000006</v>
      </c>
      <c r="T189">
        <v>0.4</v>
      </c>
      <c r="U189">
        <v>0</v>
      </c>
    </row>
    <row r="190" spans="1:21" x14ac:dyDescent="0.25">
      <c r="A190" t="s">
        <v>57</v>
      </c>
      <c r="B190" t="s">
        <v>58</v>
      </c>
      <c r="C190">
        <v>9</v>
      </c>
      <c r="D190">
        <v>2</v>
      </c>
      <c r="E190"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v>72.845573894569299</v>
      </c>
      <c r="P190">
        <v>4561.3302233118602</v>
      </c>
      <c r="Q190">
        <v>10962.1009932993</v>
      </c>
      <c r="R190">
        <v>29049.567632243299</v>
      </c>
      <c r="S190">
        <v>72.900000000000006</v>
      </c>
      <c r="T190">
        <v>0.4</v>
      </c>
      <c r="U190">
        <v>0</v>
      </c>
    </row>
    <row r="191" spans="1:21" x14ac:dyDescent="0.25">
      <c r="A191" t="s">
        <v>57</v>
      </c>
      <c r="B191" t="s">
        <v>58</v>
      </c>
      <c r="C191">
        <v>10</v>
      </c>
      <c r="D191">
        <v>2</v>
      </c>
      <c r="E191"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v>72.875544774425904</v>
      </c>
      <c r="P191">
        <v>4566.9625490367798</v>
      </c>
      <c r="Q191">
        <v>10975.6369839865</v>
      </c>
      <c r="R191">
        <v>29085.4380075642</v>
      </c>
      <c r="S191">
        <v>72.900000000000006</v>
      </c>
      <c r="T191">
        <v>0.4</v>
      </c>
      <c r="U191">
        <v>0</v>
      </c>
    </row>
    <row r="192" spans="1:21" x14ac:dyDescent="0.25">
      <c r="A192" t="s">
        <v>59</v>
      </c>
      <c r="B192" t="s">
        <v>60</v>
      </c>
      <c r="C192">
        <v>1</v>
      </c>
      <c r="D192">
        <v>2</v>
      </c>
      <c r="E192"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v>30.0191810829898</v>
      </c>
      <c r="P192">
        <v>638.62466460155497</v>
      </c>
      <c r="Q192">
        <v>1534.78650469011</v>
      </c>
      <c r="R192">
        <v>4067.1842374287999</v>
      </c>
      <c r="S192">
        <v>263.2</v>
      </c>
      <c r="T192">
        <v>7.0000000000000007E-2</v>
      </c>
      <c r="U192">
        <v>0.27</v>
      </c>
    </row>
    <row r="193" spans="1:21" x14ac:dyDescent="0.25">
      <c r="A193" t="s">
        <v>59</v>
      </c>
      <c r="B193" t="s">
        <v>60</v>
      </c>
      <c r="C193">
        <v>2</v>
      </c>
      <c r="D193">
        <v>2</v>
      </c>
      <c r="E193"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v>60.482334737459503</v>
      </c>
      <c r="P193">
        <v>5602.1892882480797</v>
      </c>
      <c r="Q193">
        <v>13463.5647398416</v>
      </c>
      <c r="R193">
        <v>35678.446560580203</v>
      </c>
      <c r="S193">
        <v>263.2</v>
      </c>
      <c r="T193">
        <v>7.0000000000000007E-2</v>
      </c>
      <c r="U193">
        <v>0.27</v>
      </c>
    </row>
    <row r="194" spans="1:21" x14ac:dyDescent="0.25">
      <c r="A194" t="s">
        <v>59</v>
      </c>
      <c r="B194" t="s">
        <v>60</v>
      </c>
      <c r="C194">
        <v>3</v>
      </c>
      <c r="D194">
        <v>2</v>
      </c>
      <c r="E194"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v>86.965728243192004</v>
      </c>
      <c r="P194">
        <v>17269.847782593501</v>
      </c>
      <c r="Q194">
        <v>41504.080227333601</v>
      </c>
      <c r="R194">
        <v>109985.812602434</v>
      </c>
      <c r="S194">
        <v>263.2</v>
      </c>
      <c r="T194">
        <v>7.0000000000000007E-2</v>
      </c>
      <c r="U194">
        <v>0.27</v>
      </c>
    </row>
    <row r="195" spans="1:21" x14ac:dyDescent="0.25">
      <c r="A195" t="s">
        <v>59</v>
      </c>
      <c r="B195" t="s">
        <v>60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59</v>
      </c>
      <c r="B196" t="s">
        <v>60</v>
      </c>
      <c r="C196">
        <v>5</v>
      </c>
      <c r="D196">
        <v>2</v>
      </c>
      <c r="E196"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v>130.00500271891499</v>
      </c>
      <c r="P196">
        <v>60060.021358037098</v>
      </c>
      <c r="Q196">
        <v>144340.354140921</v>
      </c>
      <c r="R196">
        <v>382501.93847344001</v>
      </c>
      <c r="S196">
        <v>263.2</v>
      </c>
      <c r="T196">
        <v>7.0000000000000007E-2</v>
      </c>
      <c r="U196">
        <v>0.27</v>
      </c>
    </row>
    <row r="197" spans="1:21" x14ac:dyDescent="0.25">
      <c r="A197" t="s">
        <v>59</v>
      </c>
      <c r="B197" t="s">
        <v>60</v>
      </c>
      <c r="C197">
        <v>6</v>
      </c>
      <c r="D197">
        <v>2</v>
      </c>
      <c r="E197"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v>147.40583219976699</v>
      </c>
      <c r="P197">
        <v>88655.309313820006</v>
      </c>
      <c r="Q197">
        <v>213062.507363182</v>
      </c>
      <c r="R197">
        <v>564615.64451243205</v>
      </c>
      <c r="S197">
        <v>263.2</v>
      </c>
      <c r="T197">
        <v>7.0000000000000007E-2</v>
      </c>
      <c r="U197">
        <v>0.27</v>
      </c>
    </row>
    <row r="198" spans="1:21" x14ac:dyDescent="0.25">
      <c r="A198" t="s">
        <v>59</v>
      </c>
      <c r="B198" t="s">
        <v>60</v>
      </c>
      <c r="C198">
        <v>7</v>
      </c>
      <c r="D198">
        <v>2</v>
      </c>
      <c r="E198"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v>162.533386611716</v>
      </c>
      <c r="P198">
        <v>120013.82954317699</v>
      </c>
      <c r="Q198">
        <v>288425.44951496599</v>
      </c>
      <c r="R198">
        <v>764327.44121465995</v>
      </c>
      <c r="S198">
        <v>263.2</v>
      </c>
      <c r="T198">
        <v>7.0000000000000007E-2</v>
      </c>
      <c r="U198">
        <v>0.27</v>
      </c>
    </row>
    <row r="199" spans="1:21" x14ac:dyDescent="0.25">
      <c r="A199" t="s">
        <v>59</v>
      </c>
      <c r="B199" t="s">
        <v>60</v>
      </c>
      <c r="C199">
        <v>8</v>
      </c>
      <c r="D199">
        <v>2</v>
      </c>
      <c r="E199"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v>175.68465062118801</v>
      </c>
      <c r="P199">
        <v>152751.020932416</v>
      </c>
      <c r="Q199">
        <v>367101.70856144303</v>
      </c>
      <c r="R199">
        <v>972819.52768782398</v>
      </c>
      <c r="S199">
        <v>263.2</v>
      </c>
      <c r="T199">
        <v>7.0000000000000007E-2</v>
      </c>
      <c r="U199">
        <v>0.27</v>
      </c>
    </row>
    <row r="200" spans="1:21" x14ac:dyDescent="0.25">
      <c r="A200" t="s">
        <v>59</v>
      </c>
      <c r="B200" t="s">
        <v>60</v>
      </c>
      <c r="C200">
        <v>9</v>
      </c>
      <c r="D200">
        <v>2</v>
      </c>
      <c r="E200"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v>187.117810293726</v>
      </c>
      <c r="P200">
        <v>185723.20694256501</v>
      </c>
      <c r="Q200">
        <v>446342.722765118</v>
      </c>
      <c r="R200">
        <v>1182808.21532756</v>
      </c>
      <c r="S200">
        <v>263.2</v>
      </c>
      <c r="T200">
        <v>7.0000000000000007E-2</v>
      </c>
      <c r="U200">
        <v>0.27</v>
      </c>
    </row>
    <row r="201" spans="1:21" x14ac:dyDescent="0.25">
      <c r="A201" t="s">
        <v>59</v>
      </c>
      <c r="B201" t="s">
        <v>60</v>
      </c>
      <c r="C201">
        <v>10</v>
      </c>
      <c r="D201">
        <v>2</v>
      </c>
      <c r="E201"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v>197.05732181167599</v>
      </c>
      <c r="P201">
        <v>218045.067850675</v>
      </c>
      <c r="Q201">
        <v>524020.83117201302</v>
      </c>
      <c r="R201">
        <v>1388655.20260583</v>
      </c>
      <c r="S201">
        <v>263.2</v>
      </c>
      <c r="T201">
        <v>7.0000000000000007E-2</v>
      </c>
      <c r="U201">
        <v>0.27</v>
      </c>
    </row>
    <row r="202" spans="1:21" x14ac:dyDescent="0.25">
      <c r="A202" t="s">
        <v>61</v>
      </c>
      <c r="B202" t="s">
        <v>62</v>
      </c>
      <c r="C202">
        <v>1</v>
      </c>
      <c r="D202">
        <v>1</v>
      </c>
      <c r="E202"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v>4.5195828904047897</v>
      </c>
      <c r="P202">
        <v>1.1539980651435</v>
      </c>
      <c r="Q202">
        <v>2.77336713564888</v>
      </c>
      <c r="R202">
        <v>7.3494229094695402</v>
      </c>
      <c r="S202">
        <v>33.700000000000003</v>
      </c>
      <c r="T202">
        <v>0.32</v>
      </c>
      <c r="U202">
        <v>0.55000000000000004</v>
      </c>
    </row>
    <row r="203" spans="1:21" x14ac:dyDescent="0.25">
      <c r="A203" t="s">
        <v>61</v>
      </c>
      <c r="B203" t="s">
        <v>62</v>
      </c>
      <c r="C203">
        <v>2</v>
      </c>
      <c r="D203">
        <v>1</v>
      </c>
      <c r="E203"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v>12.5106682144588</v>
      </c>
      <c r="P203">
        <v>24.476624933083801</v>
      </c>
      <c r="Q203">
        <v>58.8239003438688</v>
      </c>
      <c r="R203">
        <v>155.883335911252</v>
      </c>
      <c r="S203">
        <v>33.700000000000003</v>
      </c>
      <c r="T203">
        <v>0.32</v>
      </c>
      <c r="U203">
        <v>0.55000000000000004</v>
      </c>
    </row>
    <row r="204" spans="1:21" x14ac:dyDescent="0.25">
      <c r="A204" t="s">
        <v>61</v>
      </c>
      <c r="B204" t="s">
        <v>62</v>
      </c>
      <c r="C204">
        <v>3</v>
      </c>
      <c r="D204">
        <v>1</v>
      </c>
      <c r="E204"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v>18.313387127694298</v>
      </c>
      <c r="P204">
        <v>76.774331086170307</v>
      </c>
      <c r="Q204">
        <v>184.50932729192601</v>
      </c>
      <c r="R204">
        <v>488.94971732360301</v>
      </c>
      <c r="S204">
        <v>33.700000000000003</v>
      </c>
      <c r="T204">
        <v>0.32</v>
      </c>
      <c r="U204">
        <v>0.55000000000000004</v>
      </c>
    </row>
    <row r="205" spans="1:21" x14ac:dyDescent="0.25">
      <c r="A205" t="s">
        <v>61</v>
      </c>
      <c r="B205" t="s">
        <v>62</v>
      </c>
      <c r="C205">
        <v>4</v>
      </c>
      <c r="D205">
        <v>1</v>
      </c>
      <c r="E205"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v>22.527025878949601</v>
      </c>
      <c r="P205">
        <v>142.89649844085301</v>
      </c>
      <c r="Q205">
        <v>343.418645616086</v>
      </c>
      <c r="R205">
        <v>910.05941088262796</v>
      </c>
      <c r="S205">
        <v>33.700000000000003</v>
      </c>
      <c r="T205">
        <v>0.32</v>
      </c>
      <c r="U205">
        <v>0.55000000000000004</v>
      </c>
    </row>
    <row r="206" spans="1:21" x14ac:dyDescent="0.25">
      <c r="A206" t="s">
        <v>61</v>
      </c>
      <c r="B206" t="s">
        <v>62</v>
      </c>
      <c r="C206">
        <v>5</v>
      </c>
      <c r="D206">
        <v>1</v>
      </c>
      <c r="E206"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v>25.586755600749999</v>
      </c>
      <c r="P206">
        <v>209.38987401253701</v>
      </c>
      <c r="Q206">
        <v>503.22007693472102</v>
      </c>
      <c r="R206">
        <v>1333.53320387701</v>
      </c>
      <c r="S206">
        <v>33.700000000000003</v>
      </c>
      <c r="T206">
        <v>0.32</v>
      </c>
      <c r="U206">
        <v>0.55000000000000004</v>
      </c>
    </row>
    <row r="207" spans="1:21" x14ac:dyDescent="0.25">
      <c r="A207" t="s">
        <v>61</v>
      </c>
      <c r="B207" t="s">
        <v>62</v>
      </c>
      <c r="C207">
        <v>6</v>
      </c>
      <c r="D207">
        <v>1</v>
      </c>
      <c r="E207"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v>27.808575391941101</v>
      </c>
      <c r="P207">
        <v>268.81050439210702</v>
      </c>
      <c r="Q207">
        <v>646.02380291301802</v>
      </c>
      <c r="R207">
        <v>1711.9630777195</v>
      </c>
      <c r="S207">
        <v>33.700000000000003</v>
      </c>
      <c r="T207">
        <v>0.32</v>
      </c>
      <c r="U207">
        <v>0.55000000000000004</v>
      </c>
    </row>
    <row r="208" spans="1:21" x14ac:dyDescent="0.25">
      <c r="A208" t="s">
        <v>61</v>
      </c>
      <c r="B208" t="s">
        <v>62</v>
      </c>
      <c r="C208">
        <v>7</v>
      </c>
      <c r="D208">
        <v>1</v>
      </c>
      <c r="E208"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v>29.4219476938658</v>
      </c>
      <c r="P208">
        <v>318.36423278291602</v>
      </c>
      <c r="Q208">
        <v>765.11471469097899</v>
      </c>
      <c r="R208">
        <v>2027.55399393109</v>
      </c>
      <c r="S208">
        <v>33.700000000000003</v>
      </c>
      <c r="T208">
        <v>0.32</v>
      </c>
      <c r="U208">
        <v>0.55000000000000004</v>
      </c>
    </row>
    <row r="209" spans="1:21" x14ac:dyDescent="0.25">
      <c r="A209" t="s">
        <v>61</v>
      </c>
      <c r="B209" t="s">
        <v>62</v>
      </c>
      <c r="C209">
        <v>8</v>
      </c>
      <c r="D209">
        <v>1</v>
      </c>
      <c r="E209"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v>30.5934964373497</v>
      </c>
      <c r="P209">
        <v>357.92938568447698</v>
      </c>
      <c r="Q209">
        <v>860.20039818427495</v>
      </c>
      <c r="R209">
        <v>2279.5310551883299</v>
      </c>
      <c r="S209">
        <v>33.700000000000003</v>
      </c>
      <c r="T209">
        <v>0.32</v>
      </c>
      <c r="U209">
        <v>0.55000000000000004</v>
      </c>
    </row>
    <row r="210" spans="1:21" x14ac:dyDescent="0.25">
      <c r="A210" t="s">
        <v>61</v>
      </c>
      <c r="B210" t="s">
        <v>62</v>
      </c>
      <c r="C210">
        <v>9</v>
      </c>
      <c r="D210">
        <v>1</v>
      </c>
      <c r="E210"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v>31.444215429315499</v>
      </c>
      <c r="P210">
        <v>388.626402273748</v>
      </c>
      <c r="Q210">
        <v>933.97356951152994</v>
      </c>
      <c r="R210">
        <v>2475.0299592055499</v>
      </c>
      <c r="S210">
        <v>33.700000000000003</v>
      </c>
      <c r="T210">
        <v>0.32</v>
      </c>
      <c r="U210">
        <v>0.55000000000000004</v>
      </c>
    </row>
    <row r="211" spans="1:21" x14ac:dyDescent="0.25">
      <c r="A211" t="s">
        <v>61</v>
      </c>
      <c r="B211" t="s">
        <v>62</v>
      </c>
      <c r="C211">
        <v>10</v>
      </c>
      <c r="D211">
        <v>1</v>
      </c>
      <c r="E211"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v>32.061964206151799</v>
      </c>
      <c r="P211">
        <v>411.98403596558398</v>
      </c>
      <c r="Q211">
        <v>990.108233514983</v>
      </c>
      <c r="R211">
        <v>2623.7868188146999</v>
      </c>
      <c r="S211">
        <v>33.700000000000003</v>
      </c>
      <c r="T211">
        <v>0.32</v>
      </c>
      <c r="U211">
        <v>0.55000000000000004</v>
      </c>
    </row>
    <row r="212" spans="1:21" x14ac:dyDescent="0.25">
      <c r="A212" t="s">
        <v>63</v>
      </c>
      <c r="B212" t="s">
        <v>64</v>
      </c>
      <c r="C212">
        <v>1</v>
      </c>
      <c r="D212">
        <v>2</v>
      </c>
      <c r="E212"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v>26.2839081072242</v>
      </c>
      <c r="P212">
        <v>302.14823421892999</v>
      </c>
      <c r="Q212">
        <v>726.14331703660196</v>
      </c>
      <c r="R212">
        <v>1924.2797901469901</v>
      </c>
      <c r="S212">
        <v>42.5</v>
      </c>
      <c r="T212">
        <v>0.47</v>
      </c>
      <c r="U212">
        <v>0.05</v>
      </c>
    </row>
    <row r="213" spans="1:21" x14ac:dyDescent="0.25">
      <c r="A213" t="s">
        <v>63</v>
      </c>
      <c r="B213" t="s">
        <v>64</v>
      </c>
      <c r="C213">
        <v>2</v>
      </c>
      <c r="D213">
        <v>2</v>
      </c>
      <c r="E213"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v>36.165543125950101</v>
      </c>
      <c r="P213">
        <v>812.63536807531398</v>
      </c>
      <c r="Q213">
        <v>1952.9809374556901</v>
      </c>
      <c r="R213">
        <v>5175.3994842575903</v>
      </c>
      <c r="S213">
        <v>42.5</v>
      </c>
      <c r="T213">
        <v>0.47</v>
      </c>
      <c r="U213">
        <v>0.05</v>
      </c>
    </row>
    <row r="214" spans="1:21" x14ac:dyDescent="0.25">
      <c r="A214" t="s">
        <v>63</v>
      </c>
      <c r="B214" t="s">
        <v>64</v>
      </c>
      <c r="C214">
        <v>3</v>
      </c>
      <c r="D214">
        <v>2</v>
      </c>
      <c r="E214"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v>40.025584823118002</v>
      </c>
      <c r="P214">
        <v>1112.8280739437701</v>
      </c>
      <c r="Q214">
        <v>2674.42459491413</v>
      </c>
      <c r="R214">
        <v>7087.2251765224501</v>
      </c>
      <c r="S214">
        <v>42.5</v>
      </c>
      <c r="T214">
        <v>0.47</v>
      </c>
      <c r="U214">
        <v>0.05</v>
      </c>
    </row>
    <row r="215" spans="1:21" x14ac:dyDescent="0.25">
      <c r="A215" t="s">
        <v>63</v>
      </c>
      <c r="B215" t="s">
        <v>64</v>
      </c>
      <c r="C215">
        <v>4</v>
      </c>
      <c r="D215">
        <v>2</v>
      </c>
      <c r="E215"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v>41.533424555676298</v>
      </c>
      <c r="P215">
        <v>1247.9990208489401</v>
      </c>
      <c r="Q215">
        <v>2999.27666630363</v>
      </c>
      <c r="R215">
        <v>7948.0831657046101</v>
      </c>
      <c r="S215">
        <v>42.5</v>
      </c>
      <c r="T215">
        <v>0.47</v>
      </c>
      <c r="U215">
        <v>0.05</v>
      </c>
    </row>
    <row r="216" spans="1:21" x14ac:dyDescent="0.25">
      <c r="A216" t="s">
        <v>63</v>
      </c>
      <c r="B216" t="s">
        <v>64</v>
      </c>
      <c r="C216">
        <v>5</v>
      </c>
      <c r="D216">
        <v>2</v>
      </c>
      <c r="E216"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v>42.122428726473103</v>
      </c>
      <c r="P216">
        <v>1303.6853907295099</v>
      </c>
      <c r="Q216">
        <v>3133.1059618589402</v>
      </c>
      <c r="R216">
        <v>8302.7307989261899</v>
      </c>
      <c r="S216">
        <v>42.5</v>
      </c>
      <c r="T216">
        <v>0.47</v>
      </c>
      <c r="U216">
        <v>0.05</v>
      </c>
    </row>
    <row r="217" spans="1:21" x14ac:dyDescent="0.25">
      <c r="A217" t="s">
        <v>63</v>
      </c>
      <c r="B217" t="s">
        <v>64</v>
      </c>
      <c r="C217">
        <v>6</v>
      </c>
      <c r="D217">
        <v>2</v>
      </c>
      <c r="E217"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v>42.352510150728598</v>
      </c>
      <c r="P217">
        <v>1325.8873503007501</v>
      </c>
      <c r="Q217">
        <v>3186.4632307155698</v>
      </c>
      <c r="R217">
        <v>8444.1275613962698</v>
      </c>
      <c r="S217">
        <v>42.5</v>
      </c>
      <c r="T217">
        <v>0.47</v>
      </c>
      <c r="U217">
        <v>0.05</v>
      </c>
    </row>
    <row r="218" spans="1:21" x14ac:dyDescent="0.25">
      <c r="A218" t="s">
        <v>63</v>
      </c>
      <c r="B218" t="s">
        <v>64</v>
      </c>
      <c r="C218">
        <v>7</v>
      </c>
      <c r="D218">
        <v>2</v>
      </c>
      <c r="E218"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v>42.442386359441798</v>
      </c>
      <c r="P218">
        <v>1334.6291586561599</v>
      </c>
      <c r="Q218">
        <v>3207.4721428891198</v>
      </c>
      <c r="R218">
        <v>8499.8011786561601</v>
      </c>
      <c r="S218">
        <v>42.5</v>
      </c>
      <c r="T218">
        <v>0.47</v>
      </c>
      <c r="U218">
        <v>0.05</v>
      </c>
    </row>
    <row r="219" spans="1:21" x14ac:dyDescent="0.25">
      <c r="A219" t="s">
        <v>63</v>
      </c>
      <c r="B219" t="s">
        <v>64</v>
      </c>
      <c r="C219">
        <v>8</v>
      </c>
      <c r="D219">
        <v>2</v>
      </c>
      <c r="E219"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v>42.477494508301596</v>
      </c>
      <c r="P219">
        <v>1338.0545295157699</v>
      </c>
      <c r="Q219">
        <v>3215.7042285887301</v>
      </c>
      <c r="R219">
        <v>8521.6162057601505</v>
      </c>
      <c r="S219">
        <v>42.5</v>
      </c>
      <c r="T219">
        <v>0.47</v>
      </c>
      <c r="U219">
        <v>0.05</v>
      </c>
    </row>
    <row r="220" spans="1:21" x14ac:dyDescent="0.25">
      <c r="A220" t="s">
        <v>63</v>
      </c>
      <c r="B220" t="s">
        <v>64</v>
      </c>
      <c r="C220">
        <v>9</v>
      </c>
      <c r="D220">
        <v>2</v>
      </c>
      <c r="E220"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v>42.4912087284942</v>
      </c>
      <c r="P220">
        <v>1339.3941906285199</v>
      </c>
      <c r="Q220">
        <v>3218.9237938680999</v>
      </c>
      <c r="R220">
        <v>8530.1480537504704</v>
      </c>
      <c r="S220">
        <v>42.5</v>
      </c>
      <c r="T220">
        <v>0.47</v>
      </c>
      <c r="U220">
        <v>0.05</v>
      </c>
    </row>
    <row r="221" spans="1:21" x14ac:dyDescent="0.25">
      <c r="A221" t="s">
        <v>63</v>
      </c>
      <c r="B221" t="s">
        <v>64</v>
      </c>
      <c r="C221">
        <v>10</v>
      </c>
      <c r="D221">
        <v>2</v>
      </c>
      <c r="E221"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v>42.496565884641598</v>
      </c>
      <c r="P221">
        <v>1339.9177462360999</v>
      </c>
      <c r="Q221">
        <v>3220.1820385390502</v>
      </c>
      <c r="R221">
        <v>8533.4824021284803</v>
      </c>
      <c r="S221">
        <v>42.5</v>
      </c>
      <c r="T221">
        <v>0.47</v>
      </c>
      <c r="U221">
        <v>0.05</v>
      </c>
    </row>
    <row r="222" spans="1:21" x14ac:dyDescent="0.25">
      <c r="A222" t="s">
        <v>65</v>
      </c>
      <c r="B222" t="s">
        <v>66</v>
      </c>
      <c r="C222">
        <v>1</v>
      </c>
      <c r="D222">
        <v>3</v>
      </c>
      <c r="E222"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v>37.2189691929498</v>
      </c>
      <c r="P222">
        <v>940.09810574131905</v>
      </c>
      <c r="Q222">
        <v>2259.30811281259</v>
      </c>
      <c r="R222">
        <v>5987.1664989533701</v>
      </c>
      <c r="S222">
        <v>52.7</v>
      </c>
      <c r="T222">
        <v>0.35</v>
      </c>
      <c r="U222">
        <v>-0.5</v>
      </c>
    </row>
    <row r="223" spans="1:21" x14ac:dyDescent="0.25">
      <c r="A223" t="s">
        <v>65</v>
      </c>
      <c r="B223" t="s">
        <v>66</v>
      </c>
      <c r="C223">
        <v>2</v>
      </c>
      <c r="D223">
        <v>3</v>
      </c>
      <c r="E223"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v>47.282602925460402</v>
      </c>
      <c r="P223">
        <v>1974.14018262786</v>
      </c>
      <c r="Q223">
        <v>4744.3888070844996</v>
      </c>
      <c r="R223">
        <v>12572.630338773901</v>
      </c>
      <c r="S223">
        <v>52.7</v>
      </c>
      <c r="T223">
        <v>0.35</v>
      </c>
      <c r="U223">
        <v>-0.5</v>
      </c>
    </row>
    <row r="224" spans="1:21" x14ac:dyDescent="0.25">
      <c r="A224" t="s">
        <v>65</v>
      </c>
      <c r="B224" t="s">
        <v>66</v>
      </c>
      <c r="C224">
        <v>3</v>
      </c>
      <c r="D224">
        <v>3</v>
      </c>
      <c r="E224"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v>50.804248261694298</v>
      </c>
      <c r="P224">
        <v>2466.5720882083501</v>
      </c>
      <c r="Q224">
        <v>5927.8348671193098</v>
      </c>
      <c r="R224">
        <v>15708.7623978662</v>
      </c>
      <c r="S224">
        <v>52.7</v>
      </c>
      <c r="T224">
        <v>0.35</v>
      </c>
      <c r="U224">
        <v>-0.5</v>
      </c>
    </row>
    <row r="225" spans="1:21" x14ac:dyDescent="0.25">
      <c r="A225" t="s">
        <v>65</v>
      </c>
      <c r="B225" t="s">
        <v>66</v>
      </c>
      <c r="C225">
        <v>4</v>
      </c>
      <c r="D225">
        <v>3</v>
      </c>
      <c r="E225"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v>52.036604903823701</v>
      </c>
      <c r="P225">
        <v>2656.8159932613798</v>
      </c>
      <c r="Q225">
        <v>6385.0420410030802</v>
      </c>
      <c r="R225">
        <v>16920.361408658198</v>
      </c>
      <c r="S225">
        <v>52.7</v>
      </c>
      <c r="T225">
        <v>0.35</v>
      </c>
      <c r="U225">
        <v>-0.5</v>
      </c>
    </row>
    <row r="226" spans="1:21" x14ac:dyDescent="0.25">
      <c r="A226" t="s">
        <v>65</v>
      </c>
      <c r="B226" t="s">
        <v>66</v>
      </c>
      <c r="C226">
        <v>5</v>
      </c>
      <c r="D226">
        <v>3</v>
      </c>
      <c r="E226"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v>52.467853013272702</v>
      </c>
      <c r="P226">
        <v>2725.6678395776198</v>
      </c>
      <c r="Q226">
        <v>6550.5115106407702</v>
      </c>
      <c r="R226">
        <v>17358.855503197999</v>
      </c>
      <c r="S226">
        <v>52.7</v>
      </c>
      <c r="T226">
        <v>0.35</v>
      </c>
      <c r="U226">
        <v>-0.5</v>
      </c>
    </row>
    <row r="227" spans="1:21" x14ac:dyDescent="0.25">
      <c r="A227" t="s">
        <v>65</v>
      </c>
      <c r="B227" t="s">
        <v>66</v>
      </c>
      <c r="C227">
        <v>6</v>
      </c>
      <c r="D227">
        <v>3</v>
      </c>
      <c r="E227"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v>52.6187630060017</v>
      </c>
      <c r="P227">
        <v>2750.0442819121499</v>
      </c>
      <c r="Q227">
        <v>6609.09464530677</v>
      </c>
      <c r="R227">
        <v>17514.100810062901</v>
      </c>
      <c r="S227">
        <v>52.7</v>
      </c>
      <c r="T227">
        <v>0.35</v>
      </c>
      <c r="U227">
        <v>-0.5</v>
      </c>
    </row>
    <row r="228" spans="1:21" x14ac:dyDescent="0.25">
      <c r="A228" t="s">
        <v>65</v>
      </c>
      <c r="B228" t="s">
        <v>66</v>
      </c>
      <c r="C228">
        <v>7</v>
      </c>
      <c r="D228">
        <v>3</v>
      </c>
      <c r="E228"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v>52.671572109175699</v>
      </c>
      <c r="P228">
        <v>2758.6092771302801</v>
      </c>
      <c r="Q228">
        <v>6629.6786280468104</v>
      </c>
      <c r="R228">
        <v>17568.648364323999</v>
      </c>
      <c r="S228">
        <v>52.7</v>
      </c>
      <c r="T228">
        <v>0.35</v>
      </c>
      <c r="U228">
        <v>-0.5</v>
      </c>
    </row>
    <row r="229" spans="1:21" x14ac:dyDescent="0.25">
      <c r="A229" t="s">
        <v>65</v>
      </c>
      <c r="B229" t="s">
        <v>66</v>
      </c>
      <c r="C229">
        <v>8</v>
      </c>
      <c r="D229">
        <v>3</v>
      </c>
      <c r="E229"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v>52.690052007873</v>
      </c>
      <c r="P229">
        <v>2761.6107551957498</v>
      </c>
      <c r="Q229">
        <v>6636.8919855701697</v>
      </c>
      <c r="R229">
        <v>17587.7637617609</v>
      </c>
      <c r="S229">
        <v>52.7</v>
      </c>
      <c r="T229">
        <v>0.35</v>
      </c>
      <c r="U229">
        <v>-0.5</v>
      </c>
    </row>
    <row r="230" spans="1:21" x14ac:dyDescent="0.25">
      <c r="A230" t="s">
        <v>65</v>
      </c>
      <c r="B230" t="s">
        <v>66</v>
      </c>
      <c r="C230">
        <v>9</v>
      </c>
      <c r="D230">
        <v>3</v>
      </c>
      <c r="E230"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v>52.696518822026903</v>
      </c>
      <c r="P230">
        <v>2762.6616079782798</v>
      </c>
      <c r="Q230">
        <v>6639.4174669028698</v>
      </c>
      <c r="R230">
        <v>17594.4562872926</v>
      </c>
      <c r="S230">
        <v>52.7</v>
      </c>
      <c r="T230">
        <v>0.35</v>
      </c>
      <c r="U230">
        <v>-0.5</v>
      </c>
    </row>
    <row r="231" spans="1:21" x14ac:dyDescent="0.25">
      <c r="A231" t="s">
        <v>65</v>
      </c>
      <c r="B231" t="s">
        <v>66</v>
      </c>
      <c r="C231">
        <v>10</v>
      </c>
      <c r="D231">
        <v>3</v>
      </c>
      <c r="E231"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v>52.698781804415802</v>
      </c>
      <c r="P231">
        <v>2763.0294050072898</v>
      </c>
      <c r="Q231">
        <v>6640.3013818968702</v>
      </c>
      <c r="R231">
        <v>17596.7986620267</v>
      </c>
      <c r="S231">
        <v>52.7</v>
      </c>
      <c r="T231">
        <v>0.35</v>
      </c>
      <c r="U231">
        <v>-0.5</v>
      </c>
    </row>
    <row r="232" spans="1:21" x14ac:dyDescent="0.25">
      <c r="A232" t="s">
        <v>67</v>
      </c>
      <c r="B232" t="s">
        <v>68</v>
      </c>
      <c r="C232">
        <v>1</v>
      </c>
      <c r="D232">
        <v>1</v>
      </c>
      <c r="E232"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v>20.7487283787022</v>
      </c>
      <c r="P232">
        <v>134.09535696500299</v>
      </c>
      <c r="Q232">
        <v>322.26714002644201</v>
      </c>
      <c r="R232">
        <v>854.00792107007203</v>
      </c>
      <c r="S232">
        <v>40.6</v>
      </c>
      <c r="T232">
        <v>0.27</v>
      </c>
      <c r="U232">
        <v>-1.65</v>
      </c>
    </row>
    <row r="233" spans="1:21" x14ac:dyDescent="0.25">
      <c r="A233" t="s">
        <v>67</v>
      </c>
      <c r="B233" t="s">
        <v>68</v>
      </c>
      <c r="C233">
        <v>2</v>
      </c>
      <c r="D233">
        <v>1</v>
      </c>
      <c r="E233"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v>25.445946307790098</v>
      </c>
      <c r="P233">
        <v>249.87710172442101</v>
      </c>
      <c r="Q233">
        <v>600.52175372367401</v>
      </c>
      <c r="R233">
        <v>1591.38264736774</v>
      </c>
      <c r="S233">
        <v>40.6</v>
      </c>
      <c r="T233">
        <v>0.27</v>
      </c>
      <c r="U233">
        <v>-1.65</v>
      </c>
    </row>
    <row r="234" spans="1:21" x14ac:dyDescent="0.25">
      <c r="A234" t="s">
        <v>67</v>
      </c>
      <c r="B234" t="s">
        <v>68</v>
      </c>
      <c r="C234">
        <v>3</v>
      </c>
      <c r="D234">
        <v>1</v>
      </c>
      <c r="E234"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v>29.031706155287299</v>
      </c>
      <c r="P234">
        <v>373.55195768406401</v>
      </c>
      <c r="Q234">
        <v>897.74563250195604</v>
      </c>
      <c r="R234">
        <v>2379.0259261301799</v>
      </c>
      <c r="S234">
        <v>40.6</v>
      </c>
      <c r="T234">
        <v>0.27</v>
      </c>
      <c r="U234">
        <v>-1.65</v>
      </c>
    </row>
    <row r="235" spans="1:21" x14ac:dyDescent="0.25">
      <c r="A235" t="s">
        <v>67</v>
      </c>
      <c r="B235" t="s">
        <v>68</v>
      </c>
      <c r="C235">
        <v>4</v>
      </c>
      <c r="D235">
        <v>1</v>
      </c>
      <c r="E235"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v>31.769001694483102</v>
      </c>
      <c r="P235">
        <v>491.70043460235098</v>
      </c>
      <c r="Q235">
        <v>1181.6881389145699</v>
      </c>
      <c r="R235">
        <v>3131.4735681236002</v>
      </c>
      <c r="S235">
        <v>40.6</v>
      </c>
      <c r="T235">
        <v>0.27</v>
      </c>
      <c r="U235">
        <v>-1.65</v>
      </c>
    </row>
    <row r="236" spans="1:21" x14ac:dyDescent="0.25">
      <c r="A236" t="s">
        <v>67</v>
      </c>
      <c r="B236" t="s">
        <v>68</v>
      </c>
      <c r="C236">
        <v>5</v>
      </c>
      <c r="D236">
        <v>1</v>
      </c>
      <c r="E236"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v>33.858596979044897</v>
      </c>
      <c r="P236">
        <v>597.14531894962295</v>
      </c>
      <c r="Q236">
        <v>1435.1005021620399</v>
      </c>
      <c r="R236">
        <v>3803.0163307293901</v>
      </c>
      <c r="S236">
        <v>40.6</v>
      </c>
      <c r="T236">
        <v>0.27</v>
      </c>
      <c r="U236">
        <v>-1.65</v>
      </c>
    </row>
    <row r="237" spans="1:21" x14ac:dyDescent="0.25">
      <c r="A237" t="s">
        <v>67</v>
      </c>
      <c r="B237" t="s">
        <v>68</v>
      </c>
      <c r="C237">
        <v>6</v>
      </c>
      <c r="D237">
        <v>1</v>
      </c>
      <c r="E237"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v>35.4537511707424</v>
      </c>
      <c r="P237">
        <v>687.16241425896703</v>
      </c>
      <c r="Q237">
        <v>1651.43574683722</v>
      </c>
      <c r="R237">
        <v>4376.3047291186303</v>
      </c>
      <c r="S237">
        <v>40.6</v>
      </c>
      <c r="T237">
        <v>0.27</v>
      </c>
      <c r="U237">
        <v>-1.65</v>
      </c>
    </row>
    <row r="238" spans="1:21" x14ac:dyDescent="0.25">
      <c r="A238" t="s">
        <v>67</v>
      </c>
      <c r="B238" t="s">
        <v>68</v>
      </c>
      <c r="C238">
        <v>7</v>
      </c>
      <c r="D238">
        <v>1</v>
      </c>
      <c r="E238"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v>36.671459170989699</v>
      </c>
      <c r="P238">
        <v>761.71181665508595</v>
      </c>
      <c r="Q238">
        <v>1830.59797321578</v>
      </c>
      <c r="R238">
        <v>4851.0846290218196</v>
      </c>
      <c r="S238">
        <v>40.6</v>
      </c>
      <c r="T238">
        <v>0.27</v>
      </c>
      <c r="U238">
        <v>-1.65</v>
      </c>
    </row>
    <row r="239" spans="1:21" x14ac:dyDescent="0.25">
      <c r="A239" t="s">
        <v>67</v>
      </c>
      <c r="B239" t="s">
        <v>68</v>
      </c>
      <c r="C239">
        <v>8</v>
      </c>
      <c r="D239">
        <v>1</v>
      </c>
      <c r="E239"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v>37.601032488468398</v>
      </c>
      <c r="P239">
        <v>822.14611713593297</v>
      </c>
      <c r="Q239">
        <v>1975.8378205622</v>
      </c>
      <c r="R239">
        <v>5235.9702244898399</v>
      </c>
      <c r="S239">
        <v>40.6</v>
      </c>
      <c r="T239">
        <v>0.27</v>
      </c>
      <c r="U239">
        <v>-1.65</v>
      </c>
    </row>
    <row r="240" spans="1:21" x14ac:dyDescent="0.25">
      <c r="A240" t="s">
        <v>67</v>
      </c>
      <c r="B240" t="s">
        <v>68</v>
      </c>
      <c r="C240">
        <v>9</v>
      </c>
      <c r="D240">
        <v>1</v>
      </c>
      <c r="E240"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v>38.3106496975144</v>
      </c>
      <c r="P240">
        <v>870.39069088429505</v>
      </c>
      <c r="Q240">
        <v>2091.7824822982302</v>
      </c>
      <c r="R240">
        <v>5543.2235780903202</v>
      </c>
      <c r="S240">
        <v>40.6</v>
      </c>
      <c r="T240">
        <v>0.27</v>
      </c>
      <c r="U240">
        <v>-1.65</v>
      </c>
    </row>
    <row r="241" spans="1:21" x14ac:dyDescent="0.25">
      <c r="A241" t="s">
        <v>67</v>
      </c>
      <c r="B241" t="s">
        <v>68</v>
      </c>
      <c r="C241">
        <v>10</v>
      </c>
      <c r="D241">
        <v>1</v>
      </c>
      <c r="E241"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v>38.8523569237286</v>
      </c>
      <c r="P241">
        <v>908.47438830563499</v>
      </c>
      <c r="Q241">
        <v>2183.30783058312</v>
      </c>
      <c r="R241">
        <v>5785.76575104526</v>
      </c>
      <c r="S241">
        <v>40.6</v>
      </c>
      <c r="T241">
        <v>0.27</v>
      </c>
      <c r="U241">
        <v>-1.65</v>
      </c>
    </row>
    <row r="242" spans="1:21" x14ac:dyDescent="0.25">
      <c r="A242" t="s">
        <v>69</v>
      </c>
      <c r="B242" t="s">
        <v>70</v>
      </c>
      <c r="C242">
        <v>1</v>
      </c>
      <c r="D242">
        <v>1</v>
      </c>
      <c r="E242"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v>8.1033821062960296</v>
      </c>
      <c r="P242">
        <v>4.3165057367255804</v>
      </c>
      <c r="Q242">
        <v>10.3737220301023</v>
      </c>
      <c r="R242">
        <v>27.4903633797712</v>
      </c>
      <c r="S242">
        <v>37.700000000000003</v>
      </c>
      <c r="T242">
        <v>0.24199999999999999</v>
      </c>
      <c r="U242">
        <v>0</v>
      </c>
    </row>
    <row r="243" spans="1:21" x14ac:dyDescent="0.25">
      <c r="A243" t="s">
        <v>69</v>
      </c>
      <c r="B243" t="s">
        <v>70</v>
      </c>
      <c r="C243">
        <v>2</v>
      </c>
      <c r="D243">
        <v>1</v>
      </c>
      <c r="E243"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v>14.4649922879067</v>
      </c>
      <c r="P243">
        <v>23.169827404021401</v>
      </c>
      <c r="Q243">
        <v>55.683315078157698</v>
      </c>
      <c r="R243">
        <v>147.56078495711799</v>
      </c>
      <c r="S243">
        <v>37.700000000000003</v>
      </c>
      <c r="T243">
        <v>0.24199999999999999</v>
      </c>
      <c r="U243">
        <v>0</v>
      </c>
    </row>
    <row r="244" spans="1:21" x14ac:dyDescent="0.25">
      <c r="A244" t="s">
        <v>69</v>
      </c>
      <c r="B244" t="s">
        <v>70</v>
      </c>
      <c r="C244">
        <v>3</v>
      </c>
      <c r="D244">
        <v>1</v>
      </c>
      <c r="E244"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v>19.459213660156699</v>
      </c>
      <c r="P244">
        <v>54.759986342720197</v>
      </c>
      <c r="Q244">
        <v>131.602947230762</v>
      </c>
      <c r="R244">
        <v>348.74781016152002</v>
      </c>
      <c r="S244">
        <v>37.700000000000003</v>
      </c>
      <c r="T244">
        <v>0.24199999999999999</v>
      </c>
      <c r="U244">
        <v>0</v>
      </c>
    </row>
    <row r="245" spans="1:21" x14ac:dyDescent="0.25">
      <c r="A245" t="s">
        <v>69</v>
      </c>
      <c r="B245" t="s">
        <v>70</v>
      </c>
      <c r="C245">
        <v>4</v>
      </c>
      <c r="D245">
        <v>1</v>
      </c>
      <c r="E245"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v>23.379958000502999</v>
      </c>
      <c r="P245">
        <v>93.249563450422599</v>
      </c>
      <c r="Q245">
        <v>224.10373335838199</v>
      </c>
      <c r="R245">
        <v>593.87489339971205</v>
      </c>
      <c r="S245">
        <v>37.700000000000003</v>
      </c>
      <c r="T245">
        <v>0.24199999999999999</v>
      </c>
      <c r="U245">
        <v>0</v>
      </c>
    </row>
    <row r="246" spans="1:21" x14ac:dyDescent="0.25">
      <c r="A246" t="s">
        <v>69</v>
      </c>
      <c r="B246" t="s">
        <v>70</v>
      </c>
      <c r="C246">
        <v>5</v>
      </c>
      <c r="D246">
        <v>1</v>
      </c>
      <c r="E246"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v>26.457962565493201</v>
      </c>
      <c r="P246">
        <v>133.47918712702</v>
      </c>
      <c r="Q246">
        <v>320.78631849800502</v>
      </c>
      <c r="R246">
        <v>850.08374401971196</v>
      </c>
      <c r="S246">
        <v>37.700000000000003</v>
      </c>
      <c r="T246">
        <v>0.24199999999999999</v>
      </c>
      <c r="U246">
        <v>0</v>
      </c>
    </row>
    <row r="247" spans="1:21" x14ac:dyDescent="0.25">
      <c r="A247" t="s">
        <v>69</v>
      </c>
      <c r="B247" t="s">
        <v>70</v>
      </c>
      <c r="C247">
        <v>6</v>
      </c>
      <c r="D247">
        <v>1</v>
      </c>
      <c r="E247"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v>28.874369063771599</v>
      </c>
      <c r="P247">
        <v>171.98329262698999</v>
      </c>
      <c r="Q247">
        <v>413.32202025231902</v>
      </c>
      <c r="R247">
        <v>1095.3033536686501</v>
      </c>
      <c r="S247">
        <v>37.700000000000003</v>
      </c>
      <c r="T247">
        <v>0.24199999999999999</v>
      </c>
      <c r="U247">
        <v>0</v>
      </c>
    </row>
    <row r="248" spans="1:21" x14ac:dyDescent="0.25">
      <c r="A248" t="s">
        <v>69</v>
      </c>
      <c r="B248" t="s">
        <v>70</v>
      </c>
      <c r="C248">
        <v>7</v>
      </c>
      <c r="D248">
        <v>1</v>
      </c>
      <c r="E248"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v>30.771383912721301</v>
      </c>
      <c r="P248">
        <v>206.836120365917</v>
      </c>
      <c r="Q248">
        <v>497.08272137927798</v>
      </c>
      <c r="R248">
        <v>1317.26921165509</v>
      </c>
      <c r="S248">
        <v>37.700000000000003</v>
      </c>
      <c r="T248">
        <v>0.24199999999999999</v>
      </c>
      <c r="U248">
        <v>0</v>
      </c>
    </row>
    <row r="249" spans="1:21" x14ac:dyDescent="0.25">
      <c r="A249" t="s">
        <v>69</v>
      </c>
      <c r="B249" t="s">
        <v>70</v>
      </c>
      <c r="C249">
        <v>8</v>
      </c>
      <c r="D249">
        <v>1</v>
      </c>
      <c r="E249"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v>32.260647138796898</v>
      </c>
      <c r="P249">
        <v>237.220336363054</v>
      </c>
      <c r="Q249">
        <v>570.10414891385301</v>
      </c>
      <c r="R249">
        <v>1510.77599462171</v>
      </c>
      <c r="S249">
        <v>37.700000000000003</v>
      </c>
      <c r="T249">
        <v>0.24199999999999999</v>
      </c>
      <c r="U249">
        <v>0</v>
      </c>
    </row>
    <row r="250" spans="1:21" x14ac:dyDescent="0.25">
      <c r="A250" t="s">
        <v>69</v>
      </c>
      <c r="B250" t="s">
        <v>70</v>
      </c>
      <c r="C250">
        <v>9</v>
      </c>
      <c r="D250">
        <v>1</v>
      </c>
      <c r="E250"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v>33.429802434428296</v>
      </c>
      <c r="P250">
        <v>263.01956122966197</v>
      </c>
      <c r="Q250">
        <v>632.10661194343197</v>
      </c>
      <c r="R250">
        <v>1675.0825216501</v>
      </c>
      <c r="S250">
        <v>37.700000000000003</v>
      </c>
      <c r="T250">
        <v>0.24199999999999999</v>
      </c>
      <c r="U250">
        <v>0</v>
      </c>
    </row>
    <row r="251" spans="1:21" x14ac:dyDescent="0.25">
      <c r="A251" t="s">
        <v>69</v>
      </c>
      <c r="B251" t="s">
        <v>70</v>
      </c>
      <c r="C251">
        <v>10</v>
      </c>
      <c r="D251">
        <v>1</v>
      </c>
      <c r="E251"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v>34.347655021781101</v>
      </c>
      <c r="P251">
        <v>284.51264145637299</v>
      </c>
      <c r="Q251">
        <v>683.76025343997298</v>
      </c>
      <c r="R251">
        <v>1811.96467161593</v>
      </c>
      <c r="S251">
        <v>37.700000000000003</v>
      </c>
      <c r="T251">
        <v>0.24199999999999999</v>
      </c>
      <c r="U251">
        <v>0</v>
      </c>
    </row>
    <row r="252" spans="1:21" x14ac:dyDescent="0.25">
      <c r="A252" s="2" t="s">
        <v>71</v>
      </c>
      <c r="B252" t="s">
        <v>72</v>
      </c>
      <c r="C252">
        <v>1</v>
      </c>
      <c r="D252">
        <v>1</v>
      </c>
      <c r="E252">
        <v>1</v>
      </c>
      <c r="F252">
        <v>2.6676279740000002</v>
      </c>
      <c r="G252">
        <v>7.0692141299999998</v>
      </c>
      <c r="H252">
        <v>1.1099999999814001</v>
      </c>
      <c r="I252">
        <v>1.1099999999814E-3</v>
      </c>
      <c r="J252">
        <v>1.1099999999814E-6</v>
      </c>
      <c r="K252">
        <v>2.4471281999589901E-3</v>
      </c>
      <c r="L252" s="3">
        <v>1.0999999999999999E-2</v>
      </c>
      <c r="M252" s="3">
        <v>3.01</v>
      </c>
      <c r="N252">
        <v>4.6318829138707498</v>
      </c>
      <c r="O252" s="2">
        <v>4.11570684820982</v>
      </c>
      <c r="P252" s="2">
        <v>0.77780446133876502</v>
      </c>
      <c r="Q252" s="2">
        <v>1.86927291838204</v>
      </c>
      <c r="R252" s="2">
        <v>4.9535732337123903</v>
      </c>
      <c r="S252">
        <v>9</v>
      </c>
      <c r="T252">
        <v>0.32</v>
      </c>
      <c r="U252">
        <v>-0.91</v>
      </c>
    </row>
    <row r="253" spans="1:21" x14ac:dyDescent="0.25">
      <c r="A253" s="2" t="s">
        <v>71</v>
      </c>
      <c r="B253" t="s">
        <v>72</v>
      </c>
      <c r="C253">
        <v>2</v>
      </c>
      <c r="D253">
        <v>1</v>
      </c>
      <c r="E253">
        <v>2</v>
      </c>
      <c r="F253">
        <v>3.8692621960000002</v>
      </c>
      <c r="G253">
        <v>10.25354482</v>
      </c>
      <c r="H253">
        <v>1.6099999997556</v>
      </c>
      <c r="I253">
        <v>1.6099999997555999E-3</v>
      </c>
      <c r="J253">
        <v>1.6099999997555999E-6</v>
      </c>
      <c r="K253">
        <v>3.54943819946119E-3</v>
      </c>
      <c r="L253" s="3">
        <v>1.0999999999999999E-2</v>
      </c>
      <c r="M253" s="3">
        <v>3.01</v>
      </c>
      <c r="N253">
        <v>5.2409862486962604</v>
      </c>
      <c r="O253" s="2">
        <v>5.4532752310419399</v>
      </c>
      <c r="P253" s="2">
        <v>1.81439362626141</v>
      </c>
      <c r="Q253" s="2">
        <v>4.3604749489579602</v>
      </c>
      <c r="R253" s="2">
        <v>11.5552586147386</v>
      </c>
      <c r="S253">
        <v>9</v>
      </c>
      <c r="T253">
        <v>0.32</v>
      </c>
      <c r="U253">
        <v>-0.91</v>
      </c>
    </row>
    <row r="254" spans="1:21" x14ac:dyDescent="0.25">
      <c r="A254" s="2" t="s">
        <v>71</v>
      </c>
      <c r="B254" t="s">
        <v>72</v>
      </c>
      <c r="C254">
        <v>3</v>
      </c>
      <c r="D254">
        <v>1</v>
      </c>
      <c r="E254">
        <v>3</v>
      </c>
      <c r="F254">
        <v>5.0708964190000003</v>
      </c>
      <c r="G254">
        <v>13.43787551</v>
      </c>
      <c r="H254">
        <v>2.1099999999459</v>
      </c>
      <c r="I254">
        <v>2.1099999999458999E-3</v>
      </c>
      <c r="J254">
        <v>2.1099999999459001E-6</v>
      </c>
      <c r="K254">
        <v>4.6517481998807298E-3</v>
      </c>
      <c r="L254" s="3">
        <v>1.0999999999999999E-2</v>
      </c>
      <c r="M254" s="3">
        <v>3.01</v>
      </c>
      <c r="N254">
        <v>5.7337022923298298</v>
      </c>
      <c r="O254" s="2">
        <v>6.4245492242556903</v>
      </c>
      <c r="P254" s="2">
        <v>2.9716598373956198</v>
      </c>
      <c r="Q254" s="2">
        <v>7.1416963167402496</v>
      </c>
      <c r="R254" s="2">
        <v>18.925495239361702</v>
      </c>
      <c r="S254">
        <v>9</v>
      </c>
      <c r="T254">
        <v>0.32</v>
      </c>
      <c r="U254">
        <v>-0.91</v>
      </c>
    </row>
    <row r="255" spans="1:21" x14ac:dyDescent="0.25">
      <c r="A255" s="2" t="s">
        <v>71</v>
      </c>
      <c r="B255" t="s">
        <v>72</v>
      </c>
      <c r="C255">
        <v>4</v>
      </c>
      <c r="D255">
        <v>1</v>
      </c>
      <c r="E255">
        <v>4</v>
      </c>
      <c r="F255">
        <v>5.0829127610000002</v>
      </c>
      <c r="G255">
        <v>13.469718820000001</v>
      </c>
      <c r="H255">
        <v>2.1149999998520999</v>
      </c>
      <c r="I255">
        <v>2.1149999998521002E-3</v>
      </c>
      <c r="J255">
        <v>2.1149999998521001E-6</v>
      </c>
      <c r="K255">
        <v>4.6627712996739398E-3</v>
      </c>
      <c r="L255" s="3">
        <v>1.0999999999999999E-2</v>
      </c>
      <c r="M255" s="3">
        <v>3.01</v>
      </c>
      <c r="N255">
        <v>5.7382126697745797</v>
      </c>
      <c r="O255" s="2">
        <v>7.1298388991625803</v>
      </c>
      <c r="P255" s="2">
        <v>4.0659556123430098</v>
      </c>
      <c r="Q255" s="2">
        <v>9.7715828222615002</v>
      </c>
      <c r="R255" s="2">
        <v>25.894694478992999</v>
      </c>
      <c r="S255">
        <v>9</v>
      </c>
      <c r="T255">
        <v>0.32</v>
      </c>
      <c r="U255">
        <v>-0.91</v>
      </c>
    </row>
    <row r="256" spans="1:21" x14ac:dyDescent="0.25">
      <c r="A256" s="2" t="s">
        <v>71</v>
      </c>
      <c r="B256" t="s">
        <v>72</v>
      </c>
      <c r="C256">
        <v>5</v>
      </c>
      <c r="D256">
        <v>1</v>
      </c>
      <c r="E256">
        <v>5</v>
      </c>
      <c r="F256">
        <v>5.0949291030000001</v>
      </c>
      <c r="G256">
        <v>13.501562119999999</v>
      </c>
      <c r="H256">
        <v>2.1199999997583001</v>
      </c>
      <c r="I256">
        <v>2.1199999997583E-3</v>
      </c>
      <c r="J256">
        <v>2.1199999997583E-6</v>
      </c>
      <c r="K256">
        <v>4.6737943994671401E-3</v>
      </c>
      <c r="L256" s="3">
        <v>1.0999999999999999E-2</v>
      </c>
      <c r="M256" s="3">
        <v>3.01</v>
      </c>
      <c r="N256">
        <v>5.7427159324658703</v>
      </c>
      <c r="O256" s="2">
        <v>7.6419843174542299</v>
      </c>
      <c r="P256" s="2">
        <v>5.0100628373165703</v>
      </c>
      <c r="Q256" s="2">
        <v>12.0405259248175</v>
      </c>
      <c r="R256" s="2">
        <v>31.907393700766399</v>
      </c>
      <c r="S256">
        <v>9</v>
      </c>
      <c r="T256">
        <v>0.32</v>
      </c>
      <c r="U256">
        <v>-0.91</v>
      </c>
    </row>
    <row r="257" spans="1:21" x14ac:dyDescent="0.25">
      <c r="A257" s="2" t="s">
        <v>71</v>
      </c>
      <c r="B257" t="s">
        <v>72</v>
      </c>
      <c r="C257">
        <v>6</v>
      </c>
      <c r="D257">
        <v>1</v>
      </c>
      <c r="E257">
        <v>6</v>
      </c>
      <c r="F257">
        <v>5.1069454460000001</v>
      </c>
      <c r="G257">
        <v>13.53340543</v>
      </c>
      <c r="H257">
        <v>2.1250000000806</v>
      </c>
      <c r="I257">
        <v>2.1250000000806002E-3</v>
      </c>
      <c r="J257">
        <v>2.1250000000805998E-6</v>
      </c>
      <c r="K257">
        <v>4.68481750017769E-3</v>
      </c>
      <c r="L257" s="3">
        <v>1.0999999999999999E-2</v>
      </c>
      <c r="M257" s="3">
        <v>3.01</v>
      </c>
      <c r="N257">
        <v>5.7472121087410004</v>
      </c>
      <c r="O257" s="2">
        <v>8.0138782197884204</v>
      </c>
      <c r="P257" s="2">
        <v>5.7804191102110698</v>
      </c>
      <c r="Q257" s="2">
        <v>13.8918988469384</v>
      </c>
      <c r="R257" s="2">
        <v>36.813531944386803</v>
      </c>
      <c r="S257">
        <v>9</v>
      </c>
      <c r="T257">
        <v>0.32</v>
      </c>
      <c r="U257">
        <v>-0.91</v>
      </c>
    </row>
    <row r="258" spans="1:21" x14ac:dyDescent="0.25">
      <c r="A258" s="2" t="s">
        <v>71</v>
      </c>
      <c r="B258" t="s">
        <v>72</v>
      </c>
      <c r="C258">
        <v>7</v>
      </c>
      <c r="D258">
        <v>1</v>
      </c>
      <c r="E258">
        <v>7</v>
      </c>
      <c r="F258">
        <v>5.118961788</v>
      </c>
      <c r="G258">
        <v>13.565248739999999</v>
      </c>
      <c r="H258">
        <v>2.1299999999867998</v>
      </c>
      <c r="I258">
        <v>2.1299999999868E-3</v>
      </c>
      <c r="J258">
        <v>2.1299999999868002E-6</v>
      </c>
      <c r="K258">
        <v>4.6958405999709E-3</v>
      </c>
      <c r="L258" s="3">
        <v>1.0999999999999999E-2</v>
      </c>
      <c r="M258" s="3">
        <v>3.01</v>
      </c>
      <c r="N258">
        <v>5.7517012256396196</v>
      </c>
      <c r="O258" s="2">
        <v>8.2839286188619692</v>
      </c>
      <c r="P258" s="2">
        <v>6.3868114122370701</v>
      </c>
      <c r="Q258" s="2">
        <v>15.3492223317401</v>
      </c>
      <c r="R258" s="2">
        <v>40.675439179111301</v>
      </c>
      <c r="S258">
        <v>9</v>
      </c>
      <c r="T258">
        <v>0.32</v>
      </c>
      <c r="U258">
        <v>-0.91</v>
      </c>
    </row>
    <row r="259" spans="1:21" x14ac:dyDescent="0.25">
      <c r="A259" s="2" t="s">
        <v>71</v>
      </c>
      <c r="B259" t="s">
        <v>72</v>
      </c>
      <c r="C259">
        <v>8</v>
      </c>
      <c r="D259">
        <v>1</v>
      </c>
      <c r="E259">
        <v>8</v>
      </c>
      <c r="F259">
        <v>5.1309781299999999</v>
      </c>
      <c r="G259">
        <v>13.597092050000001</v>
      </c>
      <c r="H259">
        <v>2.134999999893</v>
      </c>
      <c r="I259">
        <v>2.1349999998929998E-3</v>
      </c>
      <c r="J259">
        <v>2.1349999998930001E-6</v>
      </c>
      <c r="K259">
        <v>4.7068636997641099E-3</v>
      </c>
      <c r="L259" s="3">
        <v>1.0999999999999999E-2</v>
      </c>
      <c r="M259" s="3">
        <v>3.01</v>
      </c>
      <c r="N259">
        <v>5.7561833111503402</v>
      </c>
      <c r="O259" s="2">
        <v>8.4800254561105906</v>
      </c>
      <c r="P259" s="2">
        <v>6.8528010659645897</v>
      </c>
      <c r="Q259" s="2">
        <v>16.469120562279699</v>
      </c>
      <c r="R259" s="2">
        <v>43.643169490041302</v>
      </c>
      <c r="S259">
        <v>9</v>
      </c>
      <c r="T259">
        <v>0.32</v>
      </c>
      <c r="U259">
        <v>-0.91</v>
      </c>
    </row>
    <row r="260" spans="1:21" x14ac:dyDescent="0.25">
      <c r="A260" s="2" t="s">
        <v>71</v>
      </c>
      <c r="B260" t="s">
        <v>72</v>
      </c>
      <c r="C260">
        <v>9</v>
      </c>
      <c r="D260">
        <v>1</v>
      </c>
      <c r="E260">
        <v>9</v>
      </c>
      <c r="F260">
        <v>5.1429944729999999</v>
      </c>
      <c r="G260">
        <v>13.628935350000001</v>
      </c>
      <c r="H260">
        <v>2.1400000002152999</v>
      </c>
      <c r="I260">
        <v>2.1400000002153E-3</v>
      </c>
      <c r="J260">
        <v>2.1400000002152999E-6</v>
      </c>
      <c r="K260">
        <v>4.7178868004746502E-3</v>
      </c>
      <c r="L260" s="3">
        <v>1.0999999999999999E-2</v>
      </c>
      <c r="M260" s="3">
        <v>3.01</v>
      </c>
      <c r="N260">
        <v>5.7606583930870299</v>
      </c>
      <c r="O260" s="2">
        <v>8.6224209856518694</v>
      </c>
      <c r="P260" s="2">
        <v>7.2050441633690196</v>
      </c>
      <c r="Q260" s="2">
        <v>17.3156552832709</v>
      </c>
      <c r="R260" s="2">
        <v>45.8864865006679</v>
      </c>
      <c r="S260">
        <v>9</v>
      </c>
      <c r="T260">
        <v>0.32</v>
      </c>
      <c r="U260">
        <v>-0.91</v>
      </c>
    </row>
    <row r="261" spans="1:21" x14ac:dyDescent="0.25">
      <c r="A261" s="2" t="s">
        <v>71</v>
      </c>
      <c r="B261" t="s">
        <v>72</v>
      </c>
      <c r="C261">
        <v>10</v>
      </c>
      <c r="D261">
        <v>1</v>
      </c>
      <c r="E261">
        <v>10</v>
      </c>
      <c r="F261">
        <v>5.1550108149999998</v>
      </c>
      <c r="G261">
        <v>13.66077866</v>
      </c>
      <c r="H261">
        <v>2.1450000001215002</v>
      </c>
      <c r="I261">
        <v>2.1450000001214998E-3</v>
      </c>
      <c r="J261">
        <v>2.1450000001214999E-6</v>
      </c>
      <c r="K261">
        <v>4.7289099002678602E-3</v>
      </c>
      <c r="L261" s="3">
        <v>1.0999999999999999E-2</v>
      </c>
      <c r="M261" s="3">
        <v>3.01</v>
      </c>
      <c r="N261">
        <v>5.76512649797567</v>
      </c>
      <c r="O261" s="2">
        <v>8.7258213623118692</v>
      </c>
      <c r="P261" s="2">
        <v>7.4682646853721302</v>
      </c>
      <c r="Q261" s="2">
        <v>17.948244857899901</v>
      </c>
      <c r="R261" s="2">
        <v>47.562848873434703</v>
      </c>
      <c r="S261">
        <v>9</v>
      </c>
      <c r="T261">
        <v>0.32</v>
      </c>
      <c r="U261">
        <v>-0.91</v>
      </c>
    </row>
    <row r="262" spans="1:21" x14ac:dyDescent="0.25">
      <c r="A262" t="s">
        <v>73</v>
      </c>
      <c r="B262" t="s">
        <v>74</v>
      </c>
      <c r="C262">
        <v>1</v>
      </c>
      <c r="D262">
        <v>2</v>
      </c>
      <c r="E262"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v>26.535605903070199</v>
      </c>
      <c r="P262">
        <v>135.784206817041</v>
      </c>
      <c r="Q262">
        <v>326.325899584333</v>
      </c>
      <c r="R262">
        <v>864.763633898482</v>
      </c>
      <c r="S262">
        <v>43</v>
      </c>
      <c r="T262">
        <v>0.48</v>
      </c>
      <c r="U262">
        <v>0</v>
      </c>
    </row>
    <row r="263" spans="1:21" x14ac:dyDescent="0.25">
      <c r="A263" t="s">
        <v>73</v>
      </c>
      <c r="B263" t="s">
        <v>74</v>
      </c>
      <c r="C263">
        <v>2</v>
      </c>
      <c r="D263">
        <v>2</v>
      </c>
      <c r="E263"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v>36.695900628394902</v>
      </c>
      <c r="P263">
        <v>336.55587698181699</v>
      </c>
      <c r="Q263">
        <v>808.834119158416</v>
      </c>
      <c r="R263">
        <v>2143.4104157697998</v>
      </c>
      <c r="S263">
        <v>43</v>
      </c>
      <c r="T263">
        <v>0.48</v>
      </c>
      <c r="U263">
        <v>0</v>
      </c>
    </row>
    <row r="264" spans="1:21" x14ac:dyDescent="0.25">
      <c r="A264" t="s">
        <v>73</v>
      </c>
      <c r="B264" t="s">
        <v>74</v>
      </c>
      <c r="C264">
        <v>3</v>
      </c>
      <c r="D264">
        <v>2</v>
      </c>
      <c r="E264"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v>40.586205198132298</v>
      </c>
      <c r="P264">
        <v>446.25971797324098</v>
      </c>
      <c r="Q264">
        <v>1072.4818985177601</v>
      </c>
      <c r="R264">
        <v>2842.07703107207</v>
      </c>
      <c r="S264">
        <v>43</v>
      </c>
      <c r="T264">
        <v>0.48</v>
      </c>
      <c r="U264">
        <v>0</v>
      </c>
    </row>
    <row r="265" spans="1:21" x14ac:dyDescent="0.25">
      <c r="A265" t="s">
        <v>73</v>
      </c>
      <c r="B265" t="s">
        <v>74</v>
      </c>
      <c r="C265">
        <v>4</v>
      </c>
      <c r="D265">
        <v>2</v>
      </c>
      <c r="E265"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v>42.075775142161099</v>
      </c>
      <c r="P265">
        <v>493.64868805058802</v>
      </c>
      <c r="Q265">
        <v>1186.3703149497401</v>
      </c>
      <c r="R265">
        <v>3143.8813346168199</v>
      </c>
      <c r="S265">
        <v>43</v>
      </c>
      <c r="T265">
        <v>0.48</v>
      </c>
      <c r="U265">
        <v>0</v>
      </c>
    </row>
    <row r="266" spans="1:21" x14ac:dyDescent="0.25">
      <c r="A266" t="s">
        <v>73</v>
      </c>
      <c r="B266" t="s">
        <v>74</v>
      </c>
      <c r="C266">
        <v>5</v>
      </c>
      <c r="D266">
        <v>2</v>
      </c>
      <c r="E266"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v>42.646120876892098</v>
      </c>
      <c r="P266">
        <v>512.61431466428701</v>
      </c>
      <c r="Q266">
        <v>1231.9498069317201</v>
      </c>
      <c r="R266">
        <v>3264.6669883690502</v>
      </c>
      <c r="S266">
        <v>43</v>
      </c>
      <c r="T266">
        <v>0.48</v>
      </c>
      <c r="U266">
        <v>0</v>
      </c>
    </row>
    <row r="267" spans="1:21" x14ac:dyDescent="0.25">
      <c r="A267" t="s">
        <v>73</v>
      </c>
      <c r="B267" t="s">
        <v>74</v>
      </c>
      <c r="C267">
        <v>6</v>
      </c>
      <c r="D267">
        <v>2</v>
      </c>
      <c r="E267"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v>42.864502201266902</v>
      </c>
      <c r="P267">
        <v>519.99819037492</v>
      </c>
      <c r="Q267">
        <v>1249.69524242951</v>
      </c>
      <c r="R267">
        <v>3311.6923924382099</v>
      </c>
      <c r="S267">
        <v>43</v>
      </c>
      <c r="T267">
        <v>0.48</v>
      </c>
      <c r="U267">
        <v>0</v>
      </c>
    </row>
    <row r="268" spans="1:21" x14ac:dyDescent="0.25">
      <c r="A268" t="s">
        <v>73</v>
      </c>
      <c r="B268" t="s">
        <v>74</v>
      </c>
      <c r="C268">
        <v>7</v>
      </c>
      <c r="D268">
        <v>2</v>
      </c>
      <c r="E268"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v>42.948118856799802</v>
      </c>
      <c r="P268">
        <v>522.84341833367</v>
      </c>
      <c r="Q268">
        <v>1256.5330890018499</v>
      </c>
      <c r="R268">
        <v>3329.8126858549099</v>
      </c>
      <c r="S268">
        <v>43</v>
      </c>
      <c r="T268">
        <v>0.48</v>
      </c>
      <c r="U268">
        <v>0</v>
      </c>
    </row>
    <row r="269" spans="1:21" x14ac:dyDescent="0.25">
      <c r="A269" t="s">
        <v>73</v>
      </c>
      <c r="B269" t="s">
        <v>74</v>
      </c>
      <c r="C269">
        <v>8</v>
      </c>
      <c r="D269">
        <v>2</v>
      </c>
      <c r="E269"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v>42.980135079352401</v>
      </c>
      <c r="P269">
        <v>523.93547948044704</v>
      </c>
      <c r="Q269">
        <v>1259.157605096</v>
      </c>
      <c r="R269">
        <v>3336.7676535044102</v>
      </c>
      <c r="S269">
        <v>43</v>
      </c>
      <c r="T269">
        <v>0.48</v>
      </c>
      <c r="U269">
        <v>0</v>
      </c>
    </row>
    <row r="270" spans="1:21" x14ac:dyDescent="0.25">
      <c r="A270" t="s">
        <v>73</v>
      </c>
      <c r="B270" t="s">
        <v>74</v>
      </c>
      <c r="C270">
        <v>9</v>
      </c>
      <c r="D270">
        <v>2</v>
      </c>
      <c r="E270"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v>42.992393863203603</v>
      </c>
      <c r="P270">
        <v>524.35400980298004</v>
      </c>
      <c r="Q270">
        <v>1260.1634458134599</v>
      </c>
      <c r="R270">
        <v>3339.4331314056599</v>
      </c>
      <c r="S270">
        <v>43</v>
      </c>
      <c r="T270">
        <v>0.48</v>
      </c>
      <c r="U270">
        <v>0</v>
      </c>
    </row>
    <row r="271" spans="1:21" x14ac:dyDescent="0.25">
      <c r="A271" t="s">
        <v>73</v>
      </c>
      <c r="B271" t="s">
        <v>74</v>
      </c>
      <c r="C271">
        <v>10</v>
      </c>
      <c r="D271">
        <v>2</v>
      </c>
      <c r="E271"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v>42.997087664330898</v>
      </c>
      <c r="P271">
        <v>524.51431896899305</v>
      </c>
      <c r="Q271">
        <v>1260.54871177359</v>
      </c>
      <c r="R271">
        <v>3340.4540862000299</v>
      </c>
      <c r="S271">
        <v>43</v>
      </c>
      <c r="T271">
        <v>0.48</v>
      </c>
      <c r="U271">
        <v>0</v>
      </c>
    </row>
    <row r="272" spans="1:21" x14ac:dyDescent="0.25">
      <c r="A272" t="s">
        <v>75</v>
      </c>
      <c r="B272" t="s">
        <v>76</v>
      </c>
      <c r="C272">
        <v>1</v>
      </c>
      <c r="D272">
        <v>2</v>
      </c>
      <c r="E272"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v>23.5034970272329</v>
      </c>
      <c r="P272">
        <v>44.509294570370898</v>
      </c>
      <c r="Q272">
        <v>106.96778315397999</v>
      </c>
      <c r="R272">
        <v>283.46462535804602</v>
      </c>
      <c r="S272">
        <v>122</v>
      </c>
      <c r="T272">
        <v>0.107</v>
      </c>
      <c r="U272">
        <v>0</v>
      </c>
    </row>
    <row r="273" spans="1:21" x14ac:dyDescent="0.25">
      <c r="A273" t="s">
        <v>75</v>
      </c>
      <c r="B273" t="s">
        <v>76</v>
      </c>
      <c r="C273">
        <v>2</v>
      </c>
      <c r="D273">
        <v>2</v>
      </c>
      <c r="E273"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v>42.479007394554699</v>
      </c>
      <c r="P273">
        <v>278.792139555956</v>
      </c>
      <c r="Q273">
        <v>670.01235173265104</v>
      </c>
      <c r="R273">
        <v>1775.5327320915301</v>
      </c>
      <c r="S273">
        <v>122</v>
      </c>
      <c r="T273">
        <v>0.107</v>
      </c>
      <c r="U273">
        <v>0</v>
      </c>
    </row>
    <row r="274" spans="1:21" x14ac:dyDescent="0.25">
      <c r="A274" t="s">
        <v>75</v>
      </c>
      <c r="B274" t="s">
        <v>76</v>
      </c>
      <c r="C274">
        <v>3</v>
      </c>
      <c r="D274">
        <v>2</v>
      </c>
      <c r="E274"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v>57.798855044593097</v>
      </c>
      <c r="P274">
        <v>724.25189217385002</v>
      </c>
      <c r="Q274">
        <v>1740.57171875475</v>
      </c>
      <c r="R274">
        <v>4612.5150547000803</v>
      </c>
      <c r="S274">
        <v>122</v>
      </c>
      <c r="T274">
        <v>0.107</v>
      </c>
      <c r="U274">
        <v>0</v>
      </c>
    </row>
    <row r="275" spans="1:21" x14ac:dyDescent="0.25">
      <c r="A275" t="s">
        <v>75</v>
      </c>
      <c r="B275" t="s">
        <v>76</v>
      </c>
      <c r="C275">
        <v>4</v>
      </c>
      <c r="D275">
        <v>2</v>
      </c>
      <c r="E275"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v>70.167309303645197</v>
      </c>
      <c r="P275">
        <v>1321.16773813174</v>
      </c>
      <c r="Q275">
        <v>3175.12073571675</v>
      </c>
      <c r="R275">
        <v>8414.0699496493799</v>
      </c>
      <c r="S275">
        <v>122</v>
      </c>
      <c r="T275">
        <v>0.107</v>
      </c>
      <c r="U275">
        <v>0</v>
      </c>
    </row>
    <row r="276" spans="1:21" x14ac:dyDescent="0.25">
      <c r="A276" t="s">
        <v>75</v>
      </c>
      <c r="B276" t="s">
        <v>76</v>
      </c>
      <c r="C276">
        <v>5</v>
      </c>
      <c r="D276">
        <v>2</v>
      </c>
      <c r="E276"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v>80.152960874917795</v>
      </c>
      <c r="P276">
        <v>1995.6789455852499</v>
      </c>
      <c r="Q276">
        <v>4796.1522364461598</v>
      </c>
      <c r="R276">
        <v>12709.803426582301</v>
      </c>
      <c r="S276">
        <v>122</v>
      </c>
      <c r="T276">
        <v>0.107</v>
      </c>
      <c r="U276">
        <v>0</v>
      </c>
    </row>
    <row r="277" spans="1:21" x14ac:dyDescent="0.25">
      <c r="A277" t="s">
        <v>75</v>
      </c>
      <c r="B277" t="s">
        <v>76</v>
      </c>
      <c r="C277">
        <v>6</v>
      </c>
      <c r="D277">
        <v>2</v>
      </c>
      <c r="E277"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v>88.214860544383896</v>
      </c>
      <c r="P277">
        <v>2686.0830699582202</v>
      </c>
      <c r="Q277">
        <v>6455.3786829084802</v>
      </c>
      <c r="R277">
        <v>17106.753509707502</v>
      </c>
      <c r="S277">
        <v>122</v>
      </c>
      <c r="T277">
        <v>0.107</v>
      </c>
      <c r="U277">
        <v>0</v>
      </c>
    </row>
    <row r="278" spans="1:21" x14ac:dyDescent="0.25">
      <c r="A278" t="s">
        <v>75</v>
      </c>
      <c r="B278" t="s">
        <v>76</v>
      </c>
      <c r="C278">
        <v>7</v>
      </c>
      <c r="D278">
        <v>2</v>
      </c>
      <c r="E278"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v>94.723622222742307</v>
      </c>
      <c r="P278">
        <v>3349.3515181154198</v>
      </c>
      <c r="Q278">
        <v>8049.3908149853996</v>
      </c>
      <c r="R278">
        <v>21330.885659711301</v>
      </c>
      <c r="S278">
        <v>122</v>
      </c>
      <c r="T278">
        <v>0.107</v>
      </c>
      <c r="U278">
        <v>0</v>
      </c>
    </row>
    <row r="279" spans="1:21" x14ac:dyDescent="0.25">
      <c r="A279" t="s">
        <v>75</v>
      </c>
      <c r="B279" t="s">
        <v>76</v>
      </c>
      <c r="C279">
        <v>8</v>
      </c>
      <c r="D279">
        <v>2</v>
      </c>
      <c r="E279"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v>99.978460452262397</v>
      </c>
      <c r="P279">
        <v>3959.5878935679498</v>
      </c>
      <c r="Q279">
        <v>9515.9526401536805</v>
      </c>
      <c r="R279">
        <v>25217.274496407299</v>
      </c>
      <c r="S279">
        <v>122</v>
      </c>
      <c r="T279">
        <v>0.107</v>
      </c>
      <c r="U279">
        <v>0</v>
      </c>
    </row>
    <row r="280" spans="1:21" x14ac:dyDescent="0.25">
      <c r="A280" t="s">
        <v>75</v>
      </c>
      <c r="B280" t="s">
        <v>76</v>
      </c>
      <c r="C280">
        <v>9</v>
      </c>
      <c r="D280">
        <v>2</v>
      </c>
      <c r="E280"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v>104.220945610421</v>
      </c>
      <c r="P280">
        <v>4504.0223547646401</v>
      </c>
      <c r="Q280">
        <v>10824.3748011647</v>
      </c>
      <c r="R280">
        <v>28684.5932230865</v>
      </c>
      <c r="S280">
        <v>122</v>
      </c>
      <c r="T280">
        <v>0.107</v>
      </c>
      <c r="U280">
        <v>0</v>
      </c>
    </row>
    <row r="281" spans="1:21" x14ac:dyDescent="0.25">
      <c r="A281" t="s">
        <v>75</v>
      </c>
      <c r="B281" t="s">
        <v>76</v>
      </c>
      <c r="C281">
        <v>10</v>
      </c>
      <c r="D281">
        <v>2</v>
      </c>
      <c r="E281"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v>107.646109151343</v>
      </c>
      <c r="P281">
        <v>4978.9166181902601</v>
      </c>
      <c r="Q281">
        <v>11965.6731992075</v>
      </c>
      <c r="R281">
        <v>31709.033977899999</v>
      </c>
      <c r="S281">
        <v>122</v>
      </c>
      <c r="T281">
        <v>0.107</v>
      </c>
      <c r="U281">
        <v>0</v>
      </c>
    </row>
    <row r="282" spans="1:21" x14ac:dyDescent="0.25">
      <c r="A282" t="s">
        <v>77</v>
      </c>
      <c r="B282" t="s">
        <v>78</v>
      </c>
      <c r="C282">
        <v>1</v>
      </c>
      <c r="D282">
        <v>3</v>
      </c>
      <c r="E282"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 s="2">
        <v>161.90511271394601</v>
      </c>
      <c r="P282" s="2">
        <v>89314.850985500598</v>
      </c>
      <c r="Q282" s="2">
        <v>214647.56305095099</v>
      </c>
      <c r="R282" s="2">
        <v>568816.04208501999</v>
      </c>
      <c r="S282">
        <v>208.40700000000001</v>
      </c>
      <c r="T282">
        <v>0.5</v>
      </c>
      <c r="U282">
        <v>0</v>
      </c>
    </row>
    <row r="283" spans="1:21" x14ac:dyDescent="0.25">
      <c r="A283" t="s">
        <v>77</v>
      </c>
      <c r="B283" t="s">
        <v>78</v>
      </c>
      <c r="C283">
        <v>2</v>
      </c>
      <c r="D283">
        <v>3</v>
      </c>
      <c r="E283"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 s="2">
        <v>198.031026442659</v>
      </c>
      <c r="P283" s="2">
        <v>160174.89061800399</v>
      </c>
      <c r="Q283" s="2">
        <v>384943.26031724003</v>
      </c>
      <c r="R283" s="2">
        <v>1020099.63984069</v>
      </c>
      <c r="S283">
        <v>208.40700000000001</v>
      </c>
      <c r="T283">
        <v>0.5</v>
      </c>
      <c r="U283">
        <v>0</v>
      </c>
    </row>
    <row r="284" spans="1:21" x14ac:dyDescent="0.25">
      <c r="A284" t="s">
        <v>77</v>
      </c>
      <c r="B284" t="s">
        <v>78</v>
      </c>
      <c r="C284">
        <v>3</v>
      </c>
      <c r="D284">
        <v>3</v>
      </c>
      <c r="E284"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 s="2">
        <v>206.09180735845499</v>
      </c>
      <c r="P284" s="2">
        <v>179822.55134623501</v>
      </c>
      <c r="Q284" s="2">
        <v>432161.86336514098</v>
      </c>
      <c r="R284" s="2">
        <v>1145228.9379176199</v>
      </c>
      <c r="S284">
        <v>208.40700000000001</v>
      </c>
      <c r="T284">
        <v>0.5</v>
      </c>
      <c r="U284">
        <v>0</v>
      </c>
    </row>
    <row r="285" spans="1:21" x14ac:dyDescent="0.25">
      <c r="A285" t="s">
        <v>77</v>
      </c>
      <c r="B285" t="s">
        <v>78</v>
      </c>
      <c r="C285">
        <v>4</v>
      </c>
      <c r="D285">
        <v>3</v>
      </c>
      <c r="E285"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 s="2">
        <v>207.89041069511799</v>
      </c>
      <c r="P285" s="2">
        <v>184411.487200932</v>
      </c>
      <c r="Q285" s="2">
        <v>443190.308101253</v>
      </c>
      <c r="R285" s="2">
        <v>1174454.3164683201</v>
      </c>
      <c r="S285">
        <v>208.40700000000001</v>
      </c>
      <c r="T285">
        <v>0.5</v>
      </c>
      <c r="U285">
        <v>0</v>
      </c>
    </row>
    <row r="286" spans="1:21" x14ac:dyDescent="0.25">
      <c r="A286" t="s">
        <v>77</v>
      </c>
      <c r="B286" t="s">
        <v>78</v>
      </c>
      <c r="C286">
        <v>5</v>
      </c>
      <c r="D286">
        <v>3</v>
      </c>
      <c r="E286"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 s="2">
        <v>208.29173334567099</v>
      </c>
      <c r="P286" s="2">
        <v>185445.77494766199</v>
      </c>
      <c r="Q286" s="2">
        <v>445675.97920610901</v>
      </c>
      <c r="R286" s="2">
        <v>1181041.3448961901</v>
      </c>
      <c r="S286">
        <v>208.40700000000001</v>
      </c>
      <c r="T286">
        <v>0.5</v>
      </c>
      <c r="U286">
        <v>0</v>
      </c>
    </row>
    <row r="287" spans="1:21" x14ac:dyDescent="0.25">
      <c r="A287" t="s">
        <v>77</v>
      </c>
      <c r="B287" t="s">
        <v>78</v>
      </c>
      <c r="C287">
        <v>6</v>
      </c>
      <c r="D287">
        <v>3</v>
      </c>
      <c r="E287"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 s="2">
        <v>208.38128053296001</v>
      </c>
      <c r="P287" s="2">
        <v>185677.073127838</v>
      </c>
      <c r="Q287" s="2">
        <v>446231.85082393099</v>
      </c>
      <c r="R287" s="2">
        <v>1182514.40468342</v>
      </c>
      <c r="S287">
        <v>208.40700000000001</v>
      </c>
      <c r="T287">
        <v>0.5</v>
      </c>
      <c r="U287">
        <v>0</v>
      </c>
    </row>
    <row r="288" spans="1:21" x14ac:dyDescent="0.25">
      <c r="A288" t="s">
        <v>77</v>
      </c>
      <c r="B288" t="s">
        <v>78</v>
      </c>
      <c r="C288">
        <v>7</v>
      </c>
      <c r="D288">
        <v>3</v>
      </c>
      <c r="E288"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 s="2">
        <v>208.40126121119999</v>
      </c>
      <c r="P288" s="2">
        <v>185728.708506097</v>
      </c>
      <c r="Q288" s="2">
        <v>446355.94449915102</v>
      </c>
      <c r="R288" s="2">
        <v>1182843.2529227501</v>
      </c>
      <c r="S288">
        <v>208.40700000000001</v>
      </c>
      <c r="T288">
        <v>0.5</v>
      </c>
      <c r="U288">
        <v>0</v>
      </c>
    </row>
    <row r="289" spans="1:21" x14ac:dyDescent="0.25">
      <c r="A289" t="s">
        <v>77</v>
      </c>
      <c r="B289" t="s">
        <v>78</v>
      </c>
      <c r="C289">
        <v>8</v>
      </c>
      <c r="D289">
        <v>3</v>
      </c>
      <c r="E289"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 s="2">
        <v>208.405719503136</v>
      </c>
      <c r="P289" s="2">
        <v>185740.23119995199</v>
      </c>
      <c r="Q289" s="2">
        <v>446383.63662569498</v>
      </c>
      <c r="R289" s="2">
        <v>1182916.63705809</v>
      </c>
      <c r="S289">
        <v>208.40700000000001</v>
      </c>
      <c r="T289">
        <v>0.5</v>
      </c>
      <c r="U289">
        <v>0</v>
      </c>
    </row>
    <row r="290" spans="1:21" x14ac:dyDescent="0.25">
      <c r="A290" t="s">
        <v>77</v>
      </c>
      <c r="B290" t="s">
        <v>78</v>
      </c>
      <c r="C290">
        <v>9</v>
      </c>
      <c r="D290">
        <v>3</v>
      </c>
      <c r="E290"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 s="2">
        <v>208.40671428253</v>
      </c>
      <c r="P290" s="2">
        <v>185742.802324388</v>
      </c>
      <c r="Q290" s="2">
        <v>446389.81572792202</v>
      </c>
      <c r="R290" s="2">
        <v>1182933.01167899</v>
      </c>
      <c r="S290">
        <v>208.40700000000001</v>
      </c>
      <c r="T290">
        <v>0.5</v>
      </c>
      <c r="U290">
        <v>0</v>
      </c>
    </row>
    <row r="291" spans="1:21" x14ac:dyDescent="0.25">
      <c r="A291" t="s">
        <v>77</v>
      </c>
      <c r="B291" t="s">
        <v>78</v>
      </c>
      <c r="C291">
        <v>10</v>
      </c>
      <c r="D291">
        <v>3</v>
      </c>
      <c r="E291"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 s="2">
        <v>208.406936247815</v>
      </c>
      <c r="P291" s="2">
        <v>185743.376022977</v>
      </c>
      <c r="Q291" s="2">
        <v>446391.19447963801</v>
      </c>
      <c r="R291" s="2">
        <v>1182936.6653710401</v>
      </c>
      <c r="S291">
        <v>208.40700000000001</v>
      </c>
      <c r="T291">
        <v>0.5</v>
      </c>
      <c r="U291">
        <v>0</v>
      </c>
    </row>
    <row r="292" spans="1:21" x14ac:dyDescent="0.25">
      <c r="A292" t="s">
        <v>79</v>
      </c>
      <c r="B292" t="s">
        <v>80</v>
      </c>
      <c r="C292">
        <v>1</v>
      </c>
      <c r="D292">
        <v>2</v>
      </c>
      <c r="E292"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v>17.264957666519699</v>
      </c>
      <c r="P292">
        <v>112.810972240502</v>
      </c>
      <c r="Q292">
        <v>271.11504984499402</v>
      </c>
      <c r="R292">
        <v>718.45488208923496</v>
      </c>
      <c r="S292">
        <v>59.9</v>
      </c>
      <c r="T292">
        <v>0.17</v>
      </c>
      <c r="U292">
        <v>0</v>
      </c>
    </row>
    <row r="293" spans="1:21" x14ac:dyDescent="0.25">
      <c r="A293" t="s">
        <v>79</v>
      </c>
      <c r="B293" t="s">
        <v>80</v>
      </c>
      <c r="C293">
        <v>2</v>
      </c>
      <c r="D293">
        <v>2</v>
      </c>
      <c r="E293"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v>29.553642157301201</v>
      </c>
      <c r="P293">
        <v>630.05276044964899</v>
      </c>
      <c r="Q293">
        <v>1514.18591792754</v>
      </c>
      <c r="R293">
        <v>4012.59268250798</v>
      </c>
      <c r="S293">
        <v>59.9</v>
      </c>
      <c r="T293">
        <v>0.17</v>
      </c>
      <c r="U293">
        <v>0</v>
      </c>
    </row>
    <row r="294" spans="1:21" x14ac:dyDescent="0.25">
      <c r="A294" t="s">
        <v>79</v>
      </c>
      <c r="B294" t="s">
        <v>80</v>
      </c>
      <c r="C294">
        <v>3</v>
      </c>
      <c r="D294">
        <v>2</v>
      </c>
      <c r="E294"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v>38.300363083632597</v>
      </c>
      <c r="P294">
        <v>1444.3449807438301</v>
      </c>
      <c r="Q294">
        <v>3471.1487160390002</v>
      </c>
      <c r="R294">
        <v>9198.5440975033398</v>
      </c>
      <c r="S294">
        <v>59.9</v>
      </c>
      <c r="T294">
        <v>0.17</v>
      </c>
      <c r="U294">
        <v>0</v>
      </c>
    </row>
    <row r="295" spans="1:21" x14ac:dyDescent="0.25">
      <c r="A295" t="s">
        <v>79</v>
      </c>
      <c r="B295" t="s">
        <v>80</v>
      </c>
      <c r="C295">
        <v>4</v>
      </c>
      <c r="D295">
        <v>2</v>
      </c>
      <c r="E295"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v>44.526019460481997</v>
      </c>
      <c r="P295">
        <v>2338.7622478785102</v>
      </c>
      <c r="Q295">
        <v>5620.6735108832199</v>
      </c>
      <c r="R295">
        <v>14894.784803840501</v>
      </c>
      <c r="S295">
        <v>59.9</v>
      </c>
      <c r="T295">
        <v>0.17</v>
      </c>
      <c r="U295">
        <v>0</v>
      </c>
    </row>
    <row r="296" spans="1:21" x14ac:dyDescent="0.25">
      <c r="A296" t="s">
        <v>79</v>
      </c>
      <c r="B296" t="s">
        <v>80</v>
      </c>
      <c r="C296">
        <v>5</v>
      </c>
      <c r="D296">
        <v>2</v>
      </c>
      <c r="E296"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v>48.957256909241202</v>
      </c>
      <c r="P296">
        <v>3168.3731836991401</v>
      </c>
      <c r="Q296">
        <v>7614.4512946386503</v>
      </c>
      <c r="R296">
        <v>20178.295930792399</v>
      </c>
      <c r="S296">
        <v>59.9</v>
      </c>
      <c r="T296">
        <v>0.17</v>
      </c>
      <c r="U296">
        <v>0</v>
      </c>
    </row>
    <row r="297" spans="1:21" x14ac:dyDescent="0.25">
      <c r="A297" t="s">
        <v>79</v>
      </c>
      <c r="B297" t="s">
        <v>80</v>
      </c>
      <c r="C297">
        <v>6</v>
      </c>
      <c r="D297">
        <v>2</v>
      </c>
      <c r="E297"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v>52.111280218382298</v>
      </c>
      <c r="P297">
        <v>3869.0403727461699</v>
      </c>
      <c r="Q297">
        <v>9298.3426405819901</v>
      </c>
      <c r="R297">
        <v>24640.607997542302</v>
      </c>
      <c r="S297">
        <v>59.9</v>
      </c>
      <c r="T297">
        <v>0.17</v>
      </c>
      <c r="U297">
        <v>0</v>
      </c>
    </row>
    <row r="298" spans="1:21" x14ac:dyDescent="0.25">
      <c r="A298" t="s">
        <v>79</v>
      </c>
      <c r="B298" t="s">
        <v>80</v>
      </c>
      <c r="C298">
        <v>7</v>
      </c>
      <c r="D298">
        <v>2</v>
      </c>
      <c r="E298"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v>54.356220407130401</v>
      </c>
      <c r="P298">
        <v>4428.1190491805901</v>
      </c>
      <c r="Q298">
        <v>10641.9587819769</v>
      </c>
      <c r="R298">
        <v>28201.190772238799</v>
      </c>
      <c r="S298">
        <v>59.9</v>
      </c>
      <c r="T298">
        <v>0.17</v>
      </c>
      <c r="U298">
        <v>0</v>
      </c>
    </row>
    <row r="299" spans="1:21" x14ac:dyDescent="0.25">
      <c r="A299" t="s">
        <v>79</v>
      </c>
      <c r="B299" t="s">
        <v>80</v>
      </c>
      <c r="C299">
        <v>8</v>
      </c>
      <c r="D299">
        <v>2</v>
      </c>
      <c r="E299"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v>55.954102209858497</v>
      </c>
      <c r="P299">
        <v>4858.2948320605801</v>
      </c>
      <c r="Q299">
        <v>11675.786666812201</v>
      </c>
      <c r="R299">
        <v>30940.834667052401</v>
      </c>
      <c r="S299">
        <v>59.9</v>
      </c>
      <c r="T299">
        <v>0.17</v>
      </c>
      <c r="U299">
        <v>0</v>
      </c>
    </row>
    <row r="300" spans="1:21" x14ac:dyDescent="0.25">
      <c r="A300" t="s">
        <v>79</v>
      </c>
      <c r="B300" t="s">
        <v>80</v>
      </c>
      <c r="C300">
        <v>9</v>
      </c>
      <c r="D300">
        <v>2</v>
      </c>
      <c r="E300"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v>57.091427056322701</v>
      </c>
      <c r="P300">
        <v>5181.4171851236797</v>
      </c>
      <c r="Q300">
        <v>12452.3364218305</v>
      </c>
      <c r="R300">
        <v>32998.691517850901</v>
      </c>
      <c r="S300">
        <v>59.9</v>
      </c>
      <c r="T300">
        <v>0.17</v>
      </c>
      <c r="U300">
        <v>0</v>
      </c>
    </row>
    <row r="301" spans="1:21" x14ac:dyDescent="0.25">
      <c r="A301" t="s">
        <v>79</v>
      </c>
      <c r="B301" t="s">
        <v>80</v>
      </c>
      <c r="C301">
        <v>10</v>
      </c>
      <c r="D301">
        <v>2</v>
      </c>
      <c r="E301"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v>57.900941129376498</v>
      </c>
      <c r="P301">
        <v>5420.2045735432703</v>
      </c>
      <c r="Q301">
        <v>13026.2066175036</v>
      </c>
      <c r="R301">
        <v>34519.447536384701</v>
      </c>
      <c r="S301">
        <v>59.9</v>
      </c>
      <c r="T301">
        <v>0.17</v>
      </c>
      <c r="U301">
        <v>0</v>
      </c>
    </row>
    <row r="302" spans="1:21" x14ac:dyDescent="0.25">
      <c r="A302" t="s">
        <v>81</v>
      </c>
      <c r="B302" t="s">
        <v>82</v>
      </c>
      <c r="C302">
        <v>1</v>
      </c>
      <c r="D302">
        <v>2</v>
      </c>
      <c r="E302"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v>30.5523457871634</v>
      </c>
      <c r="P302">
        <v>427.78439799613602</v>
      </c>
      <c r="Q302">
        <v>1028.0807450039299</v>
      </c>
      <c r="R302">
        <v>2724.4139742604202</v>
      </c>
      <c r="S302">
        <v>106</v>
      </c>
      <c r="T302">
        <v>0.17</v>
      </c>
      <c r="U302">
        <v>0</v>
      </c>
    </row>
    <row r="303" spans="1:21" x14ac:dyDescent="0.25">
      <c r="A303" t="s">
        <v>81</v>
      </c>
      <c r="B303" t="s">
        <v>82</v>
      </c>
      <c r="C303">
        <v>2</v>
      </c>
      <c r="D303">
        <v>2</v>
      </c>
      <c r="E303"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v>52.298598809247501</v>
      </c>
      <c r="P303">
        <v>2145.6625397832699</v>
      </c>
      <c r="Q303">
        <v>5156.6030756627397</v>
      </c>
      <c r="R303">
        <v>13664.998150506301</v>
      </c>
      <c r="S303">
        <v>106</v>
      </c>
      <c r="T303">
        <v>0.17</v>
      </c>
      <c r="U303">
        <v>0</v>
      </c>
    </row>
    <row r="304" spans="1:21" x14ac:dyDescent="0.25">
      <c r="A304" t="s">
        <v>81</v>
      </c>
      <c r="B304" t="s">
        <v>82</v>
      </c>
      <c r="C304">
        <v>3</v>
      </c>
      <c r="D304">
        <v>2</v>
      </c>
      <c r="E304"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v>67.776936341653695</v>
      </c>
      <c r="P304">
        <v>4670.2170051160701</v>
      </c>
      <c r="Q304">
        <v>11223.7851600963</v>
      </c>
      <c r="R304">
        <v>29743.030674255198</v>
      </c>
      <c r="S304">
        <v>106</v>
      </c>
      <c r="T304">
        <v>0.17</v>
      </c>
      <c r="U304">
        <v>0</v>
      </c>
    </row>
    <row r="305" spans="1:21" x14ac:dyDescent="0.25">
      <c r="A305" t="s">
        <v>81</v>
      </c>
      <c r="B305" t="s">
        <v>82</v>
      </c>
      <c r="C305">
        <v>4</v>
      </c>
      <c r="D305">
        <v>2</v>
      </c>
      <c r="E305"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v>78.793957642923104</v>
      </c>
      <c r="P305">
        <v>7337.8698250436901</v>
      </c>
      <c r="Q305">
        <v>17634.8710046712</v>
      </c>
      <c r="R305">
        <v>46732.408162378699</v>
      </c>
      <c r="S305">
        <v>106</v>
      </c>
      <c r="T305">
        <v>0.17</v>
      </c>
      <c r="U305">
        <v>0</v>
      </c>
    </row>
    <row r="306" spans="1:21" x14ac:dyDescent="0.25">
      <c r="A306" t="s">
        <v>81</v>
      </c>
      <c r="B306" t="s">
        <v>82</v>
      </c>
      <c r="C306">
        <v>5</v>
      </c>
      <c r="D306">
        <v>2</v>
      </c>
      <c r="E306"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v>86.635546450410104</v>
      </c>
      <c r="P306">
        <v>9753.9295879222991</v>
      </c>
      <c r="Q306">
        <v>23441.3111942377</v>
      </c>
      <c r="R306">
        <v>62119.474664729903</v>
      </c>
      <c r="S306">
        <v>106</v>
      </c>
      <c r="T306">
        <v>0.17</v>
      </c>
      <c r="U306">
        <v>0</v>
      </c>
    </row>
    <row r="307" spans="1:21" x14ac:dyDescent="0.25">
      <c r="A307" t="s">
        <v>81</v>
      </c>
      <c r="B307" t="s">
        <v>82</v>
      </c>
      <c r="C307">
        <v>6</v>
      </c>
      <c r="D307">
        <v>2</v>
      </c>
      <c r="E307"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v>92.216956646886899</v>
      </c>
      <c r="P307">
        <v>11763.149471421801</v>
      </c>
      <c r="Q307">
        <v>28270.0059394899</v>
      </c>
      <c r="R307">
        <v>74915.515739648297</v>
      </c>
      <c r="S307">
        <v>106</v>
      </c>
      <c r="T307">
        <v>0.17</v>
      </c>
      <c r="U307">
        <v>0</v>
      </c>
    </row>
    <row r="308" spans="1:21" x14ac:dyDescent="0.25">
      <c r="A308" t="s">
        <v>81</v>
      </c>
      <c r="B308" t="s">
        <v>82</v>
      </c>
      <c r="C308">
        <v>7</v>
      </c>
      <c r="D308">
        <v>2</v>
      </c>
      <c r="E308"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v>96.189638783903604</v>
      </c>
      <c r="P308">
        <v>13349.842458351101</v>
      </c>
      <c r="Q308">
        <v>32083.255127015502</v>
      </c>
      <c r="R308">
        <v>85020.626086591001</v>
      </c>
      <c r="S308">
        <v>106</v>
      </c>
      <c r="T308">
        <v>0.17</v>
      </c>
      <c r="U308">
        <v>0</v>
      </c>
    </row>
    <row r="309" spans="1:21" x14ac:dyDescent="0.25">
      <c r="A309" t="s">
        <v>81</v>
      </c>
      <c r="B309" t="s">
        <v>82</v>
      </c>
      <c r="C309">
        <v>8</v>
      </c>
      <c r="D309">
        <v>2</v>
      </c>
      <c r="E309"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v>99.017276030801298</v>
      </c>
      <c r="P309">
        <v>14562.1058367269</v>
      </c>
      <c r="Q309">
        <v>34996.649451398502</v>
      </c>
      <c r="R309">
        <v>92741.121046206099</v>
      </c>
      <c r="S309">
        <v>106</v>
      </c>
      <c r="T309">
        <v>0.17</v>
      </c>
      <c r="U309">
        <v>0</v>
      </c>
    </row>
    <row r="310" spans="1:21" x14ac:dyDescent="0.25">
      <c r="A310" t="s">
        <v>81</v>
      </c>
      <c r="B310" t="s">
        <v>82</v>
      </c>
      <c r="C310">
        <v>9</v>
      </c>
      <c r="D310">
        <v>2</v>
      </c>
      <c r="E310"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v>101.029904306681</v>
      </c>
      <c r="P310">
        <v>15468.246487307701</v>
      </c>
      <c r="Q310">
        <v>37174.3486837483</v>
      </c>
      <c r="R310">
        <v>98512.024011932997</v>
      </c>
      <c r="S310">
        <v>106</v>
      </c>
      <c r="T310">
        <v>0.17</v>
      </c>
      <c r="U310">
        <v>0</v>
      </c>
    </row>
    <row r="311" spans="1:21" x14ac:dyDescent="0.25">
      <c r="A311" t="s">
        <v>81</v>
      </c>
      <c r="B311" t="s">
        <v>82</v>
      </c>
      <c r="C311">
        <v>10</v>
      </c>
      <c r="D311">
        <v>2</v>
      </c>
      <c r="E311"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v>102.462433384205</v>
      </c>
      <c r="P311">
        <v>16135.6050920246</v>
      </c>
      <c r="Q311">
        <v>38778.190560020703</v>
      </c>
      <c r="R311">
        <v>102762.204984055</v>
      </c>
      <c r="S311">
        <v>106</v>
      </c>
      <c r="T311">
        <v>0.17</v>
      </c>
      <c r="U311">
        <v>0</v>
      </c>
    </row>
    <row r="312" spans="1:21" x14ac:dyDescent="0.25">
      <c r="A312" t="s">
        <v>83</v>
      </c>
      <c r="B312" t="s">
        <v>84</v>
      </c>
      <c r="C312">
        <v>1</v>
      </c>
      <c r="D312">
        <v>7</v>
      </c>
      <c r="E312"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v>155.68861302014199</v>
      </c>
      <c r="P312">
        <v>20378.1290795723</v>
      </c>
      <c r="Q312">
        <v>48974.114586811702</v>
      </c>
      <c r="R312">
        <v>129781.40365505101</v>
      </c>
      <c r="S312">
        <v>280</v>
      </c>
      <c r="T312">
        <v>0.11600000000000001</v>
      </c>
      <c r="U312">
        <v>0</v>
      </c>
    </row>
    <row r="313" spans="1:21" x14ac:dyDescent="0.25">
      <c r="A313" t="s">
        <v>83</v>
      </c>
      <c r="B313" t="s">
        <v>84</v>
      </c>
      <c r="C313">
        <v>2</v>
      </c>
      <c r="D313">
        <v>7</v>
      </c>
      <c r="E313"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v>224.809568096942</v>
      </c>
      <c r="P313">
        <v>61353.329181622103</v>
      </c>
      <c r="Q313">
        <v>147448.520023124</v>
      </c>
      <c r="R313">
        <v>390738.57806128002</v>
      </c>
      <c r="S313">
        <v>280</v>
      </c>
      <c r="T313">
        <v>0.11600000000000001</v>
      </c>
      <c r="U313">
        <v>0</v>
      </c>
    </row>
    <row r="314" spans="1:21" x14ac:dyDescent="0.25">
      <c r="A314" t="s">
        <v>83</v>
      </c>
      <c r="B314" t="s">
        <v>84</v>
      </c>
      <c r="C314">
        <v>3</v>
      </c>
      <c r="D314">
        <v>7</v>
      </c>
      <c r="E314"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v>255.49714593612001</v>
      </c>
      <c r="P314">
        <v>90064.142671856898</v>
      </c>
      <c r="Q314">
        <v>216448.31211693599</v>
      </c>
      <c r="R314">
        <v>573588.02710987895</v>
      </c>
      <c r="S314">
        <v>280</v>
      </c>
      <c r="T314">
        <v>0.11600000000000001</v>
      </c>
      <c r="U314">
        <v>0</v>
      </c>
    </row>
    <row r="315" spans="1:21" x14ac:dyDescent="0.25">
      <c r="A315" t="s">
        <v>83</v>
      </c>
      <c r="B315" t="s">
        <v>84</v>
      </c>
      <c r="C315">
        <v>4</v>
      </c>
      <c r="D315">
        <v>7</v>
      </c>
      <c r="E315"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v>269.12148652269298</v>
      </c>
      <c r="P315">
        <v>105254.065283895</v>
      </c>
      <c r="Q315">
        <v>252953.773813735</v>
      </c>
      <c r="R315">
        <v>670327.50060639798</v>
      </c>
      <c r="S315">
        <v>280</v>
      </c>
      <c r="T315">
        <v>0.11600000000000001</v>
      </c>
      <c r="U315">
        <v>0</v>
      </c>
    </row>
    <row r="316" spans="1:21" x14ac:dyDescent="0.25">
      <c r="A316" t="s">
        <v>83</v>
      </c>
      <c r="B316" t="s">
        <v>84</v>
      </c>
      <c r="C316">
        <v>5</v>
      </c>
      <c r="D316">
        <v>7</v>
      </c>
      <c r="E316"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v>275.17027464770302</v>
      </c>
      <c r="P316">
        <v>112511.861920271</v>
      </c>
      <c r="Q316">
        <v>270396.20745078399</v>
      </c>
      <c r="R316">
        <v>716549.94974457705</v>
      </c>
      <c r="S316">
        <v>280</v>
      </c>
      <c r="T316">
        <v>0.11600000000000001</v>
      </c>
      <c r="U316">
        <v>0</v>
      </c>
    </row>
    <row r="317" spans="1:21" x14ac:dyDescent="0.25">
      <c r="A317" t="s">
        <v>83</v>
      </c>
      <c r="B317" t="s">
        <v>84</v>
      </c>
      <c r="C317">
        <v>6</v>
      </c>
      <c r="D317">
        <v>7</v>
      </c>
      <c r="E317"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v>277.85575050972898</v>
      </c>
      <c r="P317">
        <v>115838.234017101</v>
      </c>
      <c r="Q317">
        <v>278390.37254770799</v>
      </c>
      <c r="R317">
        <v>737734.48725142505</v>
      </c>
      <c r="S317">
        <v>280</v>
      </c>
      <c r="T317">
        <v>0.11600000000000001</v>
      </c>
      <c r="U317">
        <v>0</v>
      </c>
    </row>
    <row r="318" spans="1:21" x14ac:dyDescent="0.25">
      <c r="A318" t="s">
        <v>83</v>
      </c>
      <c r="B318" t="s">
        <v>84</v>
      </c>
      <c r="C318">
        <v>7</v>
      </c>
      <c r="D318">
        <v>7</v>
      </c>
      <c r="E318"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v>279.04801918511998</v>
      </c>
      <c r="P318">
        <v>117335.81437704399</v>
      </c>
      <c r="Q318">
        <v>281989.460170737</v>
      </c>
      <c r="R318">
        <v>747272.06945245399</v>
      </c>
      <c r="S318">
        <v>280</v>
      </c>
      <c r="T318">
        <v>0.11600000000000001</v>
      </c>
      <c r="U318">
        <v>0</v>
      </c>
    </row>
    <row r="319" spans="1:21" x14ac:dyDescent="0.25">
      <c r="A319" t="s">
        <v>83</v>
      </c>
      <c r="B319" t="s">
        <v>84</v>
      </c>
      <c r="C319">
        <v>8</v>
      </c>
      <c r="D319">
        <v>7</v>
      </c>
      <c r="E319"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v>279.577349801872</v>
      </c>
      <c r="P319">
        <v>118004.81030881401</v>
      </c>
      <c r="Q319">
        <v>283597.23698345199</v>
      </c>
      <c r="R319">
        <v>751532.67800614797</v>
      </c>
      <c r="S319">
        <v>280</v>
      </c>
      <c r="T319">
        <v>0.11600000000000001</v>
      </c>
      <c r="U319">
        <v>0</v>
      </c>
    </row>
    <row r="320" spans="1:21" x14ac:dyDescent="0.25">
      <c r="A320" t="s">
        <v>83</v>
      </c>
      <c r="B320" t="s">
        <v>84</v>
      </c>
      <c r="C320">
        <v>9</v>
      </c>
      <c r="D320">
        <v>7</v>
      </c>
      <c r="E320"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v>279.812356313083</v>
      </c>
      <c r="P320">
        <v>118302.637183698</v>
      </c>
      <c r="Q320">
        <v>284312.994913959</v>
      </c>
      <c r="R320">
        <v>753429.43652199197</v>
      </c>
      <c r="S320">
        <v>280</v>
      </c>
      <c r="T320">
        <v>0.11600000000000001</v>
      </c>
      <c r="U320">
        <v>0</v>
      </c>
    </row>
    <row r="321" spans="1:21" x14ac:dyDescent="0.25">
      <c r="A321" t="s">
        <v>83</v>
      </c>
      <c r="B321" t="s">
        <v>84</v>
      </c>
      <c r="C321">
        <v>10</v>
      </c>
      <c r="D321">
        <v>7</v>
      </c>
      <c r="E321"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v>279.91669197507599</v>
      </c>
      <c r="P321">
        <v>118435.023621453</v>
      </c>
      <c r="Q321">
        <v>284631.15506237099</v>
      </c>
      <c r="R321">
        <v>754272.56091528304</v>
      </c>
      <c r="S321">
        <v>280</v>
      </c>
      <c r="T321">
        <v>0.11600000000000001</v>
      </c>
      <c r="U321">
        <v>0</v>
      </c>
    </row>
    <row r="322" spans="1:21" x14ac:dyDescent="0.25">
      <c r="A322" t="s">
        <v>85</v>
      </c>
      <c r="B322" t="s">
        <v>86</v>
      </c>
      <c r="C322">
        <v>1</v>
      </c>
      <c r="D322">
        <v>7</v>
      </c>
      <c r="E322"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 s="2">
        <v>190.349158270402</v>
      </c>
      <c r="P322" s="2">
        <v>75753.177550342094</v>
      </c>
      <c r="Q322" s="2">
        <v>182055.22122168299</v>
      </c>
      <c r="R322" s="2">
        <v>482446.33623745898</v>
      </c>
      <c r="S322">
        <v>309.24444444444401</v>
      </c>
      <c r="T322">
        <v>0.13655555555555601</v>
      </c>
      <c r="U322">
        <v>0</v>
      </c>
    </row>
    <row r="323" spans="1:21" x14ac:dyDescent="0.25">
      <c r="A323" t="s">
        <v>85</v>
      </c>
      <c r="B323" t="s">
        <v>86</v>
      </c>
      <c r="C323">
        <v>2</v>
      </c>
      <c r="D323">
        <v>7</v>
      </c>
      <c r="E323"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 s="2">
        <v>256.84427503747003</v>
      </c>
      <c r="P323" s="2">
        <v>194135.25529926401</v>
      </c>
      <c r="Q323" s="2">
        <v>466559.13313930202</v>
      </c>
      <c r="R323" s="2">
        <v>1236381.7028191499</v>
      </c>
      <c r="S323">
        <v>309.24444444444401</v>
      </c>
      <c r="T323">
        <v>0.13655555555555601</v>
      </c>
      <c r="U323">
        <v>1</v>
      </c>
    </row>
    <row r="324" spans="1:21" x14ac:dyDescent="0.25">
      <c r="A324" t="s">
        <v>85</v>
      </c>
      <c r="B324" t="s">
        <v>86</v>
      </c>
      <c r="C324">
        <v>3</v>
      </c>
      <c r="D324">
        <v>7</v>
      </c>
      <c r="E324"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 s="2">
        <v>286.15036021085899</v>
      </c>
      <c r="P324" s="2">
        <v>272579.99151432101</v>
      </c>
      <c r="Q324" s="2">
        <v>655082.89236798999</v>
      </c>
      <c r="R324" s="2">
        <v>1735969.6647751699</v>
      </c>
      <c r="S324">
        <v>309.24444444444401</v>
      </c>
      <c r="T324">
        <v>0.13655555555555601</v>
      </c>
      <c r="U324">
        <v>2</v>
      </c>
    </row>
    <row r="325" spans="1:21" x14ac:dyDescent="0.25">
      <c r="A325" t="s">
        <v>85</v>
      </c>
      <c r="B325" t="s">
        <v>86</v>
      </c>
      <c r="C325">
        <v>4</v>
      </c>
      <c r="D325">
        <v>7</v>
      </c>
      <c r="E325"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 s="2">
        <v>299.06629554485397</v>
      </c>
      <c r="P325" s="2">
        <v>313124.40229506698</v>
      </c>
      <c r="Q325" s="2">
        <v>752521.99542193499</v>
      </c>
      <c r="R325" s="2">
        <v>1994183.28786813</v>
      </c>
      <c r="S325">
        <v>309.24444444444401</v>
      </c>
      <c r="T325">
        <v>0.13655555555555601</v>
      </c>
      <c r="U325">
        <v>3</v>
      </c>
    </row>
    <row r="326" spans="1:21" x14ac:dyDescent="0.25">
      <c r="A326" t="s">
        <v>85</v>
      </c>
      <c r="B326" t="s">
        <v>86</v>
      </c>
      <c r="C326">
        <v>5</v>
      </c>
      <c r="D326">
        <v>7</v>
      </c>
      <c r="E326"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 s="2">
        <v>304.75867596908802</v>
      </c>
      <c r="P326" s="2">
        <v>332228.83883435198</v>
      </c>
      <c r="Q326" s="2">
        <v>798435.08491793403</v>
      </c>
      <c r="R326" s="2">
        <v>2115852.9750325298</v>
      </c>
      <c r="S326">
        <v>309.24444444444401</v>
      </c>
      <c r="T326">
        <v>0.13655555555555601</v>
      </c>
      <c r="U326">
        <v>4</v>
      </c>
    </row>
    <row r="327" spans="1:21" x14ac:dyDescent="0.25">
      <c r="A327" t="s">
        <v>85</v>
      </c>
      <c r="B327" t="s">
        <v>86</v>
      </c>
      <c r="C327">
        <v>6</v>
      </c>
      <c r="D327">
        <v>7</v>
      </c>
      <c r="E327"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 s="2">
        <v>307.26745245768899</v>
      </c>
      <c r="P327" s="2">
        <v>340895.13319316501</v>
      </c>
      <c r="Q327" s="2">
        <v>819262.51668628899</v>
      </c>
      <c r="R327" s="2">
        <v>2171045.6692186701</v>
      </c>
      <c r="S327">
        <v>309.24444444444401</v>
      </c>
      <c r="T327">
        <v>0.13655555555555601</v>
      </c>
      <c r="U327">
        <v>5</v>
      </c>
    </row>
    <row r="328" spans="1:21" x14ac:dyDescent="0.25">
      <c r="A328" t="s">
        <v>85</v>
      </c>
      <c r="B328" t="s">
        <v>86</v>
      </c>
      <c r="C328">
        <v>7</v>
      </c>
      <c r="D328">
        <v>7</v>
      </c>
      <c r="E328"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 s="2">
        <v>308.37313391266599</v>
      </c>
      <c r="P328" s="2">
        <v>344763.02418618998</v>
      </c>
      <c r="Q328" s="2">
        <v>828558.09705885698</v>
      </c>
      <c r="R328" s="2">
        <v>2195678.9572059698</v>
      </c>
      <c r="S328">
        <v>309.24444444444401</v>
      </c>
      <c r="T328">
        <v>0.13655555555555601</v>
      </c>
      <c r="U328">
        <v>6</v>
      </c>
    </row>
    <row r="329" spans="1:21" x14ac:dyDescent="0.25">
      <c r="A329" t="s">
        <v>85</v>
      </c>
      <c r="B329" t="s">
        <v>86</v>
      </c>
      <c r="C329">
        <v>8</v>
      </c>
      <c r="D329">
        <v>7</v>
      </c>
      <c r="E329"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 s="2">
        <v>308.86043578488801</v>
      </c>
      <c r="P329" s="2">
        <v>346477.15773133398</v>
      </c>
      <c r="Q329" s="2">
        <v>832677.62011856202</v>
      </c>
      <c r="R329" s="2">
        <v>2206595.69331419</v>
      </c>
      <c r="S329">
        <v>309.24444444444401</v>
      </c>
      <c r="T329">
        <v>0.13655555555555601</v>
      </c>
      <c r="U329">
        <v>7</v>
      </c>
    </row>
    <row r="330" spans="1:21" x14ac:dyDescent="0.25">
      <c r="A330" t="s">
        <v>85</v>
      </c>
      <c r="B330" t="s">
        <v>86</v>
      </c>
      <c r="C330">
        <v>9</v>
      </c>
      <c r="D330">
        <v>7</v>
      </c>
      <c r="E330"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 s="2">
        <v>309.07520208453201</v>
      </c>
      <c r="P330" s="2">
        <v>347234.46066853101</v>
      </c>
      <c r="Q330" s="2">
        <v>834497.6223709</v>
      </c>
      <c r="R330" s="2">
        <v>2211418.6992828799</v>
      </c>
      <c r="S330">
        <v>309.24444444444401</v>
      </c>
      <c r="T330">
        <v>0.13655555555555601</v>
      </c>
      <c r="U330">
        <v>8</v>
      </c>
    </row>
    <row r="331" spans="1:21" x14ac:dyDescent="0.25">
      <c r="A331" t="s">
        <v>85</v>
      </c>
      <c r="B331" t="s">
        <v>86</v>
      </c>
      <c r="C331">
        <v>10</v>
      </c>
      <c r="D331">
        <v>7</v>
      </c>
      <c r="E331"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 s="2">
        <v>309.16985504215899</v>
      </c>
      <c r="P331" s="2">
        <v>347568.58119228901</v>
      </c>
      <c r="Q331" s="2">
        <v>835300.60368250299</v>
      </c>
      <c r="R331" s="2">
        <v>2213546.5997586302</v>
      </c>
      <c r="S331">
        <v>309.24444444444401</v>
      </c>
      <c r="T331">
        <v>0.13655555555555601</v>
      </c>
      <c r="U331">
        <v>9</v>
      </c>
    </row>
    <row r="332" spans="1:21" x14ac:dyDescent="0.25">
      <c r="A332" t="s">
        <v>87</v>
      </c>
      <c r="B332" t="s">
        <v>88</v>
      </c>
      <c r="C332">
        <v>1</v>
      </c>
      <c r="D332">
        <v>2</v>
      </c>
      <c r="E332"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v>12.954731404434</v>
      </c>
      <c r="P332">
        <v>16.853081877749101</v>
      </c>
      <c r="Q332">
        <v>40.502479879233697</v>
      </c>
      <c r="R332">
        <v>107.331571679969</v>
      </c>
      <c r="S332">
        <v>31.4</v>
      </c>
      <c r="T332">
        <v>0.19</v>
      </c>
      <c r="U332">
        <v>-0.8</v>
      </c>
    </row>
    <row r="333" spans="1:21" x14ac:dyDescent="0.25">
      <c r="A333" t="s">
        <v>87</v>
      </c>
      <c r="B333" t="s">
        <v>88</v>
      </c>
      <c r="C333">
        <v>2</v>
      </c>
      <c r="D333">
        <v>2</v>
      </c>
      <c r="E333"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v>18.785992624935801</v>
      </c>
      <c r="P333">
        <v>53.338046744098101</v>
      </c>
      <c r="Q333">
        <v>128.18564466257601</v>
      </c>
      <c r="R333">
        <v>339.69195835582798</v>
      </c>
      <c r="S333">
        <v>31.4</v>
      </c>
      <c r="T333">
        <v>0.19</v>
      </c>
      <c r="U333">
        <v>-0.8</v>
      </c>
    </row>
    <row r="334" spans="1:21" x14ac:dyDescent="0.25">
      <c r="A334" t="s">
        <v>87</v>
      </c>
      <c r="B334" t="s">
        <v>88</v>
      </c>
      <c r="C334">
        <v>3</v>
      </c>
      <c r="D334">
        <v>2</v>
      </c>
      <c r="E334"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v>22.773767140673499</v>
      </c>
      <c r="P334">
        <v>96.872245124489197</v>
      </c>
      <c r="Q334">
        <v>232.810009912255</v>
      </c>
      <c r="R334">
        <v>616.94652626747495</v>
      </c>
      <c r="S334">
        <v>31.4</v>
      </c>
      <c r="T334">
        <v>0.19</v>
      </c>
      <c r="U334">
        <v>-0.8</v>
      </c>
    </row>
    <row r="335" spans="1:21" x14ac:dyDescent="0.25">
      <c r="A335" t="s">
        <v>87</v>
      </c>
      <c r="B335" t="s">
        <v>88</v>
      </c>
      <c r="C335">
        <v>4</v>
      </c>
      <c r="D335">
        <v>2</v>
      </c>
      <c r="E335"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v>25.500852240627101</v>
      </c>
      <c r="P335">
        <v>137.553233642766</v>
      </c>
      <c r="Q335">
        <v>330.57734593310698</v>
      </c>
      <c r="R335">
        <v>876.02996672273298</v>
      </c>
      <c r="S335">
        <v>31.4</v>
      </c>
      <c r="T335">
        <v>0.19</v>
      </c>
      <c r="U335">
        <v>-0.8</v>
      </c>
    </row>
    <row r="336" spans="1:21" x14ac:dyDescent="0.25">
      <c r="A336" t="s">
        <v>87</v>
      </c>
      <c r="B336" t="s">
        <v>88</v>
      </c>
      <c r="C336">
        <v>5</v>
      </c>
      <c r="D336">
        <v>2</v>
      </c>
      <c r="E336"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v>27.365800500123299</v>
      </c>
      <c r="P336">
        <v>171.19715208220501</v>
      </c>
      <c r="Q336">
        <v>411.43271348763602</v>
      </c>
      <c r="R336">
        <v>1090.2966907422399</v>
      </c>
      <c r="S336">
        <v>31.4</v>
      </c>
      <c r="T336">
        <v>0.19</v>
      </c>
      <c r="U336">
        <v>-0.8</v>
      </c>
    </row>
    <row r="337" spans="1:21" x14ac:dyDescent="0.25">
      <c r="A337" t="s">
        <v>87</v>
      </c>
      <c r="B337" t="s">
        <v>88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v>28.6411666449706</v>
      </c>
      <c r="P337">
        <v>197.16164515638499</v>
      </c>
      <c r="Q337">
        <v>473.832360385448</v>
      </c>
      <c r="R337">
        <v>1255.65575502144</v>
      </c>
      <c r="S337">
        <v>31.4</v>
      </c>
      <c r="T337">
        <v>0.19</v>
      </c>
      <c r="U337">
        <v>-0.8</v>
      </c>
    </row>
    <row r="338" spans="1:21" x14ac:dyDescent="0.25">
      <c r="A338" t="s">
        <v>87</v>
      </c>
      <c r="B338" t="s">
        <v>88</v>
      </c>
      <c r="C338">
        <v>7</v>
      </c>
      <c r="D338">
        <v>2</v>
      </c>
      <c r="E338"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v>29.513340334047498</v>
      </c>
      <c r="P338">
        <v>216.375549994924</v>
      </c>
      <c r="Q338">
        <v>520.00853159078201</v>
      </c>
      <c r="R338">
        <v>1378.02260871557</v>
      </c>
      <c r="S338">
        <v>31.4</v>
      </c>
      <c r="T338">
        <v>0.19</v>
      </c>
      <c r="U338">
        <v>-0.8</v>
      </c>
    </row>
    <row r="339" spans="1:21" x14ac:dyDescent="0.25">
      <c r="A339" t="s">
        <v>87</v>
      </c>
      <c r="B339" t="s">
        <v>88</v>
      </c>
      <c r="C339">
        <v>8</v>
      </c>
      <c r="D339">
        <v>2</v>
      </c>
      <c r="E339"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v>30.1097862621376</v>
      </c>
      <c r="P339">
        <v>230.2210527645</v>
      </c>
      <c r="Q339">
        <v>553.28299150324494</v>
      </c>
      <c r="R339">
        <v>1466.1999274836</v>
      </c>
      <c r="S339">
        <v>31.4</v>
      </c>
      <c r="T339">
        <v>0.19</v>
      </c>
      <c r="U339">
        <v>-0.8</v>
      </c>
    </row>
    <row r="340" spans="1:21" x14ac:dyDescent="0.25">
      <c r="A340" t="s">
        <v>87</v>
      </c>
      <c r="B340" t="s">
        <v>88</v>
      </c>
      <c r="C340">
        <v>9</v>
      </c>
      <c r="D340">
        <v>2</v>
      </c>
      <c r="E340"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v>30.517672615040301</v>
      </c>
      <c r="P340">
        <v>240.02728929089099</v>
      </c>
      <c r="Q340">
        <v>576.850010312162</v>
      </c>
      <c r="R340">
        <v>1528.65252732723</v>
      </c>
      <c r="S340">
        <v>31.4</v>
      </c>
      <c r="T340">
        <v>0.19</v>
      </c>
      <c r="U340">
        <v>-0.8</v>
      </c>
    </row>
    <row r="341" spans="1:21" x14ac:dyDescent="0.25">
      <c r="A341" t="s">
        <v>87</v>
      </c>
      <c r="B341" t="s">
        <v>88</v>
      </c>
      <c r="C341">
        <v>10</v>
      </c>
      <c r="D341">
        <v>2</v>
      </c>
      <c r="E341"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v>30.796610351134799</v>
      </c>
      <c r="P341">
        <v>246.89386414200499</v>
      </c>
      <c r="Q341">
        <v>593.35223297766095</v>
      </c>
      <c r="R341">
        <v>1572.3834173908001</v>
      </c>
      <c r="S341">
        <v>31.4</v>
      </c>
      <c r="T341">
        <v>0.19</v>
      </c>
      <c r="U341">
        <v>-0.8</v>
      </c>
    </row>
    <row r="342" spans="1:21" x14ac:dyDescent="0.25">
      <c r="A342" t="s">
        <v>89</v>
      </c>
      <c r="B342" t="s">
        <v>90</v>
      </c>
      <c r="C342">
        <v>1</v>
      </c>
      <c r="D342">
        <v>8</v>
      </c>
      <c r="E342"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v>89.301231321361897</v>
      </c>
      <c r="P342">
        <v>1424.3028297716801</v>
      </c>
      <c r="Q342">
        <v>3422.982047036</v>
      </c>
      <c r="R342">
        <v>9070.9024246453992</v>
      </c>
      <c r="S342">
        <v>114.3</v>
      </c>
      <c r="T342">
        <v>0.19</v>
      </c>
      <c r="U342">
        <v>0</v>
      </c>
    </row>
    <row r="343" spans="1:21" x14ac:dyDescent="0.25">
      <c r="A343" t="s">
        <v>89</v>
      </c>
      <c r="B343" t="s">
        <v>90</v>
      </c>
      <c r="C343">
        <v>2</v>
      </c>
      <c r="D343">
        <v>8</v>
      </c>
      <c r="E343"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v>108.832472130813</v>
      </c>
      <c r="P343">
        <v>2578.1339538074799</v>
      </c>
      <c r="Q343">
        <v>6195.9479783885499</v>
      </c>
      <c r="R343">
        <v>16419.262142729702</v>
      </c>
      <c r="S343">
        <v>114.3</v>
      </c>
      <c r="T343">
        <v>0.19</v>
      </c>
      <c r="U343">
        <v>0</v>
      </c>
    </row>
    <row r="344" spans="1:21" x14ac:dyDescent="0.25">
      <c r="A344" t="s">
        <v>89</v>
      </c>
      <c r="B344" t="s">
        <v>90</v>
      </c>
      <c r="C344">
        <v>3</v>
      </c>
      <c r="D344">
        <v>8</v>
      </c>
      <c r="E344"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v>113.104186662766</v>
      </c>
      <c r="P344">
        <v>2893.7835188385902</v>
      </c>
      <c r="Q344">
        <v>6954.53861773275</v>
      </c>
      <c r="R344">
        <v>18429.5273369918</v>
      </c>
      <c r="S344">
        <v>114.3</v>
      </c>
      <c r="T344">
        <v>0.19</v>
      </c>
      <c r="U344">
        <v>0</v>
      </c>
    </row>
    <row r="345" spans="1:21" x14ac:dyDescent="0.25">
      <c r="A345" t="s">
        <v>89</v>
      </c>
      <c r="B345" t="s">
        <v>90</v>
      </c>
      <c r="C345">
        <v>4</v>
      </c>
      <c r="D345">
        <v>8</v>
      </c>
      <c r="E345"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v>114.038461408571</v>
      </c>
      <c r="P345">
        <v>2966.0880787360102</v>
      </c>
      <c r="Q345">
        <v>7128.3058849699801</v>
      </c>
      <c r="R345">
        <v>18890.010595170399</v>
      </c>
      <c r="S345">
        <v>114.3</v>
      </c>
      <c r="T345">
        <v>0.19</v>
      </c>
      <c r="U345">
        <v>0</v>
      </c>
    </row>
    <row r="346" spans="1:21" x14ac:dyDescent="0.25">
      <c r="A346" t="s">
        <v>89</v>
      </c>
      <c r="B346" t="s">
        <v>90</v>
      </c>
      <c r="C346">
        <v>5</v>
      </c>
      <c r="D346">
        <v>8</v>
      </c>
      <c r="E346"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v>114.242798401158</v>
      </c>
      <c r="P346">
        <v>2982.0607992826299</v>
      </c>
      <c r="Q346">
        <v>7166.6926202418399</v>
      </c>
      <c r="R346">
        <v>18991.7354436409</v>
      </c>
      <c r="S346">
        <v>114.3</v>
      </c>
      <c r="T346">
        <v>0.19</v>
      </c>
      <c r="U346">
        <v>0</v>
      </c>
    </row>
    <row r="347" spans="1:21" x14ac:dyDescent="0.25">
      <c r="A347" t="s">
        <v>89</v>
      </c>
      <c r="B347" t="s">
        <v>90</v>
      </c>
      <c r="C347">
        <v>6</v>
      </c>
      <c r="D347">
        <v>8</v>
      </c>
      <c r="E347"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v>114.28748933038101</v>
      </c>
      <c r="P347">
        <v>2985.5618482265199</v>
      </c>
      <c r="Q347">
        <v>7175.1065806933902</v>
      </c>
      <c r="R347">
        <v>19014.032438837501</v>
      </c>
      <c r="S347">
        <v>114.3</v>
      </c>
      <c r="T347">
        <v>0.19</v>
      </c>
      <c r="U347">
        <v>0</v>
      </c>
    </row>
    <row r="348" spans="1:21" x14ac:dyDescent="0.25">
      <c r="A348" t="s">
        <v>89</v>
      </c>
      <c r="B348" t="s">
        <v>90</v>
      </c>
      <c r="C348">
        <v>7</v>
      </c>
      <c r="D348">
        <v>8</v>
      </c>
      <c r="E348"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v>114.29726376783999</v>
      </c>
      <c r="P348">
        <v>2986.32793426841</v>
      </c>
      <c r="Q348">
        <v>7176.9476911040801</v>
      </c>
      <c r="R348">
        <v>19018.911381425802</v>
      </c>
      <c r="S348">
        <v>114.3</v>
      </c>
      <c r="T348">
        <v>0.19</v>
      </c>
      <c r="U348">
        <v>0</v>
      </c>
    </row>
    <row r="349" spans="1:21" x14ac:dyDescent="0.25">
      <c r="A349" t="s">
        <v>89</v>
      </c>
      <c r="B349" t="s">
        <v>90</v>
      </c>
      <c r="C349">
        <v>8</v>
      </c>
      <c r="D349">
        <v>8</v>
      </c>
      <c r="E349"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v>114.299401553501</v>
      </c>
      <c r="P349">
        <v>2986.4955038558201</v>
      </c>
      <c r="Q349">
        <v>7177.3504058058697</v>
      </c>
      <c r="R349">
        <v>19019.978575385499</v>
      </c>
      <c r="S349">
        <v>114.3</v>
      </c>
      <c r="T349">
        <v>0.19</v>
      </c>
      <c r="U349">
        <v>0</v>
      </c>
    </row>
    <row r="350" spans="1:21" x14ac:dyDescent="0.25">
      <c r="A350" t="s">
        <v>89</v>
      </c>
      <c r="B350" t="s">
        <v>90</v>
      </c>
      <c r="C350">
        <v>9</v>
      </c>
      <c r="D350">
        <v>8</v>
      </c>
      <c r="E350"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v>114.299869112637</v>
      </c>
      <c r="P350">
        <v>2986.5321541518801</v>
      </c>
      <c r="Q350">
        <v>7177.4384863058904</v>
      </c>
      <c r="R350">
        <v>19020.211988710598</v>
      </c>
      <c r="S350">
        <v>114.3</v>
      </c>
      <c r="T350">
        <v>0.19</v>
      </c>
      <c r="U350">
        <v>0</v>
      </c>
    </row>
    <row r="351" spans="1:21" x14ac:dyDescent="0.25">
      <c r="A351" t="s">
        <v>89</v>
      </c>
      <c r="B351" t="s">
        <v>90</v>
      </c>
      <c r="C351">
        <v>10</v>
      </c>
      <c r="D351">
        <v>8</v>
      </c>
      <c r="E351"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v>114.299971373378</v>
      </c>
      <c r="P351">
        <v>2986.5401700472498</v>
      </c>
      <c r="Q351">
        <v>7177.4577506542901</v>
      </c>
      <c r="R351">
        <v>19020.263039233902</v>
      </c>
      <c r="S351">
        <v>114.3</v>
      </c>
      <c r="T351">
        <v>0.19</v>
      </c>
      <c r="U351">
        <v>0</v>
      </c>
    </row>
    <row r="352" spans="1:21" x14ac:dyDescent="0.25">
      <c r="A352" t="s">
        <v>91</v>
      </c>
      <c r="B352" t="s">
        <v>92</v>
      </c>
      <c r="C352">
        <v>1</v>
      </c>
      <c r="D352">
        <v>2</v>
      </c>
      <c r="E352"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v>19.031543165416199</v>
      </c>
      <c r="P352">
        <v>89.611833907615306</v>
      </c>
      <c r="Q352">
        <v>215.36129273639801</v>
      </c>
      <c r="R352">
        <v>570.70742575145505</v>
      </c>
      <c r="S352">
        <v>60.2</v>
      </c>
      <c r="T352">
        <v>0.19</v>
      </c>
      <c r="U352">
        <v>0</v>
      </c>
    </row>
    <row r="353" spans="1:21" x14ac:dyDescent="0.25">
      <c r="A353" t="s">
        <v>91</v>
      </c>
      <c r="B353" t="s">
        <v>92</v>
      </c>
      <c r="C353">
        <v>2</v>
      </c>
      <c r="D353">
        <v>2</v>
      </c>
      <c r="E353"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v>32.046481094003497</v>
      </c>
      <c r="P353">
        <v>427.84296656974999</v>
      </c>
      <c r="Q353">
        <v>1028.22150100877</v>
      </c>
      <c r="R353">
        <v>2724.78697767324</v>
      </c>
      <c r="S353">
        <v>60.2</v>
      </c>
      <c r="T353">
        <v>0.19</v>
      </c>
      <c r="U353">
        <v>0</v>
      </c>
    </row>
    <row r="354" spans="1:21" x14ac:dyDescent="0.25">
      <c r="A354" t="s">
        <v>91</v>
      </c>
      <c r="B354" t="s">
        <v>92</v>
      </c>
      <c r="C354">
        <v>3</v>
      </c>
      <c r="D354">
        <v>2</v>
      </c>
      <c r="E354"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v>40.946894886658498</v>
      </c>
      <c r="P354">
        <v>892.49598935225401</v>
      </c>
      <c r="Q354">
        <v>2144.90744857547</v>
      </c>
      <c r="R354">
        <v>5684.0047387249997</v>
      </c>
      <c r="S354">
        <v>60.2</v>
      </c>
      <c r="T354">
        <v>0.19</v>
      </c>
      <c r="U354">
        <v>0</v>
      </c>
    </row>
    <row r="355" spans="1:21" x14ac:dyDescent="0.25">
      <c r="A355" t="s">
        <v>91</v>
      </c>
      <c r="B355" t="s">
        <v>92</v>
      </c>
      <c r="C355">
        <v>4</v>
      </c>
      <c r="D355">
        <v>2</v>
      </c>
      <c r="E355"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v>47.033544405476697</v>
      </c>
      <c r="P355">
        <v>1352.59094710825</v>
      </c>
      <c r="Q355">
        <v>3250.6391422933202</v>
      </c>
      <c r="R355">
        <v>8614.1937270773105</v>
      </c>
      <c r="S355">
        <v>60.2</v>
      </c>
      <c r="T355">
        <v>0.19</v>
      </c>
      <c r="U355">
        <v>0</v>
      </c>
    </row>
    <row r="356" spans="1:21" x14ac:dyDescent="0.25">
      <c r="A356" t="s">
        <v>91</v>
      </c>
      <c r="B356" t="s">
        <v>92</v>
      </c>
      <c r="C356">
        <v>5</v>
      </c>
      <c r="D356">
        <v>2</v>
      </c>
      <c r="E356"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v>51.195969122797401</v>
      </c>
      <c r="P356">
        <v>1744.41839503647</v>
      </c>
      <c r="Q356">
        <v>4192.3056838175198</v>
      </c>
      <c r="R356">
        <v>11109.610062116401</v>
      </c>
      <c r="S356">
        <v>60.2</v>
      </c>
      <c r="T356">
        <v>0.19</v>
      </c>
      <c r="U356">
        <v>0</v>
      </c>
    </row>
    <row r="357" spans="1:21" x14ac:dyDescent="0.25">
      <c r="A357" t="s">
        <v>91</v>
      </c>
      <c r="B357" t="s">
        <v>92</v>
      </c>
      <c r="C357">
        <v>6</v>
      </c>
      <c r="D357">
        <v>2</v>
      </c>
      <c r="E357"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v>54.0424907557247</v>
      </c>
      <c r="P357">
        <v>2051.8680220091901</v>
      </c>
      <c r="Q357">
        <v>4931.1896707743199</v>
      </c>
      <c r="R357">
        <v>13067.652627551901</v>
      </c>
      <c r="S357">
        <v>60.2</v>
      </c>
      <c r="T357">
        <v>0.19</v>
      </c>
      <c r="U357">
        <v>0</v>
      </c>
    </row>
    <row r="358" spans="1:21" x14ac:dyDescent="0.25">
      <c r="A358" t="s">
        <v>91</v>
      </c>
      <c r="B358" t="s">
        <v>92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v>55.9891170509717</v>
      </c>
      <c r="P358">
        <v>2281.67723045515</v>
      </c>
      <c r="Q358">
        <v>5483.4828898225196</v>
      </c>
      <c r="R358">
        <v>14531.229658029701</v>
      </c>
      <c r="S358">
        <v>60.2</v>
      </c>
      <c r="T358">
        <v>0.19</v>
      </c>
      <c r="U358">
        <v>0</v>
      </c>
    </row>
    <row r="359" spans="1:21" x14ac:dyDescent="0.25">
      <c r="A359" t="s">
        <v>91</v>
      </c>
      <c r="B359" t="s">
        <v>92</v>
      </c>
      <c r="C359">
        <v>8</v>
      </c>
      <c r="D359">
        <v>2</v>
      </c>
      <c r="E359"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v>57.320339652449299</v>
      </c>
      <c r="P359">
        <v>2448.3281037301599</v>
      </c>
      <c r="Q359">
        <v>5883.98967491026</v>
      </c>
      <c r="R359">
        <v>15592.5726385122</v>
      </c>
      <c r="S359">
        <v>60.2</v>
      </c>
      <c r="T359">
        <v>0.19</v>
      </c>
      <c r="U359">
        <v>0</v>
      </c>
    </row>
    <row r="360" spans="1:21" x14ac:dyDescent="0.25">
      <c r="A360" t="s">
        <v>91</v>
      </c>
      <c r="B360" t="s">
        <v>92</v>
      </c>
      <c r="C360">
        <v>9</v>
      </c>
      <c r="D360">
        <v>2</v>
      </c>
      <c r="E360"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v>58.230711416670999</v>
      </c>
      <c r="P360">
        <v>2566.84497585294</v>
      </c>
      <c r="Q360">
        <v>6168.8175338931596</v>
      </c>
      <c r="R360">
        <v>16347.3664648169</v>
      </c>
      <c r="S360">
        <v>60.2</v>
      </c>
      <c r="T360">
        <v>0.19</v>
      </c>
      <c r="U360">
        <v>0</v>
      </c>
    </row>
    <row r="361" spans="1:21" x14ac:dyDescent="0.25">
      <c r="A361" t="s">
        <v>91</v>
      </c>
      <c r="B361" t="s">
        <v>92</v>
      </c>
      <c r="C361">
        <v>10</v>
      </c>
      <c r="D361">
        <v>2</v>
      </c>
      <c r="E361"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v>58.853279534258803</v>
      </c>
      <c r="P361">
        <v>2650.0578686173299</v>
      </c>
      <c r="Q361">
        <v>6368.8004532980704</v>
      </c>
      <c r="R361">
        <v>16877.321201239902</v>
      </c>
      <c r="S361">
        <v>60.2</v>
      </c>
      <c r="T361">
        <v>0.19</v>
      </c>
      <c r="U361">
        <v>0</v>
      </c>
    </row>
    <row r="362" spans="1:21" x14ac:dyDescent="0.25">
      <c r="A362" t="s">
        <v>93</v>
      </c>
      <c r="B362" t="s">
        <v>94</v>
      </c>
      <c r="C362">
        <v>1</v>
      </c>
      <c r="D362">
        <v>9</v>
      </c>
      <c r="E362"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 s="2">
        <v>1417.9064450384301</v>
      </c>
      <c r="P362" s="2">
        <v>48460919.603417397</v>
      </c>
      <c r="Q362" s="2">
        <v>116464598.90271001</v>
      </c>
      <c r="R362" s="2">
        <v>308631187.09218001</v>
      </c>
      <c r="S362">
        <v>1584.96</v>
      </c>
      <c r="T362" s="2">
        <v>0.25</v>
      </c>
      <c r="U362">
        <v>0</v>
      </c>
    </row>
    <row r="363" spans="1:21" x14ac:dyDescent="0.25">
      <c r="A363" t="s">
        <v>93</v>
      </c>
      <c r="B363" t="s">
        <v>94</v>
      </c>
      <c r="C363">
        <v>2</v>
      </c>
      <c r="D363">
        <v>9</v>
      </c>
      <c r="E363"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 s="2">
        <v>1567.35268484675</v>
      </c>
      <c r="P363" s="2">
        <v>65455948.114194199</v>
      </c>
      <c r="Q363" s="2">
        <v>157308214.64598501</v>
      </c>
      <c r="R363" s="2">
        <v>416866768.81185901</v>
      </c>
      <c r="S363">
        <v>1584.96</v>
      </c>
      <c r="T363" s="2">
        <v>0.25</v>
      </c>
      <c r="U363">
        <v>0</v>
      </c>
    </row>
    <row r="364" spans="1:21" x14ac:dyDescent="0.25">
      <c r="A364" t="s">
        <v>93</v>
      </c>
      <c r="B364" t="s">
        <v>94</v>
      </c>
      <c r="C364">
        <v>3</v>
      </c>
      <c r="D364">
        <v>9</v>
      </c>
      <c r="E364"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 s="2">
        <v>1583.10420263623</v>
      </c>
      <c r="P364" s="2">
        <v>67449296.887868494</v>
      </c>
      <c r="Q364" s="2">
        <v>162098766.85380501</v>
      </c>
      <c r="R364" s="2">
        <v>429561732.16258401</v>
      </c>
      <c r="S364">
        <v>1584.96</v>
      </c>
      <c r="T364" s="2">
        <v>0.25</v>
      </c>
      <c r="U364">
        <v>0</v>
      </c>
    </row>
    <row r="365" spans="1:21" x14ac:dyDescent="0.25">
      <c r="A365" t="s">
        <v>93</v>
      </c>
      <c r="B365" t="s">
        <v>94</v>
      </c>
      <c r="C365">
        <v>4</v>
      </c>
      <c r="D365">
        <v>9</v>
      </c>
      <c r="E365"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 s="2">
        <v>1584.7644003969101</v>
      </c>
      <c r="P365" s="2">
        <v>67661721.271844104</v>
      </c>
      <c r="Q365" s="2">
        <v>162609279.67278099</v>
      </c>
      <c r="R365" s="2">
        <v>430914591.13286901</v>
      </c>
      <c r="S365">
        <v>1584.96</v>
      </c>
      <c r="T365" s="2">
        <v>0.25</v>
      </c>
      <c r="U365">
        <v>0</v>
      </c>
    </row>
    <row r="366" spans="1:21" x14ac:dyDescent="0.25">
      <c r="A366" t="s">
        <v>93</v>
      </c>
      <c r="B366" t="s">
        <v>94</v>
      </c>
      <c r="C366">
        <v>5</v>
      </c>
      <c r="D366">
        <v>9</v>
      </c>
      <c r="E366"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 s="2">
        <v>1584.9393839535101</v>
      </c>
      <c r="P366" s="2">
        <v>67684136.583491698</v>
      </c>
      <c r="Q366" s="2">
        <v>162663149.68395001</v>
      </c>
      <c r="R366" s="2">
        <v>431057346.66246802</v>
      </c>
      <c r="S366">
        <v>1584.96</v>
      </c>
      <c r="T366" s="2">
        <v>0.25</v>
      </c>
      <c r="U366">
        <v>0</v>
      </c>
    </row>
    <row r="367" spans="1:21" x14ac:dyDescent="0.25">
      <c r="A367" t="s">
        <v>93</v>
      </c>
      <c r="B367" t="s">
        <v>94</v>
      </c>
      <c r="C367">
        <v>6</v>
      </c>
      <c r="D367">
        <v>9</v>
      </c>
      <c r="E367"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 s="2">
        <v>1584.9578270846901</v>
      </c>
      <c r="P367" s="2">
        <v>67686499.428307399</v>
      </c>
      <c r="Q367" s="2">
        <v>162668828.23433599</v>
      </c>
      <c r="R367" s="2">
        <v>431072394.82099098</v>
      </c>
      <c r="S367">
        <v>1584.96</v>
      </c>
      <c r="T367" s="2">
        <v>0.25</v>
      </c>
      <c r="U367">
        <v>0</v>
      </c>
    </row>
    <row r="368" spans="1:21" x14ac:dyDescent="0.25">
      <c r="A368" t="s">
        <v>93</v>
      </c>
      <c r="B368" t="s">
        <v>94</v>
      </c>
      <c r="C368">
        <v>7</v>
      </c>
      <c r="D368">
        <v>9</v>
      </c>
      <c r="E368"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 s="2">
        <v>1584.95977097641</v>
      </c>
      <c r="P368" s="2">
        <v>67686748.473522097</v>
      </c>
      <c r="Q368" s="2">
        <v>162669426.75684199</v>
      </c>
      <c r="R368" s="2">
        <v>431073980.90563202</v>
      </c>
      <c r="S368">
        <v>1584.96</v>
      </c>
      <c r="T368" s="2">
        <v>0.25</v>
      </c>
      <c r="U368">
        <v>0</v>
      </c>
    </row>
    <row r="369" spans="1:21" x14ac:dyDescent="0.25">
      <c r="A369" t="s">
        <v>93</v>
      </c>
      <c r="B369" t="s">
        <v>94</v>
      </c>
      <c r="C369">
        <v>8</v>
      </c>
      <c r="D369">
        <v>9</v>
      </c>
      <c r="E369"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 s="2">
        <v>1584.95997586109</v>
      </c>
      <c r="P369" s="2">
        <v>67686774.722730204</v>
      </c>
      <c r="Q369" s="2">
        <v>162669489.840736</v>
      </c>
      <c r="R369" s="2">
        <v>431074148.07795</v>
      </c>
      <c r="S369">
        <v>1584.96</v>
      </c>
      <c r="T369" s="2">
        <v>0.25</v>
      </c>
      <c r="U369">
        <v>0</v>
      </c>
    </row>
    <row r="370" spans="1:21" x14ac:dyDescent="0.25">
      <c r="A370" t="s">
        <v>93</v>
      </c>
      <c r="B370" t="s">
        <v>94</v>
      </c>
      <c r="C370">
        <v>9</v>
      </c>
      <c r="D370">
        <v>9</v>
      </c>
      <c r="E370"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 s="2">
        <v>1584.95999745578</v>
      </c>
      <c r="P370" s="2">
        <v>67686777.489376798</v>
      </c>
      <c r="Q370" s="2">
        <v>162669496.48973</v>
      </c>
      <c r="R370" s="2">
        <v>431074165.69778502</v>
      </c>
      <c r="S370">
        <v>1584.96</v>
      </c>
      <c r="T370" s="2">
        <v>0.25</v>
      </c>
      <c r="U370">
        <v>0</v>
      </c>
    </row>
    <row r="371" spans="1:21" x14ac:dyDescent="0.25">
      <c r="A371" t="s">
        <v>93</v>
      </c>
      <c r="B371" t="s">
        <v>94</v>
      </c>
      <c r="C371">
        <v>10</v>
      </c>
      <c r="D371">
        <v>9</v>
      </c>
      <c r="E371"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 s="2">
        <v>1584.9599997318401</v>
      </c>
      <c r="P371" s="2">
        <v>67686777.780979201</v>
      </c>
      <c r="Q371" s="2">
        <v>162669497.19052899</v>
      </c>
      <c r="R371" s="2">
        <v>431074167.55490202</v>
      </c>
      <c r="S371">
        <v>1584.96</v>
      </c>
      <c r="T371" s="2">
        <v>0.25</v>
      </c>
      <c r="U371">
        <v>0</v>
      </c>
    </row>
    <row r="372" spans="1:21" x14ac:dyDescent="0.25">
      <c r="A372" t="s">
        <v>95</v>
      </c>
      <c r="B372" s="2" t="s">
        <v>96</v>
      </c>
      <c r="C372">
        <v>1</v>
      </c>
      <c r="D372">
        <v>2</v>
      </c>
      <c r="E372"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v>44.836473739153099</v>
      </c>
      <c r="P372">
        <v>1216.8249786763299</v>
      </c>
      <c r="Q372">
        <v>2924.35707444442</v>
      </c>
      <c r="R372">
        <v>7749.5462472777299</v>
      </c>
      <c r="S372">
        <v>136</v>
      </c>
      <c r="T372">
        <v>0.2</v>
      </c>
      <c r="U372">
        <v>0</v>
      </c>
    </row>
    <row r="373" spans="1:21" x14ac:dyDescent="0.25">
      <c r="A373" t="s">
        <v>95</v>
      </c>
      <c r="B373" s="2" t="s">
        <v>96</v>
      </c>
      <c r="C373">
        <v>2</v>
      </c>
      <c r="D373">
        <v>2</v>
      </c>
      <c r="E373"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v>74.891260880057899</v>
      </c>
      <c r="P373">
        <v>5670.5762678765004</v>
      </c>
      <c r="Q373">
        <v>13627.917010037199</v>
      </c>
      <c r="R373">
        <v>36113.980076598702</v>
      </c>
      <c r="S373">
        <v>136</v>
      </c>
      <c r="T373">
        <v>0.2</v>
      </c>
      <c r="U373">
        <v>0</v>
      </c>
    </row>
    <row r="374" spans="1:21" x14ac:dyDescent="0.25">
      <c r="A374" t="s">
        <v>95</v>
      </c>
      <c r="B374" s="2" t="s">
        <v>96</v>
      </c>
      <c r="C374">
        <v>3</v>
      </c>
      <c r="D374">
        <v>2</v>
      </c>
      <c r="E374"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v>95.037587179940502</v>
      </c>
      <c r="P374">
        <v>11588.306520557901</v>
      </c>
      <c r="Q374">
        <v>27849.811392833199</v>
      </c>
      <c r="R374">
        <v>73802.000191007901</v>
      </c>
      <c r="S374">
        <v>136</v>
      </c>
      <c r="T374">
        <v>0.2</v>
      </c>
      <c r="U374">
        <v>0</v>
      </c>
    </row>
    <row r="375" spans="1:21" x14ac:dyDescent="0.25">
      <c r="A375" t="s">
        <v>95</v>
      </c>
      <c r="B375" s="2" t="s">
        <v>96</v>
      </c>
      <c r="C375">
        <v>4</v>
      </c>
      <c r="D375">
        <v>2</v>
      </c>
      <c r="E375"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v>108.542073552727</v>
      </c>
      <c r="P375">
        <v>17263.470632569901</v>
      </c>
      <c r="Q375">
        <v>41488.754223912299</v>
      </c>
      <c r="R375">
        <v>109945.198693367</v>
      </c>
      <c r="S375">
        <v>136</v>
      </c>
      <c r="T375">
        <v>0.2</v>
      </c>
      <c r="U375">
        <v>0</v>
      </c>
    </row>
    <row r="376" spans="1:21" x14ac:dyDescent="0.25">
      <c r="A376" t="s">
        <v>95</v>
      </c>
      <c r="B376" s="2" t="s">
        <v>96</v>
      </c>
      <c r="C376">
        <v>5</v>
      </c>
      <c r="D376">
        <v>2</v>
      </c>
      <c r="E376"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v>117.594401479821</v>
      </c>
      <c r="P376">
        <v>21952.991364567501</v>
      </c>
      <c r="Q376">
        <v>52758.931421695503</v>
      </c>
      <c r="R376">
        <v>139811.16826749299</v>
      </c>
      <c r="S376">
        <v>136</v>
      </c>
      <c r="T376">
        <v>0.2</v>
      </c>
      <c r="U376">
        <v>0</v>
      </c>
    </row>
    <row r="377" spans="1:21" x14ac:dyDescent="0.25">
      <c r="A377" t="s">
        <v>95</v>
      </c>
      <c r="B377" s="2" t="s">
        <v>96</v>
      </c>
      <c r="C377">
        <v>6</v>
      </c>
      <c r="D377">
        <v>2</v>
      </c>
      <c r="E377"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v>123.66235835264</v>
      </c>
      <c r="P377">
        <v>25529.7370900352</v>
      </c>
      <c r="Q377">
        <v>61354.811559805901</v>
      </c>
      <c r="R377">
        <v>162590.25063348599</v>
      </c>
      <c r="S377">
        <v>136</v>
      </c>
      <c r="T377">
        <v>0.2</v>
      </c>
      <c r="U377">
        <v>0</v>
      </c>
    </row>
    <row r="378" spans="1:21" x14ac:dyDescent="0.25">
      <c r="A378" t="s">
        <v>95</v>
      </c>
      <c r="B378" s="2" t="s">
        <v>96</v>
      </c>
      <c r="C378">
        <v>7</v>
      </c>
      <c r="D378">
        <v>2</v>
      </c>
      <c r="E378"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v>127.72983148297</v>
      </c>
      <c r="P378">
        <v>28132.659259456599</v>
      </c>
      <c r="Q378">
        <v>67610.332274589397</v>
      </c>
      <c r="R378">
        <v>179167.380527662</v>
      </c>
      <c r="S378">
        <v>136</v>
      </c>
      <c r="T378">
        <v>0.2</v>
      </c>
      <c r="U378">
        <v>0</v>
      </c>
    </row>
    <row r="379" spans="1:21" x14ac:dyDescent="0.25">
      <c r="A379" t="s">
        <v>95</v>
      </c>
      <c r="B379" s="2" t="s">
        <v>96</v>
      </c>
      <c r="C379">
        <v>8</v>
      </c>
      <c r="D379">
        <v>2</v>
      </c>
      <c r="E379"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v>130.45634025894199</v>
      </c>
      <c r="P379">
        <v>29972.9397906187</v>
      </c>
      <c r="Q379">
        <v>72033.020405236006</v>
      </c>
      <c r="R379">
        <v>190887.50407387601</v>
      </c>
      <c r="S379">
        <v>136</v>
      </c>
      <c r="T379">
        <v>0.2</v>
      </c>
      <c r="U379">
        <v>0</v>
      </c>
    </row>
    <row r="380" spans="1:21" x14ac:dyDescent="0.25">
      <c r="A380" t="s">
        <v>95</v>
      </c>
      <c r="B380" s="2" t="s">
        <v>96</v>
      </c>
      <c r="C380">
        <v>9</v>
      </c>
      <c r="D380">
        <v>2</v>
      </c>
      <c r="E380"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v>132.28397374716801</v>
      </c>
      <c r="P380">
        <v>31250.3917385233</v>
      </c>
      <c r="Q380">
        <v>75103.080361747794</v>
      </c>
      <c r="R380">
        <v>199023.16295863199</v>
      </c>
      <c r="S380">
        <v>136</v>
      </c>
      <c r="T380">
        <v>0.2</v>
      </c>
      <c r="U380">
        <v>0</v>
      </c>
    </row>
    <row r="381" spans="1:21" x14ac:dyDescent="0.25">
      <c r="A381" t="s">
        <v>95</v>
      </c>
      <c r="B381" s="2" t="s">
        <v>96</v>
      </c>
      <c r="C381">
        <v>10</v>
      </c>
      <c r="D381">
        <v>2</v>
      </c>
      <c r="E381"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v>133.50907311113201</v>
      </c>
      <c r="P381">
        <v>32126.699489423499</v>
      </c>
      <c r="Q381">
        <v>77209.083127669903</v>
      </c>
      <c r="R381">
        <v>204604.07028832499</v>
      </c>
      <c r="S381">
        <v>136</v>
      </c>
      <c r="T381">
        <v>0.2</v>
      </c>
      <c r="U381">
        <v>0</v>
      </c>
    </row>
    <row r="382" spans="1:21" x14ac:dyDescent="0.25">
      <c r="A382" t="s">
        <v>97</v>
      </c>
      <c r="B382" t="s">
        <v>98</v>
      </c>
      <c r="C382">
        <v>1</v>
      </c>
      <c r="D382">
        <v>2</v>
      </c>
      <c r="E382"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v>18.334128220497099</v>
      </c>
      <c r="P382">
        <v>400.58450789581099</v>
      </c>
      <c r="Q382">
        <v>962.71210741603102</v>
      </c>
      <c r="R382">
        <v>2551.1870846524798</v>
      </c>
      <c r="S382">
        <v>23.6</v>
      </c>
      <c r="T382">
        <v>0.75</v>
      </c>
      <c r="U382">
        <v>0</v>
      </c>
    </row>
    <row r="383" spans="1:21" x14ac:dyDescent="0.25">
      <c r="A383" t="s">
        <v>97</v>
      </c>
      <c r="B383" t="s">
        <v>98</v>
      </c>
      <c r="C383">
        <v>2</v>
      </c>
      <c r="D383">
        <v>2</v>
      </c>
      <c r="E383"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v>22.4250251865184</v>
      </c>
      <c r="P383">
        <v>733.01384085176198</v>
      </c>
      <c r="Q383">
        <v>1761.6290335298299</v>
      </c>
      <c r="R383">
        <v>4668.31693885405</v>
      </c>
      <c r="S383">
        <v>23.6</v>
      </c>
      <c r="T383">
        <v>0.75</v>
      </c>
      <c r="U383">
        <v>0</v>
      </c>
    </row>
    <row r="384" spans="1:21" x14ac:dyDescent="0.25">
      <c r="A384" t="s">
        <v>97</v>
      </c>
      <c r="B384" t="s">
        <v>98</v>
      </c>
      <c r="C384">
        <v>3</v>
      </c>
      <c r="D384">
        <v>2</v>
      </c>
      <c r="E384"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v>23.337827681697501</v>
      </c>
      <c r="P384">
        <v>826.21798263751305</v>
      </c>
      <c r="Q384">
        <v>1985.62360643478</v>
      </c>
      <c r="R384">
        <v>5261.9025570521699</v>
      </c>
      <c r="S384">
        <v>23.6</v>
      </c>
      <c r="T384">
        <v>0.75</v>
      </c>
      <c r="U384">
        <v>0</v>
      </c>
    </row>
    <row r="385" spans="1:21" x14ac:dyDescent="0.25">
      <c r="A385" t="s">
        <v>97</v>
      </c>
      <c r="B385" t="s">
        <v>98</v>
      </c>
      <c r="C385">
        <v>4</v>
      </c>
      <c r="D385">
        <v>2</v>
      </c>
      <c r="E385"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v>23.541501448630701</v>
      </c>
      <c r="P385">
        <v>848.03901153410004</v>
      </c>
      <c r="Q385">
        <v>2038.0653966212501</v>
      </c>
      <c r="R385">
        <v>5400.8733010463002</v>
      </c>
      <c r="S385">
        <v>23.6</v>
      </c>
      <c r="T385">
        <v>0.75</v>
      </c>
      <c r="U385">
        <v>0</v>
      </c>
    </row>
    <row r="386" spans="1:21" x14ac:dyDescent="0.25">
      <c r="A386" t="s">
        <v>97</v>
      </c>
      <c r="B386" t="s">
        <v>98</v>
      </c>
      <c r="C386">
        <v>5</v>
      </c>
      <c r="D386">
        <v>2</v>
      </c>
      <c r="E386"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v>23.586947208864501</v>
      </c>
      <c r="P386">
        <v>852.95979682542895</v>
      </c>
      <c r="Q386">
        <v>2049.8913646369301</v>
      </c>
      <c r="R386">
        <v>5432.2121162878802</v>
      </c>
      <c r="S386">
        <v>23.6</v>
      </c>
      <c r="T386">
        <v>0.75</v>
      </c>
      <c r="U386">
        <v>0</v>
      </c>
    </row>
    <row r="387" spans="1:21" x14ac:dyDescent="0.25">
      <c r="A387" t="s">
        <v>97</v>
      </c>
      <c r="B387" t="s">
        <v>98</v>
      </c>
      <c r="C387">
        <v>6</v>
      </c>
      <c r="D387">
        <v>2</v>
      </c>
      <c r="E387"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v>23.5970875286236</v>
      </c>
      <c r="P387">
        <v>854.06036367353499</v>
      </c>
      <c r="Q387">
        <v>2052.5363222146998</v>
      </c>
      <c r="R387">
        <v>5439.22125386895</v>
      </c>
      <c r="S387">
        <v>23.6</v>
      </c>
      <c r="T387">
        <v>0.75</v>
      </c>
      <c r="U387">
        <v>0</v>
      </c>
    </row>
    <row r="388" spans="1:21" x14ac:dyDescent="0.25">
      <c r="A388" t="s">
        <v>97</v>
      </c>
      <c r="B388" t="s">
        <v>98</v>
      </c>
      <c r="C388">
        <v>7</v>
      </c>
      <c r="D388">
        <v>2</v>
      </c>
      <c r="E388"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v>23.599350139795298</v>
      </c>
      <c r="P388">
        <v>854.30606244627199</v>
      </c>
      <c r="Q388">
        <v>2053.1268023222101</v>
      </c>
      <c r="R388">
        <v>5440.7860261538599</v>
      </c>
      <c r="S388">
        <v>23.6</v>
      </c>
      <c r="T388">
        <v>0.75</v>
      </c>
      <c r="U388">
        <v>0</v>
      </c>
    </row>
    <row r="389" spans="1:21" x14ac:dyDescent="0.25">
      <c r="A389" t="s">
        <v>97</v>
      </c>
      <c r="B389" t="s">
        <v>98</v>
      </c>
      <c r="C389">
        <v>8</v>
      </c>
      <c r="D389">
        <v>2</v>
      </c>
      <c r="E389"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v>23.599854996588501</v>
      </c>
      <c r="P389">
        <v>854.36089168224396</v>
      </c>
      <c r="Q389">
        <v>2053.2585716948902</v>
      </c>
      <c r="R389">
        <v>5441.1352149914601</v>
      </c>
      <c r="S389">
        <v>23.6</v>
      </c>
      <c r="T389">
        <v>0.75</v>
      </c>
      <c r="U389">
        <v>0</v>
      </c>
    </row>
    <row r="390" spans="1:21" x14ac:dyDescent="0.25">
      <c r="A390" t="s">
        <v>97</v>
      </c>
      <c r="B390" t="s">
        <v>98</v>
      </c>
      <c r="C390">
        <v>9</v>
      </c>
      <c r="D390">
        <v>2</v>
      </c>
      <c r="E390"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v>23.599967645365599</v>
      </c>
      <c r="P390">
        <v>854.37312605856403</v>
      </c>
      <c r="Q390">
        <v>2053.2879741854499</v>
      </c>
      <c r="R390">
        <v>5441.2131315914303</v>
      </c>
      <c r="S390">
        <v>23.6</v>
      </c>
      <c r="T390">
        <v>0.75</v>
      </c>
      <c r="U390">
        <v>0</v>
      </c>
    </row>
    <row r="391" spans="1:21" x14ac:dyDescent="0.25">
      <c r="A391" t="s">
        <v>97</v>
      </c>
      <c r="B391" t="s">
        <v>98</v>
      </c>
      <c r="C391">
        <v>10</v>
      </c>
      <c r="D391">
        <v>2</v>
      </c>
      <c r="E391"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v>23.5999927807052</v>
      </c>
      <c r="P391">
        <v>854.37585593284996</v>
      </c>
      <c r="Q391">
        <v>2053.2945348061799</v>
      </c>
      <c r="R391">
        <v>5441.2305172363704</v>
      </c>
      <c r="S391">
        <v>23.6</v>
      </c>
      <c r="T391">
        <v>0.75</v>
      </c>
      <c r="U391">
        <v>0</v>
      </c>
    </row>
    <row r="392" spans="1:21" x14ac:dyDescent="0.25">
      <c r="A392" t="s">
        <v>99</v>
      </c>
      <c r="B392" t="s">
        <v>100</v>
      </c>
      <c r="C392">
        <v>1</v>
      </c>
      <c r="D392">
        <v>2</v>
      </c>
      <c r="E392"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v>12.2209383148654</v>
      </c>
      <c r="P392">
        <v>35.165384491845202</v>
      </c>
      <c r="Q392">
        <v>84.511858908544198</v>
      </c>
      <c r="R392">
        <v>223.95642610764199</v>
      </c>
      <c r="S392">
        <v>42.4</v>
      </c>
      <c r="T392">
        <v>0.17</v>
      </c>
      <c r="U392">
        <v>0</v>
      </c>
    </row>
    <row r="393" spans="1:21" x14ac:dyDescent="0.25">
      <c r="A393" t="s">
        <v>99</v>
      </c>
      <c r="B393" t="s">
        <v>100</v>
      </c>
      <c r="C393">
        <v>2</v>
      </c>
      <c r="D393">
        <v>2</v>
      </c>
      <c r="E393"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v>20.919439523699001</v>
      </c>
      <c r="P393">
        <v>186.121437255704</v>
      </c>
      <c r="Q393">
        <v>447.29977711055898</v>
      </c>
      <c r="R393">
        <v>1185.34440934298</v>
      </c>
      <c r="S393">
        <v>42.4</v>
      </c>
      <c r="T393">
        <v>0.17</v>
      </c>
      <c r="U393">
        <v>0</v>
      </c>
    </row>
    <row r="394" spans="1:21" x14ac:dyDescent="0.25">
      <c r="A394" t="s">
        <v>99</v>
      </c>
      <c r="B394" t="s">
        <v>100</v>
      </c>
      <c r="C394">
        <v>3</v>
      </c>
      <c r="D394">
        <v>2</v>
      </c>
      <c r="E394"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v>27.110774536661499</v>
      </c>
      <c r="P394">
        <v>415.74901347532898</v>
      </c>
      <c r="Q394">
        <v>999.15648516060696</v>
      </c>
      <c r="R394">
        <v>2647.7646856756101</v>
      </c>
      <c r="S394">
        <v>42.4</v>
      </c>
      <c r="T394">
        <v>0.17</v>
      </c>
      <c r="U394">
        <v>0</v>
      </c>
    </row>
    <row r="395" spans="1:21" x14ac:dyDescent="0.25">
      <c r="A395" t="s">
        <v>99</v>
      </c>
      <c r="B395" t="s">
        <v>100</v>
      </c>
      <c r="C395">
        <v>4</v>
      </c>
      <c r="D395">
        <v>2</v>
      </c>
      <c r="E395"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v>31.517583057169201</v>
      </c>
      <c r="P395">
        <v>663.14006515420897</v>
      </c>
      <c r="Q395">
        <v>1593.7035932569299</v>
      </c>
      <c r="R395">
        <v>4223.3145221308696</v>
      </c>
      <c r="S395">
        <v>42.4</v>
      </c>
      <c r="T395">
        <v>0.17</v>
      </c>
      <c r="U395">
        <v>0</v>
      </c>
    </row>
    <row r="396" spans="1:21" x14ac:dyDescent="0.25">
      <c r="A396" t="s">
        <v>99</v>
      </c>
      <c r="B396" t="s">
        <v>100</v>
      </c>
      <c r="C396">
        <v>5</v>
      </c>
      <c r="D396">
        <v>2</v>
      </c>
      <c r="E396"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v>34.654218580164098</v>
      </c>
      <c r="P396">
        <v>889.88769421480004</v>
      </c>
      <c r="Q396">
        <v>2138.6390151761598</v>
      </c>
      <c r="R396">
        <v>5667.3933902168201</v>
      </c>
      <c r="S396">
        <v>42.4</v>
      </c>
      <c r="T396">
        <v>0.17</v>
      </c>
      <c r="U396">
        <v>0</v>
      </c>
    </row>
    <row r="397" spans="1:21" x14ac:dyDescent="0.25">
      <c r="A397" t="s">
        <v>99</v>
      </c>
      <c r="B397" t="s">
        <v>100</v>
      </c>
      <c r="C397">
        <v>6</v>
      </c>
      <c r="D397">
        <v>2</v>
      </c>
      <c r="E397"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v>36.886782658754697</v>
      </c>
      <c r="P397">
        <v>1079.9177194327999</v>
      </c>
      <c r="Q397">
        <v>2595.3321784013401</v>
      </c>
      <c r="R397">
        <v>6877.6302727635502</v>
      </c>
      <c r="S397">
        <v>42.4</v>
      </c>
      <c r="T397">
        <v>0.17</v>
      </c>
      <c r="U397">
        <v>0</v>
      </c>
    </row>
    <row r="398" spans="1:21" x14ac:dyDescent="0.25">
      <c r="A398" t="s">
        <v>99</v>
      </c>
      <c r="B398" t="s">
        <v>100</v>
      </c>
      <c r="C398">
        <v>7</v>
      </c>
      <c r="D398">
        <v>2</v>
      </c>
      <c r="E398"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v>38.475855513561399</v>
      </c>
      <c r="P398">
        <v>1230.7644492500699</v>
      </c>
      <c r="Q398">
        <v>2957.8573642154902</v>
      </c>
      <c r="R398">
        <v>7838.3220151710502</v>
      </c>
      <c r="S398">
        <v>42.4</v>
      </c>
      <c r="T398">
        <v>0.17</v>
      </c>
      <c r="U398">
        <v>0</v>
      </c>
    </row>
    <row r="399" spans="1:21" x14ac:dyDescent="0.25">
      <c r="A399" t="s">
        <v>99</v>
      </c>
      <c r="B399" t="s">
        <v>100</v>
      </c>
      <c r="C399">
        <v>8</v>
      </c>
      <c r="D399">
        <v>2</v>
      </c>
      <c r="E399"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v>39.606910412320502</v>
      </c>
      <c r="P399">
        <v>1346.42216903089</v>
      </c>
      <c r="Q399">
        <v>3235.8139125952798</v>
      </c>
      <c r="R399">
        <v>8574.9068683774894</v>
      </c>
      <c r="S399">
        <v>42.4</v>
      </c>
      <c r="T399">
        <v>0.17</v>
      </c>
      <c r="U399">
        <v>0</v>
      </c>
    </row>
    <row r="400" spans="1:21" x14ac:dyDescent="0.25">
      <c r="A400" t="s">
        <v>99</v>
      </c>
      <c r="B400" t="s">
        <v>100</v>
      </c>
      <c r="C400">
        <v>9</v>
      </c>
      <c r="D400">
        <v>2</v>
      </c>
      <c r="E400"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v>40.411961722672501</v>
      </c>
      <c r="P400">
        <v>1433.0853330964401</v>
      </c>
      <c r="Q400">
        <v>3444.08876014525</v>
      </c>
      <c r="R400">
        <v>9126.8352143849297</v>
      </c>
      <c r="S400">
        <v>42.4</v>
      </c>
      <c r="T400">
        <v>0.17</v>
      </c>
      <c r="U400">
        <v>0</v>
      </c>
    </row>
    <row r="401" spans="1:21" x14ac:dyDescent="0.25">
      <c r="A401" t="s">
        <v>99</v>
      </c>
      <c r="B401" t="s">
        <v>100</v>
      </c>
      <c r="C401">
        <v>10</v>
      </c>
      <c r="D401">
        <v>2</v>
      </c>
      <c r="E401"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v>40.9849733536822</v>
      </c>
      <c r="P401">
        <v>1497.0203221619099</v>
      </c>
      <c r="Q401">
        <v>3597.74170190318</v>
      </c>
      <c r="R401">
        <v>9534.0155100434204</v>
      </c>
      <c r="S401">
        <v>42.4</v>
      </c>
      <c r="T401">
        <v>0.17</v>
      </c>
      <c r="U401">
        <v>0</v>
      </c>
    </row>
    <row r="402" spans="1:21" x14ac:dyDescent="0.25">
      <c r="A402" t="s">
        <v>101</v>
      </c>
      <c r="B402" t="s">
        <v>102</v>
      </c>
      <c r="C402">
        <v>1</v>
      </c>
      <c r="D402">
        <v>2</v>
      </c>
      <c r="E402"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 s="2">
        <v>30.428790426725801</v>
      </c>
      <c r="P402" s="2">
        <v>475.733552301668</v>
      </c>
      <c r="Q402" s="2">
        <v>1143.3154345149401</v>
      </c>
      <c r="R402" s="2">
        <v>3029.7859014646001</v>
      </c>
      <c r="S402">
        <v>150.03333333333299</v>
      </c>
      <c r="T402">
        <v>0.11333333333333299</v>
      </c>
      <c r="U402">
        <v>0</v>
      </c>
    </row>
    <row r="403" spans="1:21" x14ac:dyDescent="0.25">
      <c r="A403" t="s">
        <v>101</v>
      </c>
      <c r="B403" t="s">
        <v>102</v>
      </c>
      <c r="C403">
        <v>2</v>
      </c>
      <c r="D403">
        <v>2</v>
      </c>
      <c r="E403"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 s="2">
        <v>43.244059241516503</v>
      </c>
      <c r="P403" s="2">
        <v>1414.33813769783</v>
      </c>
      <c r="Q403" s="2">
        <v>3399.0342170099302</v>
      </c>
      <c r="R403" s="2">
        <v>9007.4406750763101</v>
      </c>
      <c r="S403">
        <v>150.03333333333299</v>
      </c>
      <c r="T403">
        <v>0.11333333333333299</v>
      </c>
      <c r="U403">
        <v>1</v>
      </c>
    </row>
    <row r="404" spans="1:21" x14ac:dyDescent="0.25">
      <c r="A404" t="s">
        <v>101</v>
      </c>
      <c r="B404" t="s">
        <v>102</v>
      </c>
      <c r="C404">
        <v>3</v>
      </c>
      <c r="D404">
        <v>2</v>
      </c>
      <c r="E404"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 s="2">
        <v>54.686210356893497</v>
      </c>
      <c r="P404" s="2">
        <v>2928.2119927871399</v>
      </c>
      <c r="Q404" s="2">
        <v>7037.2794827857397</v>
      </c>
      <c r="R404" s="2">
        <v>18648.790629382202</v>
      </c>
      <c r="S404">
        <v>150.03333333333299</v>
      </c>
      <c r="T404">
        <v>0.11333333333333299</v>
      </c>
      <c r="U404">
        <v>2</v>
      </c>
    </row>
    <row r="405" spans="1:21" x14ac:dyDescent="0.25">
      <c r="A405" t="s">
        <v>101</v>
      </c>
      <c r="B405" t="s">
        <v>102</v>
      </c>
      <c r="C405">
        <v>4</v>
      </c>
      <c r="D405">
        <v>2</v>
      </c>
      <c r="E405"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 s="2">
        <v>64.902369224822905</v>
      </c>
      <c r="P405" s="2">
        <v>4979.5368821648699</v>
      </c>
      <c r="Q405" s="2">
        <v>11967.163860045401</v>
      </c>
      <c r="R405" s="2">
        <v>31712.9842291202</v>
      </c>
      <c r="S405">
        <v>150.03333333333299</v>
      </c>
      <c r="T405">
        <v>0.11333333333333299</v>
      </c>
      <c r="U405">
        <v>3</v>
      </c>
    </row>
    <row r="406" spans="1:21" x14ac:dyDescent="0.25">
      <c r="A406" t="s">
        <v>101</v>
      </c>
      <c r="B406" t="s">
        <v>102</v>
      </c>
      <c r="C406">
        <v>5</v>
      </c>
      <c r="D406">
        <v>2</v>
      </c>
      <c r="E406"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 s="2">
        <v>74.023897245416094</v>
      </c>
      <c r="P406" s="2">
        <v>7485.7320844855503</v>
      </c>
      <c r="Q406" s="2">
        <v>17990.223707006899</v>
      </c>
      <c r="R406" s="2">
        <v>47674.0928235682</v>
      </c>
      <c r="S406">
        <v>150.03333333333299</v>
      </c>
      <c r="T406">
        <v>0.11333333333333299</v>
      </c>
      <c r="U406">
        <v>4</v>
      </c>
    </row>
    <row r="407" spans="1:21" x14ac:dyDescent="0.25">
      <c r="A407" t="s">
        <v>101</v>
      </c>
      <c r="B407" t="s">
        <v>102</v>
      </c>
      <c r="C407">
        <v>6</v>
      </c>
      <c r="D407">
        <v>2</v>
      </c>
      <c r="E407"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 s="2">
        <v>82.168080837906501</v>
      </c>
      <c r="P407" s="2">
        <v>10345.726443339499</v>
      </c>
      <c r="Q407" s="2">
        <v>24863.557902762601</v>
      </c>
      <c r="R407" s="2">
        <v>65888.428442321005</v>
      </c>
      <c r="S407">
        <v>150.03333333333299</v>
      </c>
      <c r="T407">
        <v>0.11333333333333299</v>
      </c>
      <c r="U407">
        <v>5</v>
      </c>
    </row>
    <row r="408" spans="1:21" x14ac:dyDescent="0.25">
      <c r="A408" t="s">
        <v>101</v>
      </c>
      <c r="B408" t="s">
        <v>102</v>
      </c>
      <c r="C408">
        <v>7</v>
      </c>
      <c r="D408">
        <v>2</v>
      </c>
      <c r="E408"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 s="2">
        <v>89.439639532726702</v>
      </c>
      <c r="P408" s="2">
        <v>13456.260024838401</v>
      </c>
      <c r="Q408" s="2">
        <v>32339.005106557001</v>
      </c>
      <c r="R408" s="2">
        <v>85698.363532375995</v>
      </c>
      <c r="S408">
        <v>150.03333333333299</v>
      </c>
      <c r="T408">
        <v>0.11333333333333299</v>
      </c>
      <c r="U408">
        <v>6</v>
      </c>
    </row>
    <row r="409" spans="1:21" x14ac:dyDescent="0.25">
      <c r="A409" t="s">
        <v>101</v>
      </c>
      <c r="B409" t="s">
        <v>102</v>
      </c>
      <c r="C409">
        <v>8</v>
      </c>
      <c r="D409">
        <v>2</v>
      </c>
      <c r="E409"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 s="2">
        <v>95.932072476032502</v>
      </c>
      <c r="P409" s="2">
        <v>16721.264219498698</v>
      </c>
      <c r="Q409" s="2">
        <v>40185.686660655498</v>
      </c>
      <c r="R409" s="2">
        <v>106492.069650737</v>
      </c>
      <c r="S409">
        <v>150.03333333333299</v>
      </c>
      <c r="T409">
        <v>0.11333333333333299</v>
      </c>
      <c r="U409">
        <v>7</v>
      </c>
    </row>
    <row r="410" spans="1:21" x14ac:dyDescent="0.25">
      <c r="A410" t="s">
        <v>101</v>
      </c>
      <c r="B410" t="s">
        <v>102</v>
      </c>
      <c r="C410">
        <v>9</v>
      </c>
      <c r="D410">
        <v>2</v>
      </c>
      <c r="E410"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 s="2">
        <v>101.728860660297</v>
      </c>
      <c r="P410" s="2">
        <v>20056.641216152198</v>
      </c>
      <c r="Q410" s="2">
        <v>48201.492949176201</v>
      </c>
      <c r="R410" s="2">
        <v>127733.956315317</v>
      </c>
      <c r="S410">
        <v>150.03333333333299</v>
      </c>
      <c r="T410">
        <v>0.11333333333333299</v>
      </c>
      <c r="U410">
        <v>8</v>
      </c>
    </row>
    <row r="411" spans="1:21" x14ac:dyDescent="0.25">
      <c r="A411" t="s">
        <v>101</v>
      </c>
      <c r="B411" t="s">
        <v>102</v>
      </c>
      <c r="C411">
        <v>10</v>
      </c>
      <c r="D411">
        <v>2</v>
      </c>
      <c r="E411"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 s="2">
        <v>106.904540339497</v>
      </c>
      <c r="P411" s="2">
        <v>23392.105426918799</v>
      </c>
      <c r="Q411" s="2">
        <v>56217.508836622801</v>
      </c>
      <c r="R411" s="2">
        <v>148976.39841705101</v>
      </c>
      <c r="S411">
        <v>150.03333333333299</v>
      </c>
      <c r="T411">
        <v>0.11333333333333299</v>
      </c>
      <c r="U411">
        <v>9</v>
      </c>
    </row>
    <row r="412" spans="1:21" x14ac:dyDescent="0.25">
      <c r="A412" t="s">
        <v>103</v>
      </c>
      <c r="B412" t="s">
        <v>104</v>
      </c>
      <c r="C412">
        <v>1</v>
      </c>
      <c r="D412">
        <v>1</v>
      </c>
      <c r="E412"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v>10.773328173702801</v>
      </c>
      <c r="P412">
        <v>10.1046911210207</v>
      </c>
      <c r="Q412">
        <v>24.284285318482699</v>
      </c>
      <c r="R412">
        <v>64.353356093979201</v>
      </c>
      <c r="S412">
        <v>65.400000000000006</v>
      </c>
      <c r="T412">
        <v>0.18</v>
      </c>
      <c r="U412">
        <v>0</v>
      </c>
    </row>
    <row r="413" spans="1:21" x14ac:dyDescent="0.25">
      <c r="A413" t="s">
        <v>103</v>
      </c>
      <c r="B413" t="s">
        <v>104</v>
      </c>
      <c r="C413">
        <v>2</v>
      </c>
      <c r="D413">
        <v>1</v>
      </c>
      <c r="E413"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v>19.771968274954599</v>
      </c>
      <c r="P413">
        <v>55.320116515163498</v>
      </c>
      <c r="Q413">
        <v>132.949090399336</v>
      </c>
      <c r="R413">
        <v>352.31508955823898</v>
      </c>
      <c r="S413">
        <v>65.400000000000006</v>
      </c>
      <c r="T413">
        <v>0.18</v>
      </c>
      <c r="U413">
        <v>0</v>
      </c>
    </row>
    <row r="414" spans="1:21" x14ac:dyDescent="0.25">
      <c r="A414" t="s">
        <v>103</v>
      </c>
      <c r="B414" t="s">
        <v>104</v>
      </c>
      <c r="C414">
        <v>3</v>
      </c>
      <c r="D414">
        <v>1</v>
      </c>
      <c r="E414"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v>27.288264294741101</v>
      </c>
      <c r="P414">
        <v>136.356519656892</v>
      </c>
      <c r="Q414">
        <v>327.70132097306498</v>
      </c>
      <c r="R414">
        <v>868.40850057862201</v>
      </c>
      <c r="S414">
        <v>65.400000000000006</v>
      </c>
      <c r="T414">
        <v>0.18</v>
      </c>
      <c r="U414">
        <v>0</v>
      </c>
    </row>
    <row r="415" spans="1:21" x14ac:dyDescent="0.25">
      <c r="A415" t="s">
        <v>103</v>
      </c>
      <c r="B415" t="s">
        <v>104</v>
      </c>
      <c r="C415">
        <v>4</v>
      </c>
      <c r="D415">
        <v>1</v>
      </c>
      <c r="E415"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v>33.566402460217901</v>
      </c>
      <c r="P415">
        <v>243.48756422706001</v>
      </c>
      <c r="Q415">
        <v>585.165979877577</v>
      </c>
      <c r="R415">
        <v>1550.6898466755799</v>
      </c>
      <c r="S415">
        <v>65.400000000000006</v>
      </c>
      <c r="T415">
        <v>0.18</v>
      </c>
      <c r="U415">
        <v>0</v>
      </c>
    </row>
    <row r="416" spans="1:21" x14ac:dyDescent="0.25">
      <c r="A416" t="s">
        <v>103</v>
      </c>
      <c r="B416" t="s">
        <v>104</v>
      </c>
      <c r="C416">
        <v>5</v>
      </c>
      <c r="D416">
        <v>1</v>
      </c>
      <c r="E416"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v>38.810344252964804</v>
      </c>
      <c r="P416">
        <v>365.59170918238999</v>
      </c>
      <c r="Q416">
        <v>878.615018462845</v>
      </c>
      <c r="R416">
        <v>2328.3297989265402</v>
      </c>
      <c r="S416">
        <v>65.400000000000006</v>
      </c>
      <c r="T416">
        <v>0.18</v>
      </c>
      <c r="U416">
        <v>0</v>
      </c>
    </row>
    <row r="417" spans="1:21" x14ac:dyDescent="0.25">
      <c r="A417" t="s">
        <v>103</v>
      </c>
      <c r="B417" t="s">
        <v>104</v>
      </c>
      <c r="C417">
        <v>6</v>
      </c>
      <c r="D417">
        <v>1</v>
      </c>
      <c r="E417"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v>43.190452622820999</v>
      </c>
      <c r="P417">
        <v>493.20681311952802</v>
      </c>
      <c r="Q417">
        <v>1185.30837087125</v>
      </c>
      <c r="R417">
        <v>3141.0671828088198</v>
      </c>
      <c r="S417">
        <v>65.400000000000006</v>
      </c>
      <c r="T417">
        <v>0.18</v>
      </c>
      <c r="U417">
        <v>0</v>
      </c>
    </row>
    <row r="418" spans="1:21" x14ac:dyDescent="0.25">
      <c r="A418" t="s">
        <v>103</v>
      </c>
      <c r="B418" t="s">
        <v>104</v>
      </c>
      <c r="C418">
        <v>7</v>
      </c>
      <c r="D418">
        <v>1</v>
      </c>
      <c r="E418"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v>46.849026666915002</v>
      </c>
      <c r="P418">
        <v>619.30552591043602</v>
      </c>
      <c r="Q418">
        <v>1488.35742828752</v>
      </c>
      <c r="R418">
        <v>3944.1471849619202</v>
      </c>
      <c r="S418">
        <v>65.400000000000006</v>
      </c>
      <c r="T418">
        <v>0.18</v>
      </c>
      <c r="U418">
        <v>0</v>
      </c>
    </row>
    <row r="419" spans="1:21" x14ac:dyDescent="0.25">
      <c r="A419" t="s">
        <v>103</v>
      </c>
      <c r="B419" t="s">
        <v>104</v>
      </c>
      <c r="C419">
        <v>8</v>
      </c>
      <c r="D419">
        <v>1</v>
      </c>
      <c r="E419"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v>49.904924582189203</v>
      </c>
      <c r="P419">
        <v>739.17093633582795</v>
      </c>
      <c r="Q419">
        <v>1776.4261868200599</v>
      </c>
      <c r="R419">
        <v>4707.5293950731702</v>
      </c>
      <c r="S419">
        <v>65.400000000000006</v>
      </c>
      <c r="T419">
        <v>0.18</v>
      </c>
      <c r="U419">
        <v>0</v>
      </c>
    </row>
    <row r="420" spans="1:21" x14ac:dyDescent="0.25">
      <c r="A420" t="s">
        <v>103</v>
      </c>
      <c r="B420" t="s">
        <v>104</v>
      </c>
      <c r="C420">
        <v>9</v>
      </c>
      <c r="D420">
        <v>1</v>
      </c>
      <c r="E420"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v>52.457425079931603</v>
      </c>
      <c r="P420">
        <v>849.96856780960195</v>
      </c>
      <c r="Q420">
        <v>2042.70263833118</v>
      </c>
      <c r="R420">
        <v>5413.16199157762</v>
      </c>
      <c r="S420">
        <v>65.400000000000006</v>
      </c>
      <c r="T420">
        <v>0.18</v>
      </c>
      <c r="U420">
        <v>0</v>
      </c>
    </row>
    <row r="421" spans="1:21" x14ac:dyDescent="0.25">
      <c r="A421" t="s">
        <v>103</v>
      </c>
      <c r="B421" t="s">
        <v>104</v>
      </c>
      <c r="C421">
        <v>10</v>
      </c>
      <c r="D421">
        <v>1</v>
      </c>
      <c r="E421"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v>54.589452710308201</v>
      </c>
      <c r="P421">
        <v>950.27176421676802</v>
      </c>
      <c r="Q421">
        <v>2283.7581451977098</v>
      </c>
      <c r="R421">
        <v>6051.95908477393</v>
      </c>
      <c r="S421">
        <v>65.400000000000006</v>
      </c>
      <c r="T421">
        <v>0.18</v>
      </c>
      <c r="U421">
        <v>0</v>
      </c>
    </row>
    <row r="422" spans="1:21" x14ac:dyDescent="0.25">
      <c r="A422" s="2" t="s">
        <v>105</v>
      </c>
      <c r="B422" t="s">
        <v>106</v>
      </c>
      <c r="C422">
        <v>1</v>
      </c>
      <c r="D422">
        <v>3</v>
      </c>
      <c r="E422">
        <v>3</v>
      </c>
      <c r="F422">
        <v>350</v>
      </c>
      <c r="G422">
        <v>927.5</v>
      </c>
      <c r="H422">
        <v>145.63499999999999</v>
      </c>
      <c r="I422">
        <v>0.14563499999999999</v>
      </c>
      <c r="J422">
        <v>1.45635E-4</v>
      </c>
      <c r="K422">
        <v>0.32097954000000001</v>
      </c>
      <c r="L422" s="3">
        <v>1.2699999999999999E-2</v>
      </c>
      <c r="M422" s="3">
        <v>3.1</v>
      </c>
      <c r="N422">
        <v>20.394068965963701</v>
      </c>
      <c r="O422" s="2">
        <v>50.4054382989085</v>
      </c>
      <c r="P422" s="2">
        <v>2407.0418820143</v>
      </c>
      <c r="Q422" s="2">
        <v>5784.7678010437403</v>
      </c>
      <c r="R422" s="2">
        <v>15329.6346727659</v>
      </c>
      <c r="S422">
        <v>109.97499999999999</v>
      </c>
      <c r="T422">
        <v>0.14749999999999999</v>
      </c>
      <c r="U422">
        <v>-1.1566666666666701</v>
      </c>
    </row>
    <row r="423" spans="1:21" x14ac:dyDescent="0.25">
      <c r="A423" s="2" t="s">
        <v>105</v>
      </c>
      <c r="B423" t="s">
        <v>106</v>
      </c>
      <c r="C423">
        <v>2</v>
      </c>
      <c r="D423">
        <v>3</v>
      </c>
      <c r="E423">
        <v>6</v>
      </c>
      <c r="F423">
        <v>1200</v>
      </c>
      <c r="G423">
        <v>3180</v>
      </c>
      <c r="H423">
        <v>499.32</v>
      </c>
      <c r="I423">
        <v>0.49931999999999999</v>
      </c>
      <c r="J423">
        <v>4.9932000000000004E-4</v>
      </c>
      <c r="K423">
        <v>1.10050128</v>
      </c>
      <c r="L423" s="3">
        <v>1.2699999999999999E-2</v>
      </c>
      <c r="M423" s="3">
        <v>3.1</v>
      </c>
      <c r="N423">
        <v>30.347369004339502</v>
      </c>
      <c r="O423" s="2">
        <v>71.705825304169807</v>
      </c>
      <c r="P423" s="2">
        <v>7178.31448404197</v>
      </c>
      <c r="Q423" s="2">
        <v>17251.416688396999</v>
      </c>
      <c r="R423" s="2">
        <v>45716.254224251898</v>
      </c>
      <c r="S423">
        <v>109.97499999999999</v>
      </c>
      <c r="T423">
        <v>0.14749999999999999</v>
      </c>
      <c r="U423">
        <v>-1.1566666666666701</v>
      </c>
    </row>
    <row r="424" spans="1:21" x14ac:dyDescent="0.25">
      <c r="A424" s="2" t="s">
        <v>105</v>
      </c>
      <c r="B424" t="s">
        <v>106</v>
      </c>
      <c r="C424">
        <v>3</v>
      </c>
      <c r="D424">
        <v>3</v>
      </c>
      <c r="E424">
        <v>9</v>
      </c>
      <c r="F424">
        <v>1800</v>
      </c>
      <c r="G424">
        <v>4770</v>
      </c>
      <c r="H424">
        <v>748.98</v>
      </c>
      <c r="I424">
        <v>0.74897999999999998</v>
      </c>
      <c r="J424">
        <v>7.4898E-4</v>
      </c>
      <c r="K424">
        <v>1.65075192</v>
      </c>
      <c r="L424" s="3">
        <v>1.2699999999999999E-2</v>
      </c>
      <c r="M424" s="3">
        <v>3.1</v>
      </c>
      <c r="N424">
        <v>34.587938444619503</v>
      </c>
      <c r="O424" s="2">
        <v>85.389797589938695</v>
      </c>
      <c r="P424" s="2">
        <v>12335.6566189309</v>
      </c>
      <c r="Q424" s="2">
        <v>29645.894301684599</v>
      </c>
      <c r="R424" s="2">
        <v>78561.619899464102</v>
      </c>
      <c r="S424">
        <v>109.97499999999999</v>
      </c>
      <c r="T424">
        <v>0.14749999999999999</v>
      </c>
      <c r="U424">
        <v>-1.1566666666666701</v>
      </c>
    </row>
    <row r="425" spans="1:21" x14ac:dyDescent="0.25">
      <c r="A425" s="2" t="s">
        <v>105</v>
      </c>
      <c r="B425" t="s">
        <v>106</v>
      </c>
      <c r="C425">
        <v>4</v>
      </c>
      <c r="D425">
        <v>3</v>
      </c>
      <c r="E425">
        <v>12</v>
      </c>
      <c r="F425">
        <v>3129.99</v>
      </c>
      <c r="G425">
        <v>8294.48</v>
      </c>
      <c r="H425">
        <v>1302.388839</v>
      </c>
      <c r="I425">
        <v>1.302388839</v>
      </c>
      <c r="J425">
        <v>1.3023888389999999E-3</v>
      </c>
      <c r="K425">
        <v>2.870465001156</v>
      </c>
      <c r="L425" s="3">
        <v>1.2699999999999999E-2</v>
      </c>
      <c r="M425" s="3">
        <v>3.1</v>
      </c>
      <c r="N425">
        <v>41.345787911509902</v>
      </c>
      <c r="O425" s="2">
        <v>94.180769203338897</v>
      </c>
      <c r="P425" s="2">
        <v>16714.2403759017</v>
      </c>
      <c r="Q425" s="2">
        <v>40168.806478975501</v>
      </c>
      <c r="R425" s="2">
        <v>106447.33716928501</v>
      </c>
      <c r="S425">
        <v>109.97499999999999</v>
      </c>
      <c r="T425">
        <v>0.14749999999999999</v>
      </c>
      <c r="U425">
        <v>-1.1566666666666701</v>
      </c>
    </row>
    <row r="426" spans="1:21" x14ac:dyDescent="0.25">
      <c r="A426" s="2" t="s">
        <v>105</v>
      </c>
      <c r="B426" t="s">
        <v>106</v>
      </c>
      <c r="C426">
        <v>5</v>
      </c>
      <c r="D426">
        <v>3</v>
      </c>
      <c r="E426">
        <v>15</v>
      </c>
      <c r="F426">
        <v>7000</v>
      </c>
      <c r="G426">
        <v>18550</v>
      </c>
      <c r="H426">
        <v>2912.7</v>
      </c>
      <c r="I426">
        <v>2.9127000000000001</v>
      </c>
      <c r="J426">
        <v>2.9126999999999998E-3</v>
      </c>
      <c r="K426">
        <v>6.4195907999999999</v>
      </c>
      <c r="L426" s="3">
        <v>1.2699999999999999E-2</v>
      </c>
      <c r="M426" s="3">
        <v>3.1</v>
      </c>
      <c r="N426">
        <v>53.603232342129701</v>
      </c>
      <c r="O426" s="2">
        <v>99.828338512433405</v>
      </c>
      <c r="P426" s="2">
        <v>20021.224447421999</v>
      </c>
      <c r="Q426" s="2">
        <v>48116.376946459997</v>
      </c>
      <c r="R426" s="2">
        <v>127508.39890811899</v>
      </c>
      <c r="S426">
        <v>109.97499999999999</v>
      </c>
      <c r="T426">
        <v>0.14749999999999999</v>
      </c>
      <c r="U426">
        <v>-1.1566666666666701</v>
      </c>
    </row>
    <row r="427" spans="1:21" x14ac:dyDescent="0.25">
      <c r="A427" s="2" t="s">
        <v>105</v>
      </c>
      <c r="B427" t="s">
        <v>106</v>
      </c>
      <c r="C427">
        <v>6</v>
      </c>
      <c r="D427">
        <v>3</v>
      </c>
      <c r="E427">
        <v>18</v>
      </c>
      <c r="F427">
        <v>9000</v>
      </c>
      <c r="G427">
        <v>23850</v>
      </c>
      <c r="H427">
        <v>3744.9</v>
      </c>
      <c r="I427">
        <v>3.7448999999999999</v>
      </c>
      <c r="J427">
        <v>3.7448999999999998E-3</v>
      </c>
      <c r="K427">
        <v>8.2537596000000004</v>
      </c>
      <c r="L427" s="3">
        <v>1.2699999999999999E-2</v>
      </c>
      <c r="M427" s="3">
        <v>3.1</v>
      </c>
      <c r="N427">
        <v>58.129805837341102</v>
      </c>
      <c r="O427" s="2">
        <v>103.456497094178</v>
      </c>
      <c r="P427" s="2">
        <v>22364.171135055101</v>
      </c>
      <c r="Q427" s="2">
        <v>53747.106789365898</v>
      </c>
      <c r="R427" s="2">
        <v>142429.83299182</v>
      </c>
      <c r="S427">
        <v>109.97499999999999</v>
      </c>
      <c r="T427">
        <v>0.14749999999999999</v>
      </c>
      <c r="U427">
        <v>-1.1566666666666701</v>
      </c>
    </row>
    <row r="428" spans="1:21" x14ac:dyDescent="0.25">
      <c r="A428" s="2" t="s">
        <v>105</v>
      </c>
      <c r="B428" t="s">
        <v>106</v>
      </c>
      <c r="C428">
        <v>7</v>
      </c>
      <c r="D428">
        <v>3</v>
      </c>
      <c r="E428">
        <v>21</v>
      </c>
      <c r="F428">
        <v>13000</v>
      </c>
      <c r="G428">
        <v>34450</v>
      </c>
      <c r="H428">
        <v>5409.3</v>
      </c>
      <c r="I428">
        <v>5.4093</v>
      </c>
      <c r="J428">
        <v>5.4092999999999997E-3</v>
      </c>
      <c r="K428">
        <v>11.9220972</v>
      </c>
      <c r="L428" s="3">
        <v>1.2699999999999999E-2</v>
      </c>
      <c r="M428" s="3">
        <v>3.1</v>
      </c>
      <c r="N428">
        <v>65.450847322550899</v>
      </c>
      <c r="O428" s="2">
        <v>105.78732899261701</v>
      </c>
      <c r="P428" s="2">
        <v>23963.378179590702</v>
      </c>
      <c r="Q428" s="2">
        <v>57590.430616656398</v>
      </c>
      <c r="R428" s="2">
        <v>152614.641134139</v>
      </c>
      <c r="S428">
        <v>109.97499999999999</v>
      </c>
      <c r="T428">
        <v>0.14749999999999999</v>
      </c>
      <c r="U428">
        <v>-1.1566666666666701</v>
      </c>
    </row>
    <row r="429" spans="1:21" x14ac:dyDescent="0.25">
      <c r="A429" s="2" t="s">
        <v>105</v>
      </c>
      <c r="B429" t="s">
        <v>106</v>
      </c>
      <c r="C429">
        <v>8</v>
      </c>
      <c r="D429">
        <v>3</v>
      </c>
      <c r="E429">
        <v>24</v>
      </c>
      <c r="F429">
        <v>18000</v>
      </c>
      <c r="G429">
        <v>40770</v>
      </c>
      <c r="H429">
        <v>7489.8</v>
      </c>
      <c r="I429">
        <v>7.4897999999999998</v>
      </c>
      <c r="J429">
        <v>7.4897999999999996E-3</v>
      </c>
      <c r="K429">
        <v>16.507519200000001</v>
      </c>
      <c r="L429" s="3">
        <v>1.2699999999999999E-2</v>
      </c>
      <c r="M429" s="3">
        <v>3.1</v>
      </c>
      <c r="N429">
        <v>72.695130842069403</v>
      </c>
      <c r="O429" s="2">
        <v>107.28472146220599</v>
      </c>
      <c r="P429" s="2">
        <v>25030.593239997201</v>
      </c>
      <c r="Q429" s="2">
        <v>60155.234895451002</v>
      </c>
      <c r="R429" s="2">
        <v>159411.37247294499</v>
      </c>
      <c r="S429">
        <v>109.97499999999999</v>
      </c>
      <c r="T429">
        <v>0.14749999999999999</v>
      </c>
      <c r="U429">
        <v>-1.1566666666666701</v>
      </c>
    </row>
    <row r="430" spans="1:21" x14ac:dyDescent="0.25">
      <c r="A430" s="2" t="s">
        <v>105</v>
      </c>
      <c r="B430" t="s">
        <v>106</v>
      </c>
      <c r="C430">
        <v>9</v>
      </c>
      <c r="D430">
        <v>3</v>
      </c>
      <c r="E430">
        <v>27</v>
      </c>
      <c r="F430">
        <v>30000</v>
      </c>
      <c r="G430">
        <v>79500</v>
      </c>
      <c r="H430">
        <v>12483</v>
      </c>
      <c r="I430">
        <v>12.483000000000001</v>
      </c>
      <c r="J430">
        <v>1.2482999999999999E-2</v>
      </c>
      <c r="K430">
        <v>27.512532</v>
      </c>
      <c r="L430" s="3">
        <v>1.2699999999999999E-2</v>
      </c>
      <c r="M430" s="3">
        <v>3.1</v>
      </c>
      <c r="N430">
        <v>85.717488006455099</v>
      </c>
      <c r="O430" s="2">
        <v>108.24668882222301</v>
      </c>
      <c r="P430" s="2">
        <v>25732.9185013606</v>
      </c>
      <c r="Q430" s="2">
        <v>61843.111034271897</v>
      </c>
      <c r="R430" s="2">
        <v>163884.24424082099</v>
      </c>
      <c r="S430">
        <v>109.97499999999999</v>
      </c>
      <c r="T430">
        <v>0.14749999999999999</v>
      </c>
      <c r="U430">
        <v>-1.1566666666666701</v>
      </c>
    </row>
    <row r="431" spans="1:21" x14ac:dyDescent="0.25">
      <c r="A431" s="2" t="s">
        <v>105</v>
      </c>
      <c r="B431" t="s">
        <v>106</v>
      </c>
      <c r="C431">
        <v>10</v>
      </c>
      <c r="D431">
        <v>3</v>
      </c>
      <c r="E431">
        <v>30</v>
      </c>
      <c r="F431">
        <v>32000</v>
      </c>
      <c r="G431">
        <v>85500</v>
      </c>
      <c r="H431">
        <v>13315.2</v>
      </c>
      <c r="I431">
        <v>13.315200000000001</v>
      </c>
      <c r="J431">
        <v>1.3315199999999999E-2</v>
      </c>
      <c r="K431">
        <v>29.346700800000001</v>
      </c>
      <c r="L431" s="3">
        <v>1.2699999999999999E-2</v>
      </c>
      <c r="M431" s="3">
        <v>3.1</v>
      </c>
      <c r="N431">
        <v>87.520735578139096</v>
      </c>
      <c r="O431" s="2">
        <v>108.864683917384</v>
      </c>
      <c r="P431" s="2">
        <v>26191.083819039501</v>
      </c>
      <c r="Q431" s="2">
        <v>62944.205284882199</v>
      </c>
      <c r="R431" s="2">
        <v>166802.14400493799</v>
      </c>
      <c r="S431">
        <v>109.97499999999999</v>
      </c>
      <c r="T431">
        <v>0.14749999999999999</v>
      </c>
      <c r="U431">
        <v>-1.1566666666666701</v>
      </c>
    </row>
    <row r="432" spans="1:21" x14ac:dyDescent="0.25">
      <c r="A432" t="s">
        <v>107</v>
      </c>
      <c r="B432" t="s">
        <v>108</v>
      </c>
      <c r="C432">
        <v>1</v>
      </c>
      <c r="D432">
        <v>5</v>
      </c>
      <c r="E432"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v>52.071727826074699</v>
      </c>
      <c r="P432">
        <v>508.286372744125</v>
      </c>
      <c r="Q432">
        <v>1221.5486006828301</v>
      </c>
      <c r="R432">
        <v>3237.1037918094898</v>
      </c>
      <c r="S432">
        <v>150</v>
      </c>
      <c r="T432">
        <v>4.1000000000000002E-2</v>
      </c>
      <c r="U432">
        <v>-5.4</v>
      </c>
    </row>
    <row r="433" spans="1:21" x14ac:dyDescent="0.25">
      <c r="A433" t="s">
        <v>107</v>
      </c>
      <c r="B433" t="s">
        <v>108</v>
      </c>
      <c r="C433">
        <v>2</v>
      </c>
      <c r="D433">
        <v>5</v>
      </c>
      <c r="E433"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v>70.222995872705098</v>
      </c>
      <c r="P433">
        <v>1246.63857523617</v>
      </c>
      <c r="Q433">
        <v>2996.0071502912001</v>
      </c>
      <c r="R433">
        <v>7939.4189482716802</v>
      </c>
      <c r="S433">
        <v>150</v>
      </c>
      <c r="T433">
        <v>4.1000000000000002E-2</v>
      </c>
      <c r="U433">
        <v>-5.4</v>
      </c>
    </row>
    <row r="434" spans="1:21" x14ac:dyDescent="0.25">
      <c r="A434" t="s">
        <v>107</v>
      </c>
      <c r="B434" t="s">
        <v>108</v>
      </c>
      <c r="C434">
        <v>3</v>
      </c>
      <c r="D434">
        <v>5</v>
      </c>
      <c r="E434"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v>85.009877676356894</v>
      </c>
      <c r="P434">
        <v>2211.6208446574701</v>
      </c>
      <c r="Q434">
        <v>5315.1185884582401</v>
      </c>
      <c r="R434">
        <v>14085.064259414299</v>
      </c>
      <c r="S434">
        <v>150</v>
      </c>
      <c r="T434">
        <v>4.1000000000000002E-2</v>
      </c>
      <c r="U434">
        <v>-5.4</v>
      </c>
    </row>
    <row r="435" spans="1:21" x14ac:dyDescent="0.25">
      <c r="A435" t="s">
        <v>107</v>
      </c>
      <c r="B435" t="s">
        <v>108</v>
      </c>
      <c r="C435">
        <v>4</v>
      </c>
      <c r="D435">
        <v>5</v>
      </c>
      <c r="E435"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v>97.055971255794603</v>
      </c>
      <c r="P435">
        <v>3291.3137248274502</v>
      </c>
      <c r="Q435">
        <v>7909.9104177540203</v>
      </c>
      <c r="R435">
        <v>20961.262607048098</v>
      </c>
      <c r="S435">
        <v>150</v>
      </c>
      <c r="T435">
        <v>4.1000000000000002E-2</v>
      </c>
      <c r="U435">
        <v>-5.4</v>
      </c>
    </row>
    <row r="436" spans="1:21" x14ac:dyDescent="0.25">
      <c r="A436" t="s">
        <v>107</v>
      </c>
      <c r="B436" t="s">
        <v>108</v>
      </c>
      <c r="C436">
        <v>5</v>
      </c>
      <c r="D436">
        <v>5</v>
      </c>
      <c r="E436"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v>106.86928906352399</v>
      </c>
      <c r="P436">
        <v>4394.0122330630602</v>
      </c>
      <c r="Q436">
        <v>10559.990947039299</v>
      </c>
      <c r="R436">
        <v>27983.976009654201</v>
      </c>
      <c r="S436">
        <v>150</v>
      </c>
      <c r="T436">
        <v>4.1000000000000002E-2</v>
      </c>
      <c r="U436">
        <v>-5.4</v>
      </c>
    </row>
    <row r="437" spans="1:21" x14ac:dyDescent="0.25">
      <c r="A437" t="s">
        <v>107</v>
      </c>
      <c r="B437" t="s">
        <v>108</v>
      </c>
      <c r="C437">
        <v>6</v>
      </c>
      <c r="D437">
        <v>5</v>
      </c>
      <c r="E437"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v>114.863682080684</v>
      </c>
      <c r="P437">
        <v>5455.7027820230496</v>
      </c>
      <c r="Q437">
        <v>13111.5183418002</v>
      </c>
      <c r="R437">
        <v>34745.523605770402</v>
      </c>
      <c r="S437">
        <v>150</v>
      </c>
      <c r="T437">
        <v>4.1000000000000002E-2</v>
      </c>
      <c r="U437">
        <v>-5.4</v>
      </c>
    </row>
    <row r="438" spans="1:21" x14ac:dyDescent="0.25">
      <c r="A438" t="s">
        <v>107</v>
      </c>
      <c r="B438" t="s">
        <v>108</v>
      </c>
      <c r="C438">
        <v>7</v>
      </c>
      <c r="D438">
        <v>5</v>
      </c>
      <c r="E438"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v>121.376292898451</v>
      </c>
      <c r="P438">
        <v>6437.3053166414402</v>
      </c>
      <c r="Q438">
        <v>15470.572738864301</v>
      </c>
      <c r="R438">
        <v>40997.017757990398</v>
      </c>
      <c r="S438">
        <v>150</v>
      </c>
      <c r="T438">
        <v>4.1000000000000002E-2</v>
      </c>
      <c r="U438">
        <v>-5.4</v>
      </c>
    </row>
    <row r="439" spans="1:21" x14ac:dyDescent="0.25">
      <c r="A439" t="s">
        <v>107</v>
      </c>
      <c r="B439" t="s">
        <v>108</v>
      </c>
      <c r="C439">
        <v>8</v>
      </c>
      <c r="D439">
        <v>5</v>
      </c>
      <c r="E439"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v>126.681773823976</v>
      </c>
      <c r="P439">
        <v>7318.8847471111603</v>
      </c>
      <c r="Q439">
        <v>17589.244765948501</v>
      </c>
      <c r="R439">
        <v>46611.498629763402</v>
      </c>
      <c r="S439">
        <v>150</v>
      </c>
      <c r="T439">
        <v>4.1000000000000002E-2</v>
      </c>
      <c r="U439">
        <v>-5.4</v>
      </c>
    </row>
    <row r="440" spans="1:21" x14ac:dyDescent="0.25">
      <c r="A440" t="s">
        <v>107</v>
      </c>
      <c r="B440" t="s">
        <v>108</v>
      </c>
      <c r="C440">
        <v>9</v>
      </c>
      <c r="D440">
        <v>5</v>
      </c>
      <c r="E440"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v>131.003869622228</v>
      </c>
      <c r="P440">
        <v>8093.8448123255803</v>
      </c>
      <c r="Q440">
        <v>19451.681836879499</v>
      </c>
      <c r="R440">
        <v>51546.956867730798</v>
      </c>
      <c r="S440">
        <v>150</v>
      </c>
      <c r="T440">
        <v>4.1000000000000002E-2</v>
      </c>
      <c r="U440">
        <v>-5.4</v>
      </c>
    </row>
    <row r="441" spans="1:21" x14ac:dyDescent="0.25">
      <c r="A441" t="s">
        <v>107</v>
      </c>
      <c r="B441" t="s">
        <v>108</v>
      </c>
      <c r="C441">
        <v>10</v>
      </c>
      <c r="D441">
        <v>5</v>
      </c>
      <c r="E441"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v>134.52485336554699</v>
      </c>
      <c r="P441">
        <v>8764.1556661491104</v>
      </c>
      <c r="Q441">
        <v>21062.618760271798</v>
      </c>
      <c r="R441">
        <v>55815.9397147204</v>
      </c>
      <c r="S441">
        <v>150</v>
      </c>
      <c r="T441">
        <v>4.1000000000000002E-2</v>
      </c>
      <c r="U441">
        <v>-5.4</v>
      </c>
    </row>
    <row r="442" spans="1:21" x14ac:dyDescent="0.25">
      <c r="A442" t="s">
        <v>109</v>
      </c>
      <c r="B442" t="s">
        <v>110</v>
      </c>
      <c r="C442">
        <v>1</v>
      </c>
      <c r="D442">
        <v>5</v>
      </c>
      <c r="E442"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v>76.611400666372106</v>
      </c>
      <c r="P442">
        <v>2983.8569822381401</v>
      </c>
      <c r="Q442">
        <v>7171.0093300604103</v>
      </c>
      <c r="R442">
        <v>19003.174724660101</v>
      </c>
      <c r="S442">
        <v>186</v>
      </c>
      <c r="T442">
        <v>4.5999999999999999E-2</v>
      </c>
      <c r="U442">
        <v>-6.54</v>
      </c>
    </row>
    <row r="443" spans="1:21" x14ac:dyDescent="0.25">
      <c r="A443" t="s">
        <v>109</v>
      </c>
      <c r="B443" t="s">
        <v>110</v>
      </c>
      <c r="C443">
        <v>2</v>
      </c>
      <c r="D443">
        <v>5</v>
      </c>
      <c r="E443"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v>99.087082098658797</v>
      </c>
      <c r="P443">
        <v>6624.0145574934404</v>
      </c>
      <c r="Q443">
        <v>15919.285165809801</v>
      </c>
      <c r="R443">
        <v>42186.105689395801</v>
      </c>
      <c r="S443">
        <v>186</v>
      </c>
      <c r="T443">
        <v>4.5999999999999999E-2</v>
      </c>
      <c r="U443">
        <v>-6.54</v>
      </c>
    </row>
    <row r="444" spans="1:21" x14ac:dyDescent="0.25">
      <c r="A444" t="s">
        <v>109</v>
      </c>
      <c r="B444" t="s">
        <v>110</v>
      </c>
      <c r="C444">
        <v>3</v>
      </c>
      <c r="D444">
        <v>5</v>
      </c>
      <c r="E444"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v>116.944766235771</v>
      </c>
      <c r="P444">
        <v>11071.5622159796</v>
      </c>
      <c r="Q444">
        <v>26607.936111462499</v>
      </c>
      <c r="R444">
        <v>70511.030695375695</v>
      </c>
      <c r="S444">
        <v>186</v>
      </c>
      <c r="T444">
        <v>4.5999999999999999E-2</v>
      </c>
      <c r="U444">
        <v>-6.54</v>
      </c>
    </row>
    <row r="445" spans="1:21" x14ac:dyDescent="0.25">
      <c r="A445" t="s">
        <v>109</v>
      </c>
      <c r="B445" t="s">
        <v>110</v>
      </c>
      <c r="C445">
        <v>4</v>
      </c>
      <c r="D445">
        <v>5</v>
      </c>
      <c r="E445"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v>131.13329634559699</v>
      </c>
      <c r="P445">
        <v>15789.8748752376</v>
      </c>
      <c r="Q445">
        <v>37947.308039504001</v>
      </c>
      <c r="R445">
        <v>100560.366304686</v>
      </c>
      <c r="S445">
        <v>186</v>
      </c>
      <c r="T445">
        <v>4.5999999999999999E-2</v>
      </c>
      <c r="U445">
        <v>-6.54</v>
      </c>
    </row>
    <row r="446" spans="1:21" x14ac:dyDescent="0.25">
      <c r="A446" t="s">
        <v>109</v>
      </c>
      <c r="B446" t="s">
        <v>110</v>
      </c>
      <c r="C446">
        <v>5</v>
      </c>
      <c r="D446">
        <v>5</v>
      </c>
      <c r="E446"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v>142.40656028798401</v>
      </c>
      <c r="P446">
        <v>20389.728589471899</v>
      </c>
      <c r="Q446">
        <v>49001.991322931703</v>
      </c>
      <c r="R446">
        <v>129855.27700576901</v>
      </c>
      <c r="S446">
        <v>186</v>
      </c>
      <c r="T446">
        <v>4.5999999999999999E-2</v>
      </c>
      <c r="U446">
        <v>-6.54</v>
      </c>
    </row>
    <row r="447" spans="1:21" x14ac:dyDescent="0.25">
      <c r="A447" t="s">
        <v>109</v>
      </c>
      <c r="B447" t="s">
        <v>110</v>
      </c>
      <c r="C447">
        <v>6</v>
      </c>
      <c r="D447">
        <v>5</v>
      </c>
      <c r="E447"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v>151.36354730010001</v>
      </c>
      <c r="P447">
        <v>24633.973887026499</v>
      </c>
      <c r="Q447">
        <v>59202.052119746499</v>
      </c>
      <c r="R447">
        <v>156885.43811732801</v>
      </c>
      <c r="S447">
        <v>186</v>
      </c>
      <c r="T447">
        <v>4.5999999999999999E-2</v>
      </c>
      <c r="U447">
        <v>-6.54</v>
      </c>
    </row>
    <row r="448" spans="1:21" x14ac:dyDescent="0.25">
      <c r="A448" t="s">
        <v>109</v>
      </c>
      <c r="B448" t="s">
        <v>110</v>
      </c>
      <c r="C448">
        <v>7</v>
      </c>
      <c r="D448">
        <v>5</v>
      </c>
      <c r="E448"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v>158.48017445841199</v>
      </c>
      <c r="P448">
        <v>28404.736933570301</v>
      </c>
      <c r="Q448">
        <v>68264.207963399007</v>
      </c>
      <c r="R448">
        <v>180900.151103007</v>
      </c>
      <c r="S448">
        <v>186</v>
      </c>
      <c r="T448">
        <v>4.5999999999999999E-2</v>
      </c>
      <c r="U448">
        <v>-6.54</v>
      </c>
    </row>
    <row r="449" spans="1:21" x14ac:dyDescent="0.25">
      <c r="A449" t="s">
        <v>109</v>
      </c>
      <c r="B449" t="s">
        <v>110</v>
      </c>
      <c r="C449">
        <v>8</v>
      </c>
      <c r="D449">
        <v>5</v>
      </c>
      <c r="E449"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v>164.134573872179</v>
      </c>
      <c r="P449">
        <v>31665.6697956155</v>
      </c>
      <c r="Q449">
        <v>76101.105012294007</v>
      </c>
      <c r="R449">
        <v>201667.928282579</v>
      </c>
      <c r="S449">
        <v>186</v>
      </c>
      <c r="T449">
        <v>4.5999999999999999E-2</v>
      </c>
      <c r="U449">
        <v>-6.54</v>
      </c>
    </row>
    <row r="450" spans="1:21" x14ac:dyDescent="0.25">
      <c r="A450" t="s">
        <v>109</v>
      </c>
      <c r="B450" t="s">
        <v>110</v>
      </c>
      <c r="C450">
        <v>9</v>
      </c>
      <c r="D450">
        <v>5</v>
      </c>
      <c r="E450"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v>168.62718420839201</v>
      </c>
      <c r="P450">
        <v>34430.551456728099</v>
      </c>
      <c r="Q450">
        <v>82745.857862840901</v>
      </c>
      <c r="R450">
        <v>219276.52333652799</v>
      </c>
      <c r="S450">
        <v>186</v>
      </c>
      <c r="T450">
        <v>4.5999999999999999E-2</v>
      </c>
      <c r="U450">
        <v>-6.54</v>
      </c>
    </row>
    <row r="451" spans="1:21" x14ac:dyDescent="0.25">
      <c r="A451" t="s">
        <v>109</v>
      </c>
      <c r="B451" t="s">
        <v>110</v>
      </c>
      <c r="C451">
        <v>10</v>
      </c>
      <c r="D451">
        <v>5</v>
      </c>
      <c r="E451"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v>172.19671408346699</v>
      </c>
      <c r="P451">
        <v>36740.5388119864</v>
      </c>
      <c r="Q451">
        <v>88297.377582279194</v>
      </c>
      <c r="R451">
        <v>233988.05059304001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111</v>
      </c>
      <c r="B452" t="s">
        <v>112</v>
      </c>
      <c r="C452">
        <v>1</v>
      </c>
      <c r="D452">
        <v>2</v>
      </c>
      <c r="E452"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v>53.621521096701699</v>
      </c>
      <c r="P452">
        <v>1263.11620365417</v>
      </c>
      <c r="Q452">
        <v>3035.60731471804</v>
      </c>
      <c r="R452">
        <v>8044.3593840027897</v>
      </c>
      <c r="S452">
        <v>98.7</v>
      </c>
      <c r="T452">
        <v>0.158</v>
      </c>
      <c r="U452">
        <v>-2.96</v>
      </c>
    </row>
    <row r="453" spans="1:21" x14ac:dyDescent="0.25">
      <c r="A453" t="s">
        <v>111</v>
      </c>
      <c r="B453" t="s">
        <v>112</v>
      </c>
      <c r="C453">
        <v>2</v>
      </c>
      <c r="D453">
        <v>2</v>
      </c>
      <c r="E453"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v>65.835108956368501</v>
      </c>
      <c r="P453">
        <v>2290.2703502839599</v>
      </c>
      <c r="Q453">
        <v>5504.1344635519499</v>
      </c>
      <c r="R453">
        <v>14585.9563284127</v>
      </c>
      <c r="S453">
        <v>98.7</v>
      </c>
      <c r="T453">
        <v>0.158</v>
      </c>
      <c r="U453">
        <v>-2.96</v>
      </c>
    </row>
    <row r="454" spans="1:21" x14ac:dyDescent="0.25">
      <c r="A454" t="s">
        <v>111</v>
      </c>
      <c r="B454" t="s">
        <v>112</v>
      </c>
      <c r="C454">
        <v>3</v>
      </c>
      <c r="D454">
        <v>2</v>
      </c>
      <c r="E454"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v>74.739540605911202</v>
      </c>
      <c r="P454">
        <v>3308.68986036151</v>
      </c>
      <c r="Q454">
        <v>7951.6699359805498</v>
      </c>
      <c r="R454">
        <v>21071.925330348498</v>
      </c>
      <c r="S454">
        <v>98.7</v>
      </c>
      <c r="T454">
        <v>0.158</v>
      </c>
      <c r="U454">
        <v>-2.96</v>
      </c>
    </row>
    <row r="455" spans="1:21" x14ac:dyDescent="0.25">
      <c r="A455" t="s">
        <v>111</v>
      </c>
      <c r="B455" t="s">
        <v>112</v>
      </c>
      <c r="C455">
        <v>4</v>
      </c>
      <c r="D455">
        <v>2</v>
      </c>
      <c r="E455"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v>81.231400648381907</v>
      </c>
      <c r="P455">
        <v>4212.6876703371199</v>
      </c>
      <c r="Q455">
        <v>10124.219347121199</v>
      </c>
      <c r="R455">
        <v>26829.1812698711</v>
      </c>
      <c r="S455">
        <v>98.7</v>
      </c>
      <c r="T455">
        <v>0.158</v>
      </c>
      <c r="U455">
        <v>-2.96</v>
      </c>
    </row>
    <row r="456" spans="1:21" x14ac:dyDescent="0.25">
      <c r="A456" t="s">
        <v>111</v>
      </c>
      <c r="B456" t="s">
        <v>112</v>
      </c>
      <c r="C456">
        <v>5</v>
      </c>
      <c r="D456">
        <v>2</v>
      </c>
      <c r="E456"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v>85.964352561510793</v>
      </c>
      <c r="P456">
        <v>4964.5876313099398</v>
      </c>
      <c r="Q456">
        <v>11931.236797187999</v>
      </c>
      <c r="R456">
        <v>31617.777512548299</v>
      </c>
      <c r="S456">
        <v>98.7</v>
      </c>
      <c r="T456">
        <v>0.158</v>
      </c>
      <c r="U456">
        <v>-2.96</v>
      </c>
    </row>
    <row r="457" spans="1:21" x14ac:dyDescent="0.25">
      <c r="A457" t="s">
        <v>111</v>
      </c>
      <c r="B457" t="s">
        <v>112</v>
      </c>
      <c r="C457">
        <v>6</v>
      </c>
      <c r="D457">
        <v>2</v>
      </c>
      <c r="E457"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v>89.414955880966403</v>
      </c>
      <c r="P457">
        <v>5564.7968412451701</v>
      </c>
      <c r="Q457">
        <v>13373.700651875</v>
      </c>
      <c r="R457">
        <v>35440.306727468596</v>
      </c>
      <c r="S457">
        <v>98.7</v>
      </c>
      <c r="T457">
        <v>0.158</v>
      </c>
      <c r="U457">
        <v>-2.96</v>
      </c>
    </row>
    <row r="458" spans="1:21" x14ac:dyDescent="0.25">
      <c r="A458" t="s">
        <v>111</v>
      </c>
      <c r="B458" t="s">
        <v>112</v>
      </c>
      <c r="C458">
        <v>7</v>
      </c>
      <c r="D458">
        <v>2</v>
      </c>
      <c r="E458"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v>91.930650839795206</v>
      </c>
      <c r="P458">
        <v>6031.0760049300598</v>
      </c>
      <c r="Q458">
        <v>14494.2946525596</v>
      </c>
      <c r="R458">
        <v>38409.880829283</v>
      </c>
      <c r="S458">
        <v>98.7</v>
      </c>
      <c r="T458">
        <v>0.158</v>
      </c>
      <c r="U458">
        <v>-2.96</v>
      </c>
    </row>
    <row r="459" spans="1:21" x14ac:dyDescent="0.25">
      <c r="A459" t="s">
        <v>111</v>
      </c>
      <c r="B459" t="s">
        <v>112</v>
      </c>
      <c r="C459">
        <v>8</v>
      </c>
      <c r="D459">
        <v>2</v>
      </c>
      <c r="E459"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v>93.764742023268397</v>
      </c>
      <c r="P459">
        <v>6386.6712780728703</v>
      </c>
      <c r="Q459">
        <v>15348.8855517252</v>
      </c>
      <c r="R459">
        <v>40674.546712071897</v>
      </c>
      <c r="S459">
        <v>98.7</v>
      </c>
      <c r="T459">
        <v>0.158</v>
      </c>
      <c r="U459">
        <v>-2.96</v>
      </c>
    </row>
    <row r="460" spans="1:21" x14ac:dyDescent="0.25">
      <c r="A460" t="s">
        <v>111</v>
      </c>
      <c r="B460" t="s">
        <v>112</v>
      </c>
      <c r="C460">
        <v>9</v>
      </c>
      <c r="D460">
        <v>2</v>
      </c>
      <c r="E460"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v>95.101903533048699</v>
      </c>
      <c r="P460">
        <v>6654.3944211897197</v>
      </c>
      <c r="Q460">
        <v>15992.296133596999</v>
      </c>
      <c r="R460">
        <v>42379.584754032097</v>
      </c>
      <c r="S460">
        <v>98.7</v>
      </c>
      <c r="T460">
        <v>0.158</v>
      </c>
      <c r="U460">
        <v>-2.96</v>
      </c>
    </row>
    <row r="461" spans="1:21" x14ac:dyDescent="0.25">
      <c r="A461" t="s">
        <v>111</v>
      </c>
      <c r="B461" t="s">
        <v>112</v>
      </c>
      <c r="C461">
        <v>10</v>
      </c>
      <c r="D461">
        <v>2</v>
      </c>
      <c r="E461"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v>96.076773768154396</v>
      </c>
      <c r="P461">
        <v>6854.1439786024202</v>
      </c>
      <c r="Q461">
        <v>16472.3479418467</v>
      </c>
      <c r="R461">
        <v>43651.722045893803</v>
      </c>
      <c r="S461">
        <v>98.7</v>
      </c>
      <c r="T461">
        <v>0.158</v>
      </c>
      <c r="U461">
        <v>-2.96</v>
      </c>
    </row>
    <row r="462" spans="1:21" x14ac:dyDescent="0.25">
      <c r="A462" t="s">
        <v>113</v>
      </c>
      <c r="B462" t="s">
        <v>114</v>
      </c>
      <c r="C462">
        <v>1</v>
      </c>
      <c r="D462">
        <v>2</v>
      </c>
      <c r="E462"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v>30.021268763267098</v>
      </c>
      <c r="P462">
        <v>384.892834273294</v>
      </c>
      <c r="Q462">
        <v>925.00080334845995</v>
      </c>
      <c r="R462">
        <v>2451.2521288734201</v>
      </c>
      <c r="S462">
        <v>85.9</v>
      </c>
      <c r="T462">
        <v>0.215</v>
      </c>
      <c r="U462">
        <v>0</v>
      </c>
    </row>
    <row r="463" spans="1:21" x14ac:dyDescent="0.25">
      <c r="A463" t="s">
        <v>113</v>
      </c>
      <c r="B463" t="s">
        <v>114</v>
      </c>
      <c r="C463">
        <v>2</v>
      </c>
      <c r="D463">
        <v>2</v>
      </c>
      <c r="E463"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v>49.550377128905403</v>
      </c>
      <c r="P463">
        <v>1774.4938030754399</v>
      </c>
      <c r="Q463">
        <v>4264.5849629306304</v>
      </c>
      <c r="R463">
        <v>11301.1501517662</v>
      </c>
      <c r="S463">
        <v>85.9</v>
      </c>
      <c r="T463">
        <v>0.215</v>
      </c>
      <c r="U463">
        <v>0</v>
      </c>
    </row>
    <row r="464" spans="1:21" x14ac:dyDescent="0.25">
      <c r="A464" t="s">
        <v>113</v>
      </c>
      <c r="B464" t="s">
        <v>114</v>
      </c>
      <c r="C464">
        <v>3</v>
      </c>
      <c r="D464">
        <v>2</v>
      </c>
      <c r="E464"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v>62.2542397325903</v>
      </c>
      <c r="P464">
        <v>3559.5614441202201</v>
      </c>
      <c r="Q464">
        <v>8554.5816969964508</v>
      </c>
      <c r="R464">
        <v>22669.6414970406</v>
      </c>
      <c r="S464">
        <v>85.9</v>
      </c>
      <c r="T464">
        <v>0.215</v>
      </c>
      <c r="U464">
        <v>0</v>
      </c>
    </row>
    <row r="465" spans="1:21" x14ac:dyDescent="0.25">
      <c r="A465" t="s">
        <v>113</v>
      </c>
      <c r="B465" t="s">
        <v>114</v>
      </c>
      <c r="C465">
        <v>4</v>
      </c>
      <c r="D465">
        <v>2</v>
      </c>
      <c r="E465"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v>70.518217894402696</v>
      </c>
      <c r="P465">
        <v>5205.95365859713</v>
      </c>
      <c r="Q465">
        <v>12511.3041542829</v>
      </c>
      <c r="R465">
        <v>33154.956008849796</v>
      </c>
      <c r="S465">
        <v>85.9</v>
      </c>
      <c r="T465">
        <v>0.215</v>
      </c>
      <c r="U465">
        <v>0</v>
      </c>
    </row>
    <row r="466" spans="1:21" x14ac:dyDescent="0.25">
      <c r="A466" t="s">
        <v>113</v>
      </c>
      <c r="B466" t="s">
        <v>114</v>
      </c>
      <c r="C466">
        <v>5</v>
      </c>
      <c r="D466">
        <v>2</v>
      </c>
      <c r="E466"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v>75.894010847256595</v>
      </c>
      <c r="P466">
        <v>6513.4957842609601</v>
      </c>
      <c r="Q466">
        <v>15653.678885510601</v>
      </c>
      <c r="R466">
        <v>41482.249046603101</v>
      </c>
      <c r="S466">
        <v>85.9</v>
      </c>
      <c r="T466">
        <v>0.215</v>
      </c>
      <c r="U466">
        <v>0</v>
      </c>
    </row>
    <row r="467" spans="1:21" x14ac:dyDescent="0.25">
      <c r="A467" t="s">
        <v>113</v>
      </c>
      <c r="B467" t="s">
        <v>114</v>
      </c>
      <c r="C467">
        <v>6</v>
      </c>
      <c r="D467">
        <v>2</v>
      </c>
      <c r="E467"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v>79.391013054437593</v>
      </c>
      <c r="P467">
        <v>7472.8083505459499</v>
      </c>
      <c r="Q467">
        <v>17959.164505037101</v>
      </c>
      <c r="R467">
        <v>47591.785938348403</v>
      </c>
      <c r="S467">
        <v>85.9</v>
      </c>
      <c r="T467">
        <v>0.215</v>
      </c>
      <c r="U467">
        <v>0</v>
      </c>
    </row>
    <row r="468" spans="1:21" x14ac:dyDescent="0.25">
      <c r="A468" t="s">
        <v>113</v>
      </c>
      <c r="B468" t="s">
        <v>114</v>
      </c>
      <c r="C468">
        <v>7</v>
      </c>
      <c r="D468">
        <v>2</v>
      </c>
      <c r="E468"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v>81.6658447944763</v>
      </c>
      <c r="P468">
        <v>8145.2542658518996</v>
      </c>
      <c r="Q468">
        <v>19575.232554318402</v>
      </c>
      <c r="R468">
        <v>51874.366268943901</v>
      </c>
      <c r="S468">
        <v>85.9</v>
      </c>
      <c r="T468">
        <v>0.215</v>
      </c>
      <c r="U468">
        <v>0</v>
      </c>
    </row>
    <row r="469" spans="1:21" x14ac:dyDescent="0.25">
      <c r="A469" t="s">
        <v>113</v>
      </c>
      <c r="B469" t="s">
        <v>114</v>
      </c>
      <c r="C469">
        <v>8</v>
      </c>
      <c r="D469">
        <v>2</v>
      </c>
      <c r="E469"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v>83.145643530336798</v>
      </c>
      <c r="P469">
        <v>8603.8279654683902</v>
      </c>
      <c r="Q469">
        <v>20677.308256352801</v>
      </c>
      <c r="R469">
        <v>54794.866879334899</v>
      </c>
      <c r="S469">
        <v>85.9</v>
      </c>
      <c r="T469">
        <v>0.215</v>
      </c>
      <c r="U469">
        <v>0</v>
      </c>
    </row>
    <row r="470" spans="1:21" x14ac:dyDescent="0.25">
      <c r="A470" t="s">
        <v>113</v>
      </c>
      <c r="B470" t="s">
        <v>114</v>
      </c>
      <c r="C470">
        <v>9</v>
      </c>
      <c r="D470">
        <v>2</v>
      </c>
      <c r="E470"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v>84.1082660663741</v>
      </c>
      <c r="P470">
        <v>8911.2621458725098</v>
      </c>
      <c r="Q470">
        <v>21416.155121058699</v>
      </c>
      <c r="R470">
        <v>56752.811070805401</v>
      </c>
      <c r="S470">
        <v>85.9</v>
      </c>
      <c r="T470">
        <v>0.215</v>
      </c>
      <c r="U470">
        <v>0</v>
      </c>
    </row>
    <row r="471" spans="1:21" x14ac:dyDescent="0.25">
      <c r="A471" t="s">
        <v>113</v>
      </c>
      <c r="B471" t="s">
        <v>114</v>
      </c>
      <c r="C471">
        <v>10</v>
      </c>
      <c r="D471">
        <v>2</v>
      </c>
      <c r="E471"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v>84.734460780851904</v>
      </c>
      <c r="P471">
        <v>9115.1634332104404</v>
      </c>
      <c r="Q471">
        <v>21906.184650830201</v>
      </c>
      <c r="R471">
        <v>58051.389324700001</v>
      </c>
      <c r="S471">
        <v>85.9</v>
      </c>
      <c r="T471">
        <v>0.215</v>
      </c>
      <c r="U471">
        <v>0</v>
      </c>
    </row>
    <row r="472" spans="1:21" x14ac:dyDescent="0.25">
      <c r="A472" t="s">
        <v>115</v>
      </c>
      <c r="B472" t="s">
        <v>116</v>
      </c>
      <c r="C472">
        <v>1</v>
      </c>
      <c r="D472">
        <v>7</v>
      </c>
      <c r="E472"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 s="2">
        <v>224.55171764903801</v>
      </c>
      <c r="P472" s="2">
        <v>169840.165108227</v>
      </c>
      <c r="Q472" s="2">
        <v>408171.50951268303</v>
      </c>
      <c r="R472" s="2">
        <v>1081654.50020861</v>
      </c>
      <c r="S472">
        <v>271.77999999999997</v>
      </c>
      <c r="T472">
        <v>0.25</v>
      </c>
      <c r="U472">
        <v>0</v>
      </c>
    </row>
    <row r="473" spans="1:21" x14ac:dyDescent="0.25">
      <c r="A473" t="s">
        <v>115</v>
      </c>
      <c r="B473" t="s">
        <v>116</v>
      </c>
      <c r="C473">
        <v>2</v>
      </c>
      <c r="D473">
        <v>7</v>
      </c>
      <c r="E473"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 s="2">
        <v>263.57295513348203</v>
      </c>
      <c r="P473" s="2">
        <v>274658.97599979601</v>
      </c>
      <c r="Q473" s="2">
        <v>660079.25017975504</v>
      </c>
      <c r="R473" s="2">
        <v>1749210.01297635</v>
      </c>
      <c r="S473">
        <v>271.77999999999997</v>
      </c>
      <c r="T473">
        <v>0.25</v>
      </c>
      <c r="U473">
        <v>0</v>
      </c>
    </row>
    <row r="474" spans="1:21" x14ac:dyDescent="0.25">
      <c r="A474" t="s">
        <v>115</v>
      </c>
      <c r="B474" t="s">
        <v>116</v>
      </c>
      <c r="C474">
        <v>3</v>
      </c>
      <c r="D474">
        <v>7</v>
      </c>
      <c r="E474"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 s="2">
        <v>270.35382944947099</v>
      </c>
      <c r="P474" s="2">
        <v>296407.25929609803</v>
      </c>
      <c r="Q474" s="2">
        <v>712346.21316053404</v>
      </c>
      <c r="R474" s="2">
        <v>1887717.4648754201</v>
      </c>
      <c r="S474">
        <v>271.77999999999997</v>
      </c>
      <c r="T474">
        <v>0.25</v>
      </c>
      <c r="U474">
        <v>0</v>
      </c>
    </row>
    <row r="475" spans="1:21" x14ac:dyDescent="0.25">
      <c r="A475" t="s">
        <v>115</v>
      </c>
      <c r="B475" t="s">
        <v>116</v>
      </c>
      <c r="C475">
        <v>4</v>
      </c>
      <c r="D475">
        <v>7</v>
      </c>
      <c r="E475"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 s="2">
        <v>271.53216871940202</v>
      </c>
      <c r="P475" s="2">
        <v>300299.85605939402</v>
      </c>
      <c r="Q475" s="2">
        <v>721701.16813120502</v>
      </c>
      <c r="R475" s="2">
        <v>1912508.0955476901</v>
      </c>
      <c r="S475">
        <v>271.77999999999997</v>
      </c>
      <c r="T475">
        <v>0.25</v>
      </c>
      <c r="U475">
        <v>0</v>
      </c>
    </row>
    <row r="476" spans="1:21" x14ac:dyDescent="0.25">
      <c r="A476" t="s">
        <v>115</v>
      </c>
      <c r="B476" t="s">
        <v>116</v>
      </c>
      <c r="C476">
        <v>5</v>
      </c>
      <c r="D476">
        <v>7</v>
      </c>
      <c r="E476"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 s="2">
        <v>271.73693338106</v>
      </c>
      <c r="P476" s="2">
        <v>300979.74435133999</v>
      </c>
      <c r="Q476" s="2">
        <v>723335.12220941996</v>
      </c>
      <c r="R476" s="2">
        <v>1916838.07385496</v>
      </c>
      <c r="S476">
        <v>271.77999999999997</v>
      </c>
      <c r="T476">
        <v>0.25</v>
      </c>
      <c r="U476">
        <v>0</v>
      </c>
    </row>
    <row r="477" spans="1:21" x14ac:dyDescent="0.25">
      <c r="A477" t="s">
        <v>115</v>
      </c>
      <c r="B477" t="s">
        <v>116</v>
      </c>
      <c r="C477">
        <v>6</v>
      </c>
      <c r="D477">
        <v>7</v>
      </c>
      <c r="E477"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 s="2">
        <v>271.772516143796</v>
      </c>
      <c r="P477" s="2">
        <v>301097.995777231</v>
      </c>
      <c r="Q477" s="2">
        <v>723619.31212985096</v>
      </c>
      <c r="R477" s="2">
        <v>1917591.1771441</v>
      </c>
      <c r="S477">
        <v>271.77999999999997</v>
      </c>
      <c r="T477">
        <v>0.25</v>
      </c>
      <c r="U477">
        <v>0</v>
      </c>
    </row>
    <row r="478" spans="1:21" x14ac:dyDescent="0.25">
      <c r="A478" t="s">
        <v>115</v>
      </c>
      <c r="B478" t="s">
        <v>116</v>
      </c>
      <c r="C478">
        <v>7</v>
      </c>
      <c r="D478">
        <v>7</v>
      </c>
      <c r="E478"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 s="2">
        <v>271.77869950079503</v>
      </c>
      <c r="P478" s="2">
        <v>301118.54795210803</v>
      </c>
      <c r="Q478" s="2">
        <v>723668.704523211</v>
      </c>
      <c r="R478" s="2">
        <v>1917722.0669865101</v>
      </c>
      <c r="S478">
        <v>271.77999999999997</v>
      </c>
      <c r="T478">
        <v>0.25</v>
      </c>
      <c r="U478">
        <v>0</v>
      </c>
    </row>
    <row r="479" spans="1:21" x14ac:dyDescent="0.25">
      <c r="A479" t="s">
        <v>115</v>
      </c>
      <c r="B479" t="s">
        <v>116</v>
      </c>
      <c r="C479">
        <v>8</v>
      </c>
      <c r="D479">
        <v>7</v>
      </c>
      <c r="E479"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 s="2">
        <v>271.77977400712501</v>
      </c>
      <c r="P479" s="2">
        <v>301122.11947996001</v>
      </c>
      <c r="Q479" s="2">
        <v>723677.28786339797</v>
      </c>
      <c r="R479" s="2">
        <v>1917744.812838</v>
      </c>
      <c r="S479">
        <v>271.77999999999997</v>
      </c>
      <c r="T479">
        <v>0.25</v>
      </c>
      <c r="U479">
        <v>0</v>
      </c>
    </row>
    <row r="480" spans="1:21" x14ac:dyDescent="0.25">
      <c r="A480" t="s">
        <v>115</v>
      </c>
      <c r="B480" t="s">
        <v>116</v>
      </c>
      <c r="C480">
        <v>9</v>
      </c>
      <c r="D480">
        <v>7</v>
      </c>
      <c r="E480"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 s="2">
        <v>271.77996072832701</v>
      </c>
      <c r="P480" s="2">
        <v>301122.74012131902</v>
      </c>
      <c r="Q480" s="2">
        <v>723678.77943119197</v>
      </c>
      <c r="R480" s="2">
        <v>1917748.76549266</v>
      </c>
      <c r="S480">
        <v>271.77999999999997</v>
      </c>
      <c r="T480">
        <v>0.25</v>
      </c>
      <c r="U480">
        <v>0</v>
      </c>
    </row>
    <row r="481" spans="1:21" x14ac:dyDescent="0.25">
      <c r="A481" t="s">
        <v>115</v>
      </c>
      <c r="B481" t="s">
        <v>116</v>
      </c>
      <c r="C481">
        <v>10</v>
      </c>
      <c r="D481">
        <v>7</v>
      </c>
      <c r="E481"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 s="2">
        <v>271.77999317560699</v>
      </c>
      <c r="P481" s="2">
        <v>301122.847972702</v>
      </c>
      <c r="Q481" s="2">
        <v>723679.03862701904</v>
      </c>
      <c r="R481" s="2">
        <v>1917749.4523616</v>
      </c>
      <c r="S481">
        <v>271.77999999999997</v>
      </c>
      <c r="T481">
        <v>0.25</v>
      </c>
      <c r="U481">
        <v>0</v>
      </c>
    </row>
    <row r="482" spans="1:21" x14ac:dyDescent="0.25">
      <c r="A482" t="s">
        <v>117</v>
      </c>
      <c r="B482" t="s">
        <v>118</v>
      </c>
      <c r="C482">
        <v>1</v>
      </c>
      <c r="D482">
        <v>2</v>
      </c>
      <c r="E482"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v>13.2689088746917</v>
      </c>
      <c r="P482">
        <v>35.042646182029301</v>
      </c>
      <c r="Q482">
        <v>84.216885801560394</v>
      </c>
      <c r="R482">
        <v>223.17474737413499</v>
      </c>
      <c r="S482">
        <v>73.2</v>
      </c>
      <c r="T482">
        <v>0.1</v>
      </c>
      <c r="U482">
        <v>0</v>
      </c>
    </row>
    <row r="483" spans="1:21" x14ac:dyDescent="0.25">
      <c r="A483" t="s">
        <v>117</v>
      </c>
      <c r="B483" t="s">
        <v>118</v>
      </c>
      <c r="C483">
        <v>2</v>
      </c>
      <c r="D483">
        <v>2</v>
      </c>
      <c r="E483"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v>24.132572630191198</v>
      </c>
      <c r="P483">
        <v>210.81529906747201</v>
      </c>
      <c r="Q483">
        <v>506.64575599007998</v>
      </c>
      <c r="R483">
        <v>1342.61125337371</v>
      </c>
      <c r="S483">
        <v>73.2</v>
      </c>
      <c r="T483">
        <v>0.1</v>
      </c>
      <c r="U483">
        <v>0</v>
      </c>
    </row>
    <row r="484" spans="1:21" x14ac:dyDescent="0.25">
      <c r="A484" t="s">
        <v>117</v>
      </c>
      <c r="B484" t="s">
        <v>118</v>
      </c>
      <c r="C484">
        <v>3</v>
      </c>
      <c r="D484">
        <v>2</v>
      </c>
      <c r="E484"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v>33.026988237917301</v>
      </c>
      <c r="P484">
        <v>540.378640515999</v>
      </c>
      <c r="Q484">
        <v>1298.6749351502001</v>
      </c>
      <c r="R484">
        <v>3441.4885781480398</v>
      </c>
      <c r="S484">
        <v>73.2</v>
      </c>
      <c r="T484">
        <v>0.1</v>
      </c>
      <c r="U484">
        <v>0</v>
      </c>
    </row>
    <row r="485" spans="1:21" x14ac:dyDescent="0.25">
      <c r="A485" t="s">
        <v>117</v>
      </c>
      <c r="B485" t="s">
        <v>118</v>
      </c>
      <c r="C485">
        <v>4</v>
      </c>
      <c r="D485">
        <v>2</v>
      </c>
      <c r="E485"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v>40.309119826619401</v>
      </c>
      <c r="P485">
        <v>982.42906970705906</v>
      </c>
      <c r="Q485">
        <v>2361.0407827614999</v>
      </c>
      <c r="R485">
        <v>6256.7580743179697</v>
      </c>
      <c r="S485">
        <v>73.2</v>
      </c>
      <c r="T485">
        <v>0.1</v>
      </c>
      <c r="U485">
        <v>0</v>
      </c>
    </row>
    <row r="486" spans="1:21" x14ac:dyDescent="0.25">
      <c r="A486" t="s">
        <v>117</v>
      </c>
      <c r="B486" t="s">
        <v>118</v>
      </c>
      <c r="C486">
        <v>5</v>
      </c>
      <c r="D486">
        <v>2</v>
      </c>
      <c r="E486"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v>46.271224906250403</v>
      </c>
      <c r="P486">
        <v>1486.0186101607501</v>
      </c>
      <c r="Q486">
        <v>3571.3016346088698</v>
      </c>
      <c r="R486">
        <v>9463.9493317135202</v>
      </c>
      <c r="S486">
        <v>73.2</v>
      </c>
      <c r="T486">
        <v>0.1</v>
      </c>
      <c r="U486">
        <v>0</v>
      </c>
    </row>
    <row r="487" spans="1:21" x14ac:dyDescent="0.25">
      <c r="A487" t="s">
        <v>117</v>
      </c>
      <c r="B487" t="s">
        <v>118</v>
      </c>
      <c r="C487">
        <v>6</v>
      </c>
      <c r="D487">
        <v>2</v>
      </c>
      <c r="E487"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v>51.152583688026802</v>
      </c>
      <c r="P487">
        <v>2007.6776427407499</v>
      </c>
      <c r="Q487">
        <v>4824.9883267021196</v>
      </c>
      <c r="R487">
        <v>12786.219065760601</v>
      </c>
      <c r="S487">
        <v>73.2</v>
      </c>
      <c r="T487">
        <v>0.1</v>
      </c>
      <c r="U487">
        <v>0</v>
      </c>
    </row>
    <row r="488" spans="1:21" x14ac:dyDescent="0.25">
      <c r="A488" t="s">
        <v>117</v>
      </c>
      <c r="B488" t="s">
        <v>118</v>
      </c>
      <c r="C488">
        <v>7</v>
      </c>
      <c r="D488">
        <v>2</v>
      </c>
      <c r="E488"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v>55.149102239474402</v>
      </c>
      <c r="P488">
        <v>2515.9766149775</v>
      </c>
      <c r="Q488">
        <v>6046.56720734798</v>
      </c>
      <c r="R488">
        <v>16023.4030994722</v>
      </c>
      <c r="S488">
        <v>73.2</v>
      </c>
      <c r="T488">
        <v>0.1</v>
      </c>
      <c r="U488">
        <v>0</v>
      </c>
    </row>
    <row r="489" spans="1:21" x14ac:dyDescent="0.25">
      <c r="A489" t="s">
        <v>117</v>
      </c>
      <c r="B489" t="s">
        <v>118</v>
      </c>
      <c r="C489">
        <v>8</v>
      </c>
      <c r="D489">
        <v>2</v>
      </c>
      <c r="E489"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v>58.421174882791199</v>
      </c>
      <c r="P489">
        <v>2990.9015578450098</v>
      </c>
      <c r="Q489">
        <v>7187.9393363254303</v>
      </c>
      <c r="R489">
        <v>19048.039241262399</v>
      </c>
      <c r="S489">
        <v>73.2</v>
      </c>
      <c r="T489">
        <v>0.1</v>
      </c>
      <c r="U489">
        <v>0</v>
      </c>
    </row>
    <row r="490" spans="1:21" x14ac:dyDescent="0.25">
      <c r="A490" t="s">
        <v>117</v>
      </c>
      <c r="B490" t="s">
        <v>118</v>
      </c>
      <c r="C490">
        <v>9</v>
      </c>
      <c r="D490">
        <v>2</v>
      </c>
      <c r="E490"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v>61.1001213821799</v>
      </c>
      <c r="P490">
        <v>3421.50735657306</v>
      </c>
      <c r="Q490">
        <v>8222.8006646793001</v>
      </c>
      <c r="R490">
        <v>21790.421761400099</v>
      </c>
      <c r="S490">
        <v>73.2</v>
      </c>
      <c r="T490">
        <v>0.1</v>
      </c>
      <c r="U490">
        <v>0</v>
      </c>
    </row>
    <row r="491" spans="1:21" x14ac:dyDescent="0.25">
      <c r="A491" t="s">
        <v>117</v>
      </c>
      <c r="B491" t="s">
        <v>118</v>
      </c>
      <c r="C491">
        <v>10</v>
      </c>
      <c r="D491">
        <v>2</v>
      </c>
      <c r="E491"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v>63.293457267080001</v>
      </c>
      <c r="P491">
        <v>3803.3624564326001</v>
      </c>
      <c r="Q491">
        <v>9140.5009767666306</v>
      </c>
      <c r="R491">
        <v>24222.327588431599</v>
      </c>
      <c r="S491">
        <v>73.2</v>
      </c>
      <c r="T491">
        <v>0.1</v>
      </c>
      <c r="U491">
        <v>0</v>
      </c>
    </row>
    <row r="492" spans="1:21" x14ac:dyDescent="0.25">
      <c r="A492" t="s">
        <v>119</v>
      </c>
      <c r="B492" t="s">
        <v>120</v>
      </c>
      <c r="C492">
        <v>1</v>
      </c>
      <c r="D492">
        <v>3</v>
      </c>
      <c r="E492"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 s="2">
        <v>79.381198515365895</v>
      </c>
      <c r="P492" s="2">
        <v>8986.2401870910307</v>
      </c>
      <c r="Q492" s="2">
        <v>21596.347481593399</v>
      </c>
      <c r="R492" s="2">
        <v>57230.320826222604</v>
      </c>
      <c r="S492">
        <v>133.76666666666699</v>
      </c>
      <c r="T492">
        <v>0.3</v>
      </c>
      <c r="U492">
        <v>0</v>
      </c>
    </row>
    <row r="493" spans="1:21" x14ac:dyDescent="0.25">
      <c r="A493" t="s">
        <v>119</v>
      </c>
      <c r="B493" t="s">
        <v>120</v>
      </c>
      <c r="C493">
        <v>2</v>
      </c>
      <c r="D493">
        <v>3</v>
      </c>
      <c r="E493"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 s="2">
        <v>103.919288910812</v>
      </c>
      <c r="P493" s="2">
        <v>19945.0176823855</v>
      </c>
      <c r="Q493" s="2">
        <v>47933.231632745599</v>
      </c>
      <c r="R493" s="2">
        <v>127023.06382677599</v>
      </c>
      <c r="S493">
        <v>133.76666666666699</v>
      </c>
      <c r="T493">
        <v>0.3</v>
      </c>
      <c r="U493">
        <v>1</v>
      </c>
    </row>
    <row r="494" spans="1:21" x14ac:dyDescent="0.25">
      <c r="A494" t="s">
        <v>119</v>
      </c>
      <c r="B494" t="s">
        <v>120</v>
      </c>
      <c r="C494">
        <v>3</v>
      </c>
      <c r="D494">
        <v>3</v>
      </c>
      <c r="E494"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 s="2">
        <v>117.386078447359</v>
      </c>
      <c r="P494" s="2">
        <v>28607.4331888491</v>
      </c>
      <c r="Q494" s="2">
        <v>68751.341477647395</v>
      </c>
      <c r="R494" s="2">
        <v>182191.054915766</v>
      </c>
      <c r="S494">
        <v>133.76666666666699</v>
      </c>
      <c r="T494">
        <v>0.3</v>
      </c>
      <c r="U494">
        <v>2</v>
      </c>
    </row>
    <row r="495" spans="1:21" x14ac:dyDescent="0.25">
      <c r="A495" t="s">
        <v>119</v>
      </c>
      <c r="B495" t="s">
        <v>120</v>
      </c>
      <c r="C495">
        <v>4</v>
      </c>
      <c r="D495">
        <v>3</v>
      </c>
      <c r="E495"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 s="2">
        <v>124.776809245846</v>
      </c>
      <c r="P495" s="2">
        <v>34274.4145864491</v>
      </c>
      <c r="Q495" s="2">
        <v>82370.619049385103</v>
      </c>
      <c r="R495" s="2">
        <v>218282.14048087099</v>
      </c>
      <c r="S495">
        <v>133.76666666666699</v>
      </c>
      <c r="T495">
        <v>0.3</v>
      </c>
      <c r="U495">
        <v>3</v>
      </c>
    </row>
    <row r="496" spans="1:21" x14ac:dyDescent="0.25">
      <c r="A496" t="s">
        <v>119</v>
      </c>
      <c r="B496" t="s">
        <v>120</v>
      </c>
      <c r="C496">
        <v>5</v>
      </c>
      <c r="D496">
        <v>3</v>
      </c>
      <c r="E496"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 s="2">
        <v>128.832928307294</v>
      </c>
      <c r="P496" s="2">
        <v>37678.476387287898</v>
      </c>
      <c r="Q496" s="2">
        <v>90551.493360461202</v>
      </c>
      <c r="R496" s="2">
        <v>239961.457405222</v>
      </c>
      <c r="S496">
        <v>133.76666666666699</v>
      </c>
      <c r="T496">
        <v>0.3</v>
      </c>
      <c r="U496">
        <v>4</v>
      </c>
    </row>
    <row r="497" spans="1:21" x14ac:dyDescent="0.25">
      <c r="A497" t="s">
        <v>119</v>
      </c>
      <c r="B497" t="s">
        <v>120</v>
      </c>
      <c r="C497">
        <v>6</v>
      </c>
      <c r="D497">
        <v>3</v>
      </c>
      <c r="E497"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 s="2">
        <v>131.05897364559999</v>
      </c>
      <c r="P497" s="2">
        <v>39638.3337957205</v>
      </c>
      <c r="Q497" s="2">
        <v>95261.556827014007</v>
      </c>
      <c r="R497" s="2">
        <v>252443.12559158701</v>
      </c>
      <c r="S497">
        <v>133.76666666666699</v>
      </c>
      <c r="T497">
        <v>0.3</v>
      </c>
      <c r="U497">
        <v>5</v>
      </c>
    </row>
    <row r="498" spans="1:21" x14ac:dyDescent="0.25">
      <c r="A498" t="s">
        <v>119</v>
      </c>
      <c r="B498" t="s">
        <v>120</v>
      </c>
      <c r="C498">
        <v>7</v>
      </c>
      <c r="D498">
        <v>3</v>
      </c>
      <c r="E498"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 s="2">
        <v>132.28065322973401</v>
      </c>
      <c r="P498" s="2">
        <v>40742.053315997902</v>
      </c>
      <c r="Q498" s="2">
        <v>97914.091122321406</v>
      </c>
      <c r="R498" s="2">
        <v>259472.341474152</v>
      </c>
      <c r="S498">
        <v>133.76666666666699</v>
      </c>
      <c r="T498">
        <v>0.3</v>
      </c>
      <c r="U498">
        <v>6</v>
      </c>
    </row>
    <row r="499" spans="1:21" x14ac:dyDescent="0.25">
      <c r="A499" t="s">
        <v>119</v>
      </c>
      <c r="B499" t="s">
        <v>120</v>
      </c>
      <c r="C499">
        <v>8</v>
      </c>
      <c r="D499">
        <v>3</v>
      </c>
      <c r="E499"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 s="2">
        <v>132.951125201086</v>
      </c>
      <c r="P499" s="2">
        <v>41356.344500212603</v>
      </c>
      <c r="Q499" s="2">
        <v>99390.397741438603</v>
      </c>
      <c r="R499" s="2">
        <v>263384.55401481199</v>
      </c>
      <c r="S499">
        <v>133.76666666666699</v>
      </c>
      <c r="T499">
        <v>0.3</v>
      </c>
      <c r="U499">
        <v>7</v>
      </c>
    </row>
    <row r="500" spans="1:21" x14ac:dyDescent="0.25">
      <c r="A500" t="s">
        <v>119</v>
      </c>
      <c r="B500" t="s">
        <v>120</v>
      </c>
      <c r="C500">
        <v>9</v>
      </c>
      <c r="D500">
        <v>3</v>
      </c>
      <c r="E500"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 s="2">
        <v>133.31908802063899</v>
      </c>
      <c r="P500" s="2">
        <v>41696.066099314703</v>
      </c>
      <c r="Q500" s="2">
        <v>100206.839940675</v>
      </c>
      <c r="R500" s="2">
        <v>265548.12584278802</v>
      </c>
      <c r="S500">
        <v>133.76666666666699</v>
      </c>
      <c r="T500">
        <v>0.3</v>
      </c>
      <c r="U500">
        <v>8</v>
      </c>
    </row>
    <row r="501" spans="1:21" x14ac:dyDescent="0.25">
      <c r="A501" t="s">
        <v>119</v>
      </c>
      <c r="B501" t="s">
        <v>120</v>
      </c>
      <c r="C501">
        <v>10</v>
      </c>
      <c r="D501">
        <v>3</v>
      </c>
      <c r="E501"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 s="2">
        <v>133.521030297659</v>
      </c>
      <c r="P501" s="2">
        <v>41883.292127343702</v>
      </c>
      <c r="Q501" s="2">
        <v>100656.79434593501</v>
      </c>
      <c r="R501" s="2">
        <v>266740.505016729</v>
      </c>
      <c r="S501">
        <v>133.76666666666699</v>
      </c>
      <c r="T501">
        <v>0.3</v>
      </c>
      <c r="U501">
        <v>9</v>
      </c>
    </row>
    <row r="502" spans="1:21" x14ac:dyDescent="0.25">
      <c r="A502" t="s">
        <v>121</v>
      </c>
      <c r="B502" t="s">
        <v>122</v>
      </c>
      <c r="C502">
        <v>1</v>
      </c>
      <c r="D502">
        <v>7</v>
      </c>
      <c r="E502"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 s="2">
        <v>2161.2090696800601</v>
      </c>
      <c r="P502" s="2">
        <v>10094628.5810501</v>
      </c>
      <c r="Q502" s="2">
        <v>24260102.3336941</v>
      </c>
      <c r="R502" s="2">
        <v>64289271.184289299</v>
      </c>
      <c r="S502">
        <v>2615.7600000000002</v>
      </c>
      <c r="T502">
        <v>0.25</v>
      </c>
      <c r="U502">
        <v>0</v>
      </c>
    </row>
    <row r="503" spans="1:21" x14ac:dyDescent="0.25">
      <c r="A503" t="s">
        <v>121</v>
      </c>
      <c r="B503" t="s">
        <v>122</v>
      </c>
      <c r="C503">
        <v>2</v>
      </c>
      <c r="D503">
        <v>7</v>
      </c>
      <c r="E503"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 s="2">
        <v>2536.7708923392402</v>
      </c>
      <c r="P503" s="2">
        <v>16324644.688155601</v>
      </c>
      <c r="Q503" s="2">
        <v>39232503.456274003</v>
      </c>
      <c r="R503" s="2">
        <v>103966134.159126</v>
      </c>
      <c r="S503">
        <v>2615.7600000000002</v>
      </c>
      <c r="T503">
        <v>0.25</v>
      </c>
      <c r="U503">
        <v>0</v>
      </c>
    </row>
    <row r="504" spans="1:21" x14ac:dyDescent="0.25">
      <c r="A504" t="s">
        <v>121</v>
      </c>
      <c r="B504" t="s">
        <v>122</v>
      </c>
      <c r="C504">
        <v>3</v>
      </c>
      <c r="D504">
        <v>7</v>
      </c>
      <c r="E504"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 s="2">
        <v>2602.0337512721599</v>
      </c>
      <c r="P504" s="2">
        <v>17617276.7461363</v>
      </c>
      <c r="Q504" s="2">
        <v>42339045.292324699</v>
      </c>
      <c r="R504" s="2">
        <v>112198470.02466001</v>
      </c>
      <c r="S504">
        <v>2615.7600000000002</v>
      </c>
      <c r="T504">
        <v>0.25</v>
      </c>
      <c r="U504">
        <v>0</v>
      </c>
    </row>
    <row r="505" spans="1:21" x14ac:dyDescent="0.25">
      <c r="A505" t="s">
        <v>121</v>
      </c>
      <c r="B505" t="s">
        <v>122</v>
      </c>
      <c r="C505">
        <v>4</v>
      </c>
      <c r="D505">
        <v>7</v>
      </c>
      <c r="E505"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 s="2">
        <v>2613.3747356297799</v>
      </c>
      <c r="P505" s="2">
        <v>17848637.322806899</v>
      </c>
      <c r="Q505" s="2">
        <v>42895066.8656739</v>
      </c>
      <c r="R505" s="2">
        <v>113671927.19403601</v>
      </c>
      <c r="S505">
        <v>2615.7600000000002</v>
      </c>
      <c r="T505">
        <v>0.25</v>
      </c>
      <c r="U505">
        <v>0</v>
      </c>
    </row>
    <row r="506" spans="1:21" x14ac:dyDescent="0.25">
      <c r="A506" t="s">
        <v>121</v>
      </c>
      <c r="B506" t="s">
        <v>122</v>
      </c>
      <c r="C506">
        <v>5</v>
      </c>
      <c r="D506">
        <v>7</v>
      </c>
      <c r="E506"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 s="2">
        <v>2615.3455032042202</v>
      </c>
      <c r="P506" s="2">
        <v>17889047.197464202</v>
      </c>
      <c r="Q506" s="2">
        <v>42992182.642307498</v>
      </c>
      <c r="R506" s="2">
        <v>113929284.002115</v>
      </c>
      <c r="S506">
        <v>2615.7600000000002</v>
      </c>
      <c r="T506">
        <v>0.25</v>
      </c>
      <c r="U506">
        <v>0</v>
      </c>
    </row>
    <row r="507" spans="1:21" x14ac:dyDescent="0.25">
      <c r="A507" t="s">
        <v>121</v>
      </c>
      <c r="B507" t="s">
        <v>122</v>
      </c>
      <c r="C507">
        <v>6</v>
      </c>
      <c r="D507">
        <v>7</v>
      </c>
      <c r="E507"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 s="2">
        <v>2615.68797125725</v>
      </c>
      <c r="P507" s="2">
        <v>17896075.595150799</v>
      </c>
      <c r="Q507" s="2">
        <v>43009073.768687397</v>
      </c>
      <c r="R507" s="2">
        <v>113974045.487022</v>
      </c>
      <c r="S507">
        <v>2615.7600000000002</v>
      </c>
      <c r="T507">
        <v>0.25</v>
      </c>
      <c r="U507">
        <v>0</v>
      </c>
    </row>
    <row r="508" spans="1:21" x14ac:dyDescent="0.25">
      <c r="A508" t="s">
        <v>121</v>
      </c>
      <c r="B508" t="s">
        <v>122</v>
      </c>
      <c r="C508">
        <v>7</v>
      </c>
      <c r="D508">
        <v>7</v>
      </c>
      <c r="E508"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 s="2">
        <v>2615.74748328133</v>
      </c>
      <c r="P508" s="2">
        <v>17897297.135248799</v>
      </c>
      <c r="Q508" s="2">
        <v>43012009.457459196</v>
      </c>
      <c r="R508" s="2">
        <v>113981825.06226701</v>
      </c>
      <c r="S508">
        <v>2615.7600000000002</v>
      </c>
      <c r="T508">
        <v>0.25</v>
      </c>
      <c r="U508">
        <v>0</v>
      </c>
    </row>
    <row r="509" spans="1:21" x14ac:dyDescent="0.25">
      <c r="A509" t="s">
        <v>121</v>
      </c>
      <c r="B509" t="s">
        <v>122</v>
      </c>
      <c r="C509">
        <v>8</v>
      </c>
      <c r="D509">
        <v>7</v>
      </c>
      <c r="E509"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 s="2">
        <v>2615.7578249204398</v>
      </c>
      <c r="P509" s="2">
        <v>17897509.412757501</v>
      </c>
      <c r="Q509" s="2">
        <v>43012519.6172975</v>
      </c>
      <c r="R509" s="2">
        <v>113983176.985838</v>
      </c>
      <c r="S509">
        <v>2615.7600000000002</v>
      </c>
      <c r="T509">
        <v>0.25</v>
      </c>
      <c r="U509">
        <v>0</v>
      </c>
    </row>
    <row r="510" spans="1:21" x14ac:dyDescent="0.25">
      <c r="A510" t="s">
        <v>121</v>
      </c>
      <c r="B510" t="s">
        <v>122</v>
      </c>
      <c r="C510">
        <v>9</v>
      </c>
      <c r="D510">
        <v>7</v>
      </c>
      <c r="E510"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 s="2">
        <v>2615.7596220278501</v>
      </c>
      <c r="P510" s="2">
        <v>17897546.301228501</v>
      </c>
      <c r="Q510" s="2">
        <v>43012608.270195797</v>
      </c>
      <c r="R510" s="2">
        <v>113983411.91601899</v>
      </c>
      <c r="S510">
        <v>2615.7600000000002</v>
      </c>
      <c r="T510">
        <v>0.25</v>
      </c>
      <c r="U510">
        <v>0</v>
      </c>
    </row>
    <row r="511" spans="1:21" x14ac:dyDescent="0.25">
      <c r="A511" t="s">
        <v>121</v>
      </c>
      <c r="B511" t="s">
        <v>122</v>
      </c>
      <c r="C511">
        <v>10</v>
      </c>
      <c r="D511">
        <v>7</v>
      </c>
      <c r="E511"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 s="2">
        <v>2615.7599343182901</v>
      </c>
      <c r="P511" s="2">
        <v>17897552.711488701</v>
      </c>
      <c r="Q511" s="2">
        <v>43012623.675771996</v>
      </c>
      <c r="R511" s="2">
        <v>113983452.740796</v>
      </c>
      <c r="S511">
        <v>2615.7600000000002</v>
      </c>
      <c r="T511">
        <v>0.25</v>
      </c>
      <c r="U511">
        <v>0</v>
      </c>
    </row>
    <row r="512" spans="1:21" x14ac:dyDescent="0.25">
      <c r="A512" t="s">
        <v>123</v>
      </c>
      <c r="B512" t="s">
        <v>124</v>
      </c>
      <c r="C512">
        <v>1</v>
      </c>
      <c r="D512">
        <v>2</v>
      </c>
      <c r="E512"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v>22.930154254913301</v>
      </c>
      <c r="P512">
        <v>156.66977937661699</v>
      </c>
      <c r="Q512">
        <v>376.51953707430101</v>
      </c>
      <c r="R512">
        <v>997.77677324689898</v>
      </c>
      <c r="S512">
        <v>111</v>
      </c>
      <c r="T512">
        <v>0.13</v>
      </c>
      <c r="U512">
        <v>0.22</v>
      </c>
    </row>
    <row r="513" spans="1:21" x14ac:dyDescent="0.25">
      <c r="A513" t="s">
        <v>123</v>
      </c>
      <c r="B513" t="s">
        <v>124</v>
      </c>
      <c r="C513">
        <v>2</v>
      </c>
      <c r="D513">
        <v>2</v>
      </c>
      <c r="E513"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v>43.093605776775398</v>
      </c>
      <c r="P513">
        <v>1107.6521425180999</v>
      </c>
      <c r="Q513">
        <v>2661.9854422448898</v>
      </c>
      <c r="R513">
        <v>7054.2614219489697</v>
      </c>
      <c r="S513">
        <v>111</v>
      </c>
      <c r="T513">
        <v>0.13</v>
      </c>
      <c r="U513">
        <v>0.22</v>
      </c>
    </row>
    <row r="514" spans="1:21" x14ac:dyDescent="0.25">
      <c r="A514" t="s">
        <v>123</v>
      </c>
      <c r="B514" t="s">
        <v>124</v>
      </c>
      <c r="C514">
        <v>3</v>
      </c>
      <c r="D514">
        <v>2</v>
      </c>
      <c r="E514"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v>58.6406670479805</v>
      </c>
      <c r="P514">
        <v>2878.3274599697502</v>
      </c>
      <c r="Q514">
        <v>6917.3935591678601</v>
      </c>
      <c r="R514">
        <v>18331.092931794799</v>
      </c>
      <c r="S514">
        <v>111</v>
      </c>
      <c r="T514">
        <v>0.13</v>
      </c>
      <c r="U514">
        <v>0.22</v>
      </c>
    </row>
    <row r="515" spans="1:21" x14ac:dyDescent="0.25">
      <c r="A515" t="s">
        <v>123</v>
      </c>
      <c r="B515" t="s">
        <v>124</v>
      </c>
      <c r="C515">
        <v>4</v>
      </c>
      <c r="D515">
        <v>2</v>
      </c>
      <c r="E515"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v>70.628253295728499</v>
      </c>
      <c r="P515">
        <v>5123.38331347024</v>
      </c>
      <c r="Q515">
        <v>12312.865449339701</v>
      </c>
      <c r="R515">
        <v>32629.093440750101</v>
      </c>
      <c r="S515">
        <v>111</v>
      </c>
      <c r="T515">
        <v>0.13</v>
      </c>
      <c r="U515">
        <v>0.22</v>
      </c>
    </row>
    <row r="516" spans="1:21" x14ac:dyDescent="0.25">
      <c r="A516" t="s">
        <v>123</v>
      </c>
      <c r="B516" t="s">
        <v>124</v>
      </c>
      <c r="C516">
        <v>5</v>
      </c>
      <c r="D516">
        <v>2</v>
      </c>
      <c r="E516"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v>79.871300682011494</v>
      </c>
      <c r="P516">
        <v>7501.2726572146203</v>
      </c>
      <c r="Q516">
        <v>18027.571875065201</v>
      </c>
      <c r="R516">
        <v>47773.065468922701</v>
      </c>
      <c r="S516">
        <v>111</v>
      </c>
      <c r="T516">
        <v>0.13</v>
      </c>
      <c r="U516">
        <v>0.22</v>
      </c>
    </row>
    <row r="517" spans="1:21" x14ac:dyDescent="0.25">
      <c r="A517" t="s">
        <v>123</v>
      </c>
      <c r="B517" t="s">
        <v>124</v>
      </c>
      <c r="C517">
        <v>6</v>
      </c>
      <c r="D517">
        <v>2</v>
      </c>
      <c r="E517"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v>86.998167026862603</v>
      </c>
      <c r="P517">
        <v>9776.9844196191898</v>
      </c>
      <c r="Q517">
        <v>23496.718143761598</v>
      </c>
      <c r="R517">
        <v>62266.303080968202</v>
      </c>
      <c r="S517">
        <v>111</v>
      </c>
      <c r="T517">
        <v>0.13</v>
      </c>
      <c r="U517">
        <v>0.22</v>
      </c>
    </row>
    <row r="518" spans="1:21" x14ac:dyDescent="0.25">
      <c r="A518" t="s">
        <v>123</v>
      </c>
      <c r="B518" t="s">
        <v>124</v>
      </c>
      <c r="C518">
        <v>7</v>
      </c>
      <c r="D518">
        <v>2</v>
      </c>
      <c r="E518"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v>92.493348623870105</v>
      </c>
      <c r="P518">
        <v>11821.3251869711</v>
      </c>
      <c r="Q518">
        <v>28409.817800939902</v>
      </c>
      <c r="R518">
        <v>75286.017172490596</v>
      </c>
      <c r="S518">
        <v>111</v>
      </c>
      <c r="T518">
        <v>0.13</v>
      </c>
      <c r="U518">
        <v>0.22</v>
      </c>
    </row>
    <row r="519" spans="1:21" x14ac:dyDescent="0.25">
      <c r="A519" t="s">
        <v>123</v>
      </c>
      <c r="B519" t="s">
        <v>124</v>
      </c>
      <c r="C519">
        <v>8</v>
      </c>
      <c r="D519">
        <v>2</v>
      </c>
      <c r="E519"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v>96.730417108521294</v>
      </c>
      <c r="P519">
        <v>13582.1678366007</v>
      </c>
      <c r="Q519">
        <v>32641.595377555099</v>
      </c>
      <c r="R519">
        <v>86500.227750520906</v>
      </c>
      <c r="S519">
        <v>111</v>
      </c>
      <c r="T519">
        <v>0.13</v>
      </c>
      <c r="U519">
        <v>0.22</v>
      </c>
    </row>
    <row r="520" spans="1:21" x14ac:dyDescent="0.25">
      <c r="A520" t="s">
        <v>123</v>
      </c>
      <c r="B520" t="s">
        <v>124</v>
      </c>
      <c r="C520">
        <v>9</v>
      </c>
      <c r="D520">
        <v>2</v>
      </c>
      <c r="E520"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v>99.997415482769895</v>
      </c>
      <c r="P520">
        <v>15055.279034998401</v>
      </c>
      <c r="Q520">
        <v>36181.877036766302</v>
      </c>
      <c r="R520">
        <v>95881.974147430607</v>
      </c>
      <c r="S520">
        <v>111</v>
      </c>
      <c r="T520">
        <v>0.13</v>
      </c>
      <c r="U520">
        <v>0.22</v>
      </c>
    </row>
    <row r="521" spans="1:21" x14ac:dyDescent="0.25">
      <c r="A521" t="s">
        <v>123</v>
      </c>
      <c r="B521" t="s">
        <v>124</v>
      </c>
      <c r="C521">
        <v>10</v>
      </c>
      <c r="D521">
        <v>2</v>
      </c>
      <c r="E521"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v>102.51643976005199</v>
      </c>
      <c r="P521">
        <v>16262.357460261001</v>
      </c>
      <c r="Q521">
        <v>39082.8105269429</v>
      </c>
      <c r="R521">
        <v>103569.447896399</v>
      </c>
      <c r="S521">
        <v>111</v>
      </c>
      <c r="T521">
        <v>0.13</v>
      </c>
      <c r="U521">
        <v>0.22</v>
      </c>
    </row>
    <row r="522" spans="1:21" x14ac:dyDescent="0.25">
      <c r="A522" t="s">
        <v>125</v>
      </c>
      <c r="B522" t="s">
        <v>126</v>
      </c>
      <c r="C522">
        <v>1</v>
      </c>
      <c r="D522">
        <v>1</v>
      </c>
      <c r="E522"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v>12.9421111471095</v>
      </c>
      <c r="P522">
        <v>25.171327616078901</v>
      </c>
      <c r="Q522">
        <v>60.493457380627</v>
      </c>
      <c r="R522">
        <v>160.307662058662</v>
      </c>
      <c r="S522">
        <v>136</v>
      </c>
      <c r="T522">
        <v>0.1</v>
      </c>
      <c r="U522">
        <v>0</v>
      </c>
    </row>
    <row r="523" spans="1:21" x14ac:dyDescent="0.25">
      <c r="A523" t="s">
        <v>125</v>
      </c>
      <c r="B523" t="s">
        <v>126</v>
      </c>
      <c r="C523">
        <v>2</v>
      </c>
      <c r="D523">
        <v>1</v>
      </c>
      <c r="E523"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v>24.652617581394502</v>
      </c>
      <c r="P523">
        <v>163.11506433652201</v>
      </c>
      <c r="Q523">
        <v>392.00928703802498</v>
      </c>
      <c r="R523">
        <v>1038.82461065077</v>
      </c>
      <c r="S523">
        <v>136</v>
      </c>
      <c r="T523">
        <v>0.1</v>
      </c>
      <c r="U523">
        <v>0</v>
      </c>
    </row>
    <row r="524" spans="1:21" x14ac:dyDescent="0.25">
      <c r="A524" t="s">
        <v>125</v>
      </c>
      <c r="B524" t="s">
        <v>126</v>
      </c>
      <c r="C524">
        <v>3</v>
      </c>
      <c r="D524">
        <v>1</v>
      </c>
      <c r="E524"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v>35.248721987286402</v>
      </c>
      <c r="P524">
        <v>460.05213204372899</v>
      </c>
      <c r="Q524">
        <v>1105.6287720349201</v>
      </c>
      <c r="R524">
        <v>2929.9162458925298</v>
      </c>
      <c r="S524">
        <v>136</v>
      </c>
      <c r="T524">
        <v>0.1</v>
      </c>
      <c r="U524">
        <v>0</v>
      </c>
    </row>
    <row r="525" spans="1:21" x14ac:dyDescent="0.25">
      <c r="A525" t="s">
        <v>125</v>
      </c>
      <c r="B525" t="s">
        <v>126</v>
      </c>
      <c r="C525">
        <v>4</v>
      </c>
      <c r="D525">
        <v>1</v>
      </c>
      <c r="E525"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v>44.836473739153099</v>
      </c>
      <c r="P525">
        <v>924.32023765543704</v>
      </c>
      <c r="Q525">
        <v>2221.3896603110702</v>
      </c>
      <c r="R525">
        <v>5886.6825998243403</v>
      </c>
      <c r="S525">
        <v>136</v>
      </c>
      <c r="T525">
        <v>0.1</v>
      </c>
      <c r="U525">
        <v>0</v>
      </c>
    </row>
    <row r="526" spans="1:21" x14ac:dyDescent="0.25">
      <c r="A526" t="s">
        <v>125</v>
      </c>
      <c r="B526" t="s">
        <v>126</v>
      </c>
      <c r="C526">
        <v>5</v>
      </c>
      <c r="D526">
        <v>1</v>
      </c>
      <c r="E526"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v>53.511830279081899</v>
      </c>
      <c r="P526">
        <v>1543.8165596502899</v>
      </c>
      <c r="Q526">
        <v>3710.2056228077099</v>
      </c>
      <c r="R526">
        <v>9832.0449004404309</v>
      </c>
      <c r="S526">
        <v>136</v>
      </c>
      <c r="T526">
        <v>0.1</v>
      </c>
      <c r="U526">
        <v>0</v>
      </c>
    </row>
    <row r="527" spans="1:21" x14ac:dyDescent="0.25">
      <c r="A527" t="s">
        <v>125</v>
      </c>
      <c r="B527" t="s">
        <v>126</v>
      </c>
      <c r="C527">
        <v>6</v>
      </c>
      <c r="D527">
        <v>1</v>
      </c>
      <c r="E527"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v>61.3616174912124</v>
      </c>
      <c r="P527">
        <v>2296.1062271517799</v>
      </c>
      <c r="Q527">
        <v>5518.1596422777602</v>
      </c>
      <c r="R527">
        <v>14623.1230520361</v>
      </c>
      <c r="S527">
        <v>136</v>
      </c>
      <c r="T527">
        <v>0.1</v>
      </c>
      <c r="U527">
        <v>0</v>
      </c>
    </row>
    <row r="528" spans="1:21" x14ac:dyDescent="0.25">
      <c r="A528" t="s">
        <v>125</v>
      </c>
      <c r="B528" t="s">
        <v>126</v>
      </c>
      <c r="C528">
        <v>7</v>
      </c>
      <c r="D528">
        <v>1</v>
      </c>
      <c r="E528"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v>68.464398684368305</v>
      </c>
      <c r="P528">
        <v>3154.5627713873801</v>
      </c>
      <c r="Q528">
        <v>7581.2611665161803</v>
      </c>
      <c r="R528">
        <v>20090.342091267899</v>
      </c>
      <c r="S528">
        <v>136</v>
      </c>
      <c r="T528">
        <v>0.1</v>
      </c>
      <c r="U528">
        <v>0</v>
      </c>
    </row>
    <row r="529" spans="1:21" x14ac:dyDescent="0.25">
      <c r="A529" t="s">
        <v>125</v>
      </c>
      <c r="B529" t="s">
        <v>126</v>
      </c>
      <c r="C529">
        <v>8</v>
      </c>
      <c r="D529">
        <v>1</v>
      </c>
      <c r="E529"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v>74.891260880057899</v>
      </c>
      <c r="P529">
        <v>4092.0560363752302</v>
      </c>
      <c r="Q529">
        <v>9834.3091477414691</v>
      </c>
      <c r="R529">
        <v>26060.919241514901</v>
      </c>
      <c r="S529">
        <v>136</v>
      </c>
      <c r="T529">
        <v>0.1</v>
      </c>
      <c r="U529">
        <v>0</v>
      </c>
    </row>
    <row r="530" spans="1:21" x14ac:dyDescent="0.25">
      <c r="A530" t="s">
        <v>125</v>
      </c>
      <c r="B530" t="s">
        <v>126</v>
      </c>
      <c r="C530">
        <v>9</v>
      </c>
      <c r="D530">
        <v>1</v>
      </c>
      <c r="E530"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v>80.706526275278506</v>
      </c>
      <c r="P530">
        <v>5083.0731391647396</v>
      </c>
      <c r="Q530">
        <v>12215.9892794154</v>
      </c>
      <c r="R530">
        <v>32372.371590450799</v>
      </c>
      <c r="S530">
        <v>136</v>
      </c>
      <c r="T530">
        <v>0.1</v>
      </c>
      <c r="U530">
        <v>0</v>
      </c>
    </row>
    <row r="531" spans="1:21" x14ac:dyDescent="0.25">
      <c r="A531" t="s">
        <v>125</v>
      </c>
      <c r="B531" t="s">
        <v>126</v>
      </c>
      <c r="C531">
        <v>10</v>
      </c>
      <c r="D531">
        <v>1</v>
      </c>
      <c r="E531"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v>85.968396000683796</v>
      </c>
      <c r="P531">
        <v>6104.8338399565801</v>
      </c>
      <c r="Q531">
        <v>14671.554530056699</v>
      </c>
      <c r="R531">
        <v>38879.619504650203</v>
      </c>
      <c r="S531">
        <v>136</v>
      </c>
      <c r="T531">
        <v>0.1</v>
      </c>
      <c r="U531">
        <v>0</v>
      </c>
    </row>
    <row r="532" spans="1:21" x14ac:dyDescent="0.25">
      <c r="A532" t="s">
        <v>127</v>
      </c>
      <c r="B532" t="s">
        <v>128</v>
      </c>
      <c r="C532">
        <v>1</v>
      </c>
      <c r="D532">
        <v>2</v>
      </c>
      <c r="E532"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v>29.254489500772099</v>
      </c>
      <c r="P532">
        <v>350.51419254962502</v>
      </c>
      <c r="Q532">
        <v>842.37969850907302</v>
      </c>
      <c r="R532">
        <v>2232.3062010490398</v>
      </c>
      <c r="S532">
        <v>62.2</v>
      </c>
      <c r="T532">
        <v>0.31</v>
      </c>
      <c r="U532">
        <v>-0.05</v>
      </c>
    </row>
    <row r="533" spans="1:21" x14ac:dyDescent="0.25">
      <c r="A533" t="s">
        <v>127</v>
      </c>
      <c r="B533" t="s">
        <v>128</v>
      </c>
      <c r="C533">
        <v>2</v>
      </c>
      <c r="D533">
        <v>2</v>
      </c>
      <c r="E533"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v>44.4771458832234</v>
      </c>
      <c r="P533">
        <v>1231.7959377121299</v>
      </c>
      <c r="Q533">
        <v>2960.3363078878301</v>
      </c>
      <c r="R533">
        <v>7844.8912159027605</v>
      </c>
      <c r="S533">
        <v>62.2</v>
      </c>
      <c r="T533">
        <v>0.31</v>
      </c>
      <c r="U533">
        <v>-0.05</v>
      </c>
    </row>
    <row r="534" spans="1:21" x14ac:dyDescent="0.25">
      <c r="A534" t="s">
        <v>127</v>
      </c>
      <c r="B534" t="s">
        <v>128</v>
      </c>
      <c r="C534">
        <v>3</v>
      </c>
      <c r="D534">
        <v>2</v>
      </c>
      <c r="E534"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v>52.666089209578203</v>
      </c>
      <c r="P534">
        <v>2045.13154257155</v>
      </c>
      <c r="Q534">
        <v>4915.0001023108598</v>
      </c>
      <c r="R534">
        <v>13024.750271123799</v>
      </c>
      <c r="S534">
        <v>62.2</v>
      </c>
      <c r="T534">
        <v>0.31</v>
      </c>
      <c r="U534">
        <v>-0.05</v>
      </c>
    </row>
    <row r="535" spans="1:21" x14ac:dyDescent="0.25">
      <c r="A535" t="s">
        <v>127</v>
      </c>
      <c r="B535" t="s">
        <v>128</v>
      </c>
      <c r="C535">
        <v>4</v>
      </c>
      <c r="D535">
        <v>2</v>
      </c>
      <c r="E535"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v>57.071285721768703</v>
      </c>
      <c r="P535">
        <v>2602.4416775725899</v>
      </c>
      <c r="Q535">
        <v>6254.3659638851004</v>
      </c>
      <c r="R535">
        <v>16574.069804295501</v>
      </c>
      <c r="S535">
        <v>62.2</v>
      </c>
      <c r="T535">
        <v>0.31</v>
      </c>
      <c r="U535">
        <v>-0.05</v>
      </c>
    </row>
    <row r="536" spans="1:21" x14ac:dyDescent="0.25">
      <c r="A536" t="s">
        <v>127</v>
      </c>
      <c r="B536" t="s">
        <v>128</v>
      </c>
      <c r="C536">
        <v>5</v>
      </c>
      <c r="D536">
        <v>2</v>
      </c>
      <c r="E536"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v>59.441036682013099</v>
      </c>
      <c r="P536">
        <v>2940.2696501024202</v>
      </c>
      <c r="Q536">
        <v>7066.2572701331901</v>
      </c>
      <c r="R536">
        <v>18725.581765853</v>
      </c>
      <c r="S536">
        <v>62.2</v>
      </c>
      <c r="T536">
        <v>0.31</v>
      </c>
      <c r="U536">
        <v>-0.05</v>
      </c>
    </row>
    <row r="537" spans="1:21" x14ac:dyDescent="0.25">
      <c r="A537" t="s">
        <v>127</v>
      </c>
      <c r="B537" t="s">
        <v>128</v>
      </c>
      <c r="C537">
        <v>6</v>
      </c>
      <c r="D537">
        <v>2</v>
      </c>
      <c r="E537"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v>60.715831029561201</v>
      </c>
      <c r="P537">
        <v>3133.5300703345201</v>
      </c>
      <c r="Q537">
        <v>7530.7139397609299</v>
      </c>
      <c r="R537">
        <v>19956.391940366499</v>
      </c>
      <c r="S537">
        <v>62.2</v>
      </c>
      <c r="T537">
        <v>0.31</v>
      </c>
      <c r="U537">
        <v>-0.05</v>
      </c>
    </row>
    <row r="538" spans="1:21" x14ac:dyDescent="0.25">
      <c r="A538" t="s">
        <v>127</v>
      </c>
      <c r="B538" t="s">
        <v>128</v>
      </c>
      <c r="C538">
        <v>7</v>
      </c>
      <c r="D538">
        <v>2</v>
      </c>
      <c r="E538"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v>61.401599557901797</v>
      </c>
      <c r="P538">
        <v>3240.9108939090602</v>
      </c>
      <c r="Q538">
        <v>7788.77888466488</v>
      </c>
      <c r="R538">
        <v>20640.264044361898</v>
      </c>
      <c r="S538">
        <v>62.2</v>
      </c>
      <c r="T538">
        <v>0.31</v>
      </c>
      <c r="U538">
        <v>-0.05</v>
      </c>
    </row>
    <row r="539" spans="1:21" x14ac:dyDescent="0.25">
      <c r="A539" t="s">
        <v>127</v>
      </c>
      <c r="B539" t="s">
        <v>128</v>
      </c>
      <c r="C539">
        <v>8</v>
      </c>
      <c r="D539">
        <v>2</v>
      </c>
      <c r="E539"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v>61.7705049232002</v>
      </c>
      <c r="P539">
        <v>3299.6774570688699</v>
      </c>
      <c r="Q539">
        <v>7930.0107115329902</v>
      </c>
      <c r="R539">
        <v>21014.5283855624</v>
      </c>
      <c r="S539">
        <v>62.2</v>
      </c>
      <c r="T539">
        <v>0.31</v>
      </c>
      <c r="U539">
        <v>-0.05</v>
      </c>
    </row>
    <row r="540" spans="1:21" x14ac:dyDescent="0.25">
      <c r="A540" t="s">
        <v>127</v>
      </c>
      <c r="B540" t="s">
        <v>128</v>
      </c>
      <c r="C540">
        <v>9</v>
      </c>
      <c r="D540">
        <v>2</v>
      </c>
      <c r="E540"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v>61.9689555124612</v>
      </c>
      <c r="P540">
        <v>3331.58243878855</v>
      </c>
      <c r="Q540">
        <v>8006.6869473408997</v>
      </c>
      <c r="R540">
        <v>21217.720410453399</v>
      </c>
      <c r="S540">
        <v>62.2</v>
      </c>
      <c r="T540">
        <v>0.31</v>
      </c>
      <c r="U540">
        <v>-0.05</v>
      </c>
    </row>
    <row r="541" spans="1:21" x14ac:dyDescent="0.25">
      <c r="A541" t="s">
        <v>127</v>
      </c>
      <c r="B541" t="s">
        <v>128</v>
      </c>
      <c r="C541">
        <v>10</v>
      </c>
      <c r="D541">
        <v>2</v>
      </c>
      <c r="E541"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v>62.075710903091597</v>
      </c>
      <c r="P541">
        <v>3348.8303064529</v>
      </c>
      <c r="Q541">
        <v>8048.1382034436401</v>
      </c>
      <c r="R541">
        <v>21327.566239125601</v>
      </c>
      <c r="S541">
        <v>62.2</v>
      </c>
      <c r="T541">
        <v>0.31</v>
      </c>
      <c r="U541">
        <v>-0.05</v>
      </c>
    </row>
    <row r="542" spans="1:21" x14ac:dyDescent="0.25">
      <c r="A542" t="s">
        <v>129</v>
      </c>
      <c r="B542" t="s">
        <v>130</v>
      </c>
      <c r="C542">
        <v>1</v>
      </c>
      <c r="D542">
        <v>2</v>
      </c>
      <c r="E542"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v>13.0201114672162</v>
      </c>
      <c r="P542">
        <v>20.276843800881</v>
      </c>
      <c r="Q542">
        <v>48.730698872581101</v>
      </c>
      <c r="R542">
        <v>129.13635201234001</v>
      </c>
      <c r="S542">
        <v>158</v>
      </c>
      <c r="T542">
        <v>4.2999999999999997E-2</v>
      </c>
      <c r="U542">
        <v>0</v>
      </c>
    </row>
    <row r="543" spans="1:21" x14ac:dyDescent="0.25">
      <c r="A543" t="s">
        <v>129</v>
      </c>
      <c r="B543" t="s">
        <v>130</v>
      </c>
      <c r="C543">
        <v>2</v>
      </c>
      <c r="D543">
        <v>2</v>
      </c>
      <c r="E543"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v>24.967290639377001</v>
      </c>
      <c r="P543">
        <v>132.232952044819</v>
      </c>
      <c r="Q543">
        <v>317.79128104979299</v>
      </c>
      <c r="R543">
        <v>842.14689478195305</v>
      </c>
      <c r="S543">
        <v>158</v>
      </c>
      <c r="T543">
        <v>4.2999999999999997E-2</v>
      </c>
      <c r="U543">
        <v>0</v>
      </c>
    </row>
    <row r="544" spans="1:21" x14ac:dyDescent="0.25">
      <c r="A544" t="s">
        <v>129</v>
      </c>
      <c r="B544" t="s">
        <v>130</v>
      </c>
      <c r="C544">
        <v>3</v>
      </c>
      <c r="D544">
        <v>2</v>
      </c>
      <c r="E544"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v>35.929953327105402</v>
      </c>
      <c r="P544">
        <v>377.24646058580998</v>
      </c>
      <c r="Q544">
        <v>906.624514745998</v>
      </c>
      <c r="R544">
        <v>2402.55496407689</v>
      </c>
      <c r="S544">
        <v>158</v>
      </c>
      <c r="T544">
        <v>4.2999999999999997E-2</v>
      </c>
      <c r="U544">
        <v>0</v>
      </c>
    </row>
    <row r="545" spans="1:21" x14ac:dyDescent="0.25">
      <c r="A545" t="s">
        <v>129</v>
      </c>
      <c r="B545" t="s">
        <v>130</v>
      </c>
      <c r="C545">
        <v>4</v>
      </c>
      <c r="D545">
        <v>2</v>
      </c>
      <c r="E545"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v>45.989229368177298</v>
      </c>
      <c r="P545">
        <v>767.99726584738801</v>
      </c>
      <c r="Q545">
        <v>1845.70359492283</v>
      </c>
      <c r="R545">
        <v>4891.1145265454898</v>
      </c>
      <c r="S545">
        <v>158</v>
      </c>
      <c r="T545">
        <v>4.2999999999999997E-2</v>
      </c>
      <c r="U545">
        <v>0</v>
      </c>
    </row>
    <row r="546" spans="1:21" x14ac:dyDescent="0.25">
      <c r="A546" t="s">
        <v>129</v>
      </c>
      <c r="B546" t="s">
        <v>130</v>
      </c>
      <c r="C546">
        <v>5</v>
      </c>
      <c r="D546">
        <v>2</v>
      </c>
      <c r="E546"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v>55.219563033716</v>
      </c>
      <c r="P546">
        <v>1300.5820447465801</v>
      </c>
      <c r="Q546">
        <v>3125.6477883839998</v>
      </c>
      <c r="R546">
        <v>8282.9666392176096</v>
      </c>
      <c r="S546">
        <v>158</v>
      </c>
      <c r="T546">
        <v>4.2999999999999997E-2</v>
      </c>
      <c r="U546">
        <v>0</v>
      </c>
    </row>
    <row r="547" spans="1:21" x14ac:dyDescent="0.25">
      <c r="A547" t="s">
        <v>129</v>
      </c>
      <c r="B547" t="s">
        <v>130</v>
      </c>
      <c r="C547">
        <v>6</v>
      </c>
      <c r="D547">
        <v>2</v>
      </c>
      <c r="E547"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v>63.689263957451402</v>
      </c>
      <c r="P547">
        <v>1961.64653301096</v>
      </c>
      <c r="Q547">
        <v>4714.3632131962504</v>
      </c>
      <c r="R547">
        <v>12493.062514970001</v>
      </c>
      <c r="S547">
        <v>158</v>
      </c>
      <c r="T547">
        <v>4.2999999999999997E-2</v>
      </c>
      <c r="U547">
        <v>0</v>
      </c>
    </row>
    <row r="548" spans="1:21" x14ac:dyDescent="0.25">
      <c r="A548" t="s">
        <v>129</v>
      </c>
      <c r="B548" t="s">
        <v>130</v>
      </c>
      <c r="C548">
        <v>7</v>
      </c>
      <c r="D548">
        <v>2</v>
      </c>
      <c r="E548"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v>71.461012665231095</v>
      </c>
      <c r="P548">
        <v>2732.9344287040599</v>
      </c>
      <c r="Q548">
        <v>6567.9750749917403</v>
      </c>
      <c r="R548">
        <v>17405.1339487281</v>
      </c>
      <c r="S548">
        <v>158</v>
      </c>
      <c r="T548">
        <v>4.2999999999999997E-2</v>
      </c>
      <c r="U548">
        <v>0</v>
      </c>
    </row>
    <row r="549" spans="1:21" x14ac:dyDescent="0.25">
      <c r="A549" t="s">
        <v>129</v>
      </c>
      <c r="B549" t="s">
        <v>130</v>
      </c>
      <c r="C549">
        <v>8</v>
      </c>
      <c r="D549">
        <v>2</v>
      </c>
      <c r="E549"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v>78.5923244459823</v>
      </c>
      <c r="P549">
        <v>3594.2211705995601</v>
      </c>
      <c r="Q549">
        <v>8637.8783239595195</v>
      </c>
      <c r="R549">
        <v>22890.377558492699</v>
      </c>
      <c r="S549">
        <v>158</v>
      </c>
      <c r="T549">
        <v>4.2999999999999997E-2</v>
      </c>
      <c r="U549">
        <v>0</v>
      </c>
    </row>
    <row r="550" spans="1:21" x14ac:dyDescent="0.25">
      <c r="A550" t="s">
        <v>129</v>
      </c>
      <c r="B550" t="s">
        <v>130</v>
      </c>
      <c r="C550">
        <v>9</v>
      </c>
      <c r="D550">
        <v>2</v>
      </c>
      <c r="E550"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v>85.135974997031994</v>
      </c>
      <c r="P550">
        <v>4525.1791917624996</v>
      </c>
      <c r="Q550">
        <v>10875.2203599195</v>
      </c>
      <c r="R550">
        <v>28819.3339537867</v>
      </c>
      <c r="S550">
        <v>158</v>
      </c>
      <c r="T550">
        <v>4.2999999999999997E-2</v>
      </c>
      <c r="U550">
        <v>0</v>
      </c>
    </row>
    <row r="551" spans="1:21" x14ac:dyDescent="0.25">
      <c r="A551" t="s">
        <v>129</v>
      </c>
      <c r="B551" t="s">
        <v>130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v>91.140390993795705</v>
      </c>
      <c r="P551">
        <v>5506.5218729766202</v>
      </c>
      <c r="Q551">
        <v>13233.650259496801</v>
      </c>
      <c r="R551">
        <v>35069.1731876665</v>
      </c>
      <c r="S551">
        <v>158</v>
      </c>
      <c r="T551">
        <v>4.2999999999999997E-2</v>
      </c>
      <c r="U551">
        <v>0</v>
      </c>
    </row>
    <row r="552" spans="1:21" x14ac:dyDescent="0.25">
      <c r="A552" t="s">
        <v>131</v>
      </c>
      <c r="B552" t="s">
        <v>132</v>
      </c>
      <c r="C552">
        <v>1</v>
      </c>
      <c r="D552">
        <v>2</v>
      </c>
      <c r="E552"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v>15.066373896171299</v>
      </c>
      <c r="P552">
        <v>36.505086715089099</v>
      </c>
      <c r="Q552">
        <v>87.731522987476794</v>
      </c>
      <c r="R552">
        <v>232.48853591681299</v>
      </c>
      <c r="S552">
        <v>45.7</v>
      </c>
      <c r="T552">
        <v>0.2</v>
      </c>
      <c r="U552">
        <v>0</v>
      </c>
    </row>
    <row r="553" spans="1:21" x14ac:dyDescent="0.25">
      <c r="A553" t="s">
        <v>131</v>
      </c>
      <c r="B553" t="s">
        <v>132</v>
      </c>
      <c r="C553">
        <v>2</v>
      </c>
      <c r="D553">
        <v>2</v>
      </c>
      <c r="E553"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v>25.165666339843</v>
      </c>
      <c r="P553">
        <v>161.61158694284299</v>
      </c>
      <c r="Q553">
        <v>388.39602725989698</v>
      </c>
      <c r="R553">
        <v>1029.24947223873</v>
      </c>
      <c r="S553">
        <v>45.7</v>
      </c>
      <c r="T553">
        <v>0.2</v>
      </c>
      <c r="U553">
        <v>0</v>
      </c>
    </row>
    <row r="554" spans="1:21" x14ac:dyDescent="0.25">
      <c r="A554" t="s">
        <v>131</v>
      </c>
      <c r="B554" t="s">
        <v>132</v>
      </c>
      <c r="C554">
        <v>3</v>
      </c>
      <c r="D554">
        <v>2</v>
      </c>
      <c r="E554"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v>31.9354245156124</v>
      </c>
      <c r="P554">
        <v>322.49192680133098</v>
      </c>
      <c r="Q554">
        <v>775.03467147640299</v>
      </c>
      <c r="R554">
        <v>2053.84187941247</v>
      </c>
      <c r="S554">
        <v>45.7</v>
      </c>
      <c r="T554">
        <v>0.2</v>
      </c>
      <c r="U554">
        <v>0</v>
      </c>
    </row>
    <row r="555" spans="1:21" x14ac:dyDescent="0.25">
      <c r="A555" t="s">
        <v>131</v>
      </c>
      <c r="B555" t="s">
        <v>132</v>
      </c>
      <c r="C555">
        <v>4</v>
      </c>
      <c r="D555">
        <v>2</v>
      </c>
      <c r="E555"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v>36.473329127644298</v>
      </c>
      <c r="P555">
        <v>474.085543126929</v>
      </c>
      <c r="Q555">
        <v>1139.35482606808</v>
      </c>
      <c r="R555">
        <v>3019.2902890804098</v>
      </c>
      <c r="S555">
        <v>45.7</v>
      </c>
      <c r="T555">
        <v>0.2</v>
      </c>
      <c r="U555">
        <v>0</v>
      </c>
    </row>
    <row r="556" spans="1:21" x14ac:dyDescent="0.25">
      <c r="A556" t="s">
        <v>131</v>
      </c>
      <c r="B556" t="s">
        <v>132</v>
      </c>
      <c r="C556">
        <v>5</v>
      </c>
      <c r="D556">
        <v>2</v>
      </c>
      <c r="E556"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v>39.515177556086797</v>
      </c>
      <c r="P556">
        <v>598.05820783112802</v>
      </c>
      <c r="Q556">
        <v>1437.2944192048301</v>
      </c>
      <c r="R556">
        <v>3808.8302108927901</v>
      </c>
      <c r="S556">
        <v>45.7</v>
      </c>
      <c r="T556">
        <v>0.2</v>
      </c>
      <c r="U556">
        <v>0</v>
      </c>
    </row>
    <row r="557" spans="1:21" x14ac:dyDescent="0.25">
      <c r="A557" t="s">
        <v>131</v>
      </c>
      <c r="B557" t="s">
        <v>132</v>
      </c>
      <c r="C557">
        <v>6</v>
      </c>
      <c r="D557">
        <v>2</v>
      </c>
      <c r="E557"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v>41.554189534673903</v>
      </c>
      <c r="P557">
        <v>692.00782131257404</v>
      </c>
      <c r="Q557">
        <v>1663.08056071275</v>
      </c>
      <c r="R557">
        <v>4407.1634858887801</v>
      </c>
      <c r="S557">
        <v>45.7</v>
      </c>
      <c r="T557">
        <v>0.2</v>
      </c>
      <c r="U557">
        <v>0</v>
      </c>
    </row>
    <row r="558" spans="1:21" x14ac:dyDescent="0.25">
      <c r="A558" t="s">
        <v>131</v>
      </c>
      <c r="B558" t="s">
        <v>132</v>
      </c>
      <c r="C558">
        <v>7</v>
      </c>
      <c r="D558">
        <v>2</v>
      </c>
      <c r="E558"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v>42.920980138027602</v>
      </c>
      <c r="P558">
        <v>760.09865717706396</v>
      </c>
      <c r="Q558">
        <v>1826.72111794536</v>
      </c>
      <c r="R558">
        <v>4840.8109625551997</v>
      </c>
      <c r="S558">
        <v>45.7</v>
      </c>
      <c r="T558">
        <v>0.2</v>
      </c>
      <c r="U558">
        <v>0</v>
      </c>
    </row>
    <row r="559" spans="1:21" x14ac:dyDescent="0.25">
      <c r="A559" t="s">
        <v>131</v>
      </c>
      <c r="B559" t="s">
        <v>132</v>
      </c>
      <c r="C559">
        <v>8</v>
      </c>
      <c r="D559">
        <v>2</v>
      </c>
      <c r="E559"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v>43.837167278188701</v>
      </c>
      <c r="P559">
        <v>808.11140356816702</v>
      </c>
      <c r="Q559">
        <v>1942.1086363089801</v>
      </c>
      <c r="R559">
        <v>5146.5878862188001</v>
      </c>
      <c r="S559">
        <v>45.7</v>
      </c>
      <c r="T559">
        <v>0.2</v>
      </c>
      <c r="U559">
        <v>0</v>
      </c>
    </row>
    <row r="560" spans="1:21" x14ac:dyDescent="0.25">
      <c r="A560" t="s">
        <v>131</v>
      </c>
      <c r="B560" t="s">
        <v>132</v>
      </c>
      <c r="C560">
        <v>9</v>
      </c>
      <c r="D560">
        <v>2</v>
      </c>
      <c r="E560"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v>44.4513058841587</v>
      </c>
      <c r="P560">
        <v>841.38188165621102</v>
      </c>
      <c r="Q560">
        <v>2022.06652645088</v>
      </c>
      <c r="R560">
        <v>5358.4762950948298</v>
      </c>
      <c r="S560">
        <v>45.7</v>
      </c>
      <c r="T560">
        <v>0.2</v>
      </c>
      <c r="U560">
        <v>0</v>
      </c>
    </row>
    <row r="561" spans="1:21" x14ac:dyDescent="0.25">
      <c r="A561" t="s">
        <v>131</v>
      </c>
      <c r="B561" t="s">
        <v>132</v>
      </c>
      <c r="C561">
        <v>10</v>
      </c>
      <c r="D561">
        <v>2</v>
      </c>
      <c r="E561"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v>44.862975302784797</v>
      </c>
      <c r="P561">
        <v>864.17847758364303</v>
      </c>
      <c r="Q561">
        <v>2076.8528660986399</v>
      </c>
      <c r="R561">
        <v>5503.66009516139</v>
      </c>
      <c r="S561">
        <v>45.7</v>
      </c>
      <c r="T561">
        <v>0.2</v>
      </c>
      <c r="U561">
        <v>0</v>
      </c>
    </row>
    <row r="562" spans="1:21" x14ac:dyDescent="0.25">
      <c r="A562" t="s">
        <v>133</v>
      </c>
      <c r="B562" t="s">
        <v>134</v>
      </c>
      <c r="C562">
        <v>1</v>
      </c>
      <c r="D562">
        <v>3</v>
      </c>
      <c r="E562"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v>29.546722842284201</v>
      </c>
      <c r="P562">
        <v>459.60273867480799</v>
      </c>
      <c r="Q562">
        <v>1104.54875913196</v>
      </c>
      <c r="R562">
        <v>2927.0542116996899</v>
      </c>
      <c r="S562">
        <v>114</v>
      </c>
      <c r="T562">
        <v>0.1</v>
      </c>
      <c r="U562">
        <v>0</v>
      </c>
    </row>
    <row r="563" spans="1:21" x14ac:dyDescent="0.25">
      <c r="A563" t="s">
        <v>133</v>
      </c>
      <c r="B563" t="s">
        <v>134</v>
      </c>
      <c r="C563">
        <v>2</v>
      </c>
      <c r="D563">
        <v>3</v>
      </c>
      <c r="E563"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v>51.435473485281001</v>
      </c>
      <c r="P563">
        <v>2562.8206892267699</v>
      </c>
      <c r="Q563">
        <v>6159.1460928305096</v>
      </c>
      <c r="R563">
        <v>16321.7371460008</v>
      </c>
      <c r="S563">
        <v>114</v>
      </c>
      <c r="T563">
        <v>0.1</v>
      </c>
      <c r="U563">
        <v>0</v>
      </c>
    </row>
    <row r="564" spans="1:21" x14ac:dyDescent="0.25">
      <c r="A564" t="s">
        <v>133</v>
      </c>
      <c r="B564" t="s">
        <v>134</v>
      </c>
      <c r="C564">
        <v>3</v>
      </c>
      <c r="D564">
        <v>3</v>
      </c>
      <c r="E564"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v>67.651058789571707</v>
      </c>
      <c r="P564">
        <v>5993.1476155814598</v>
      </c>
      <c r="Q564">
        <v>14403.1425512652</v>
      </c>
      <c r="R564">
        <v>38168.327760852902</v>
      </c>
      <c r="S564">
        <v>114</v>
      </c>
      <c r="T564">
        <v>0.1</v>
      </c>
      <c r="U564">
        <v>0</v>
      </c>
    </row>
    <row r="565" spans="1:21" x14ac:dyDescent="0.25">
      <c r="A565" t="s">
        <v>133</v>
      </c>
      <c r="B565" t="s">
        <v>134</v>
      </c>
      <c r="C565">
        <v>4</v>
      </c>
      <c r="D565">
        <v>3</v>
      </c>
      <c r="E565"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v>79.663859842009003</v>
      </c>
      <c r="P565">
        <v>9947.4986753603207</v>
      </c>
      <c r="Q565">
        <v>23906.509674021399</v>
      </c>
      <c r="R565">
        <v>63352.250636156801</v>
      </c>
      <c r="S565">
        <v>114</v>
      </c>
      <c r="T565">
        <v>0.1</v>
      </c>
      <c r="U565">
        <v>0</v>
      </c>
    </row>
    <row r="566" spans="1:21" x14ac:dyDescent="0.25">
      <c r="A566" t="s">
        <v>133</v>
      </c>
      <c r="B566" t="s">
        <v>134</v>
      </c>
      <c r="C566">
        <v>5</v>
      </c>
      <c r="D566">
        <v>3</v>
      </c>
      <c r="E566"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v>88.563161743078993</v>
      </c>
      <c r="P566">
        <v>13813.0113976149</v>
      </c>
      <c r="Q566">
        <v>33196.374423491703</v>
      </c>
      <c r="R566">
        <v>87970.392222252907</v>
      </c>
      <c r="S566">
        <v>114</v>
      </c>
      <c r="T566">
        <v>0.1</v>
      </c>
      <c r="U566">
        <v>0</v>
      </c>
    </row>
    <row r="567" spans="1:21" x14ac:dyDescent="0.25">
      <c r="A567" t="s">
        <v>133</v>
      </c>
      <c r="B567" t="s">
        <v>134</v>
      </c>
      <c r="C567">
        <v>6</v>
      </c>
      <c r="D567">
        <v>3</v>
      </c>
      <c r="E567"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v>95.155926742739098</v>
      </c>
      <c r="P567">
        <v>17256.584213301299</v>
      </c>
      <c r="Q567">
        <v>41472.204309784502</v>
      </c>
      <c r="R567">
        <v>109901.34142092901</v>
      </c>
      <c r="S567">
        <v>114</v>
      </c>
      <c r="T567">
        <v>0.1</v>
      </c>
      <c r="U567">
        <v>0</v>
      </c>
    </row>
    <row r="568" spans="1:21" x14ac:dyDescent="0.25">
      <c r="A568" t="s">
        <v>133</v>
      </c>
      <c r="B568" t="s">
        <v>134</v>
      </c>
      <c r="C568">
        <v>7</v>
      </c>
      <c r="D568">
        <v>3</v>
      </c>
      <c r="E568"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v>100.03996717916</v>
      </c>
      <c r="P568">
        <v>20153.092430026401</v>
      </c>
      <c r="Q568">
        <v>48433.291107970203</v>
      </c>
      <c r="R568">
        <v>128348.22143612101</v>
      </c>
      <c r="S568">
        <v>114</v>
      </c>
      <c r="T568">
        <v>0.1</v>
      </c>
      <c r="U568">
        <v>0</v>
      </c>
    </row>
    <row r="569" spans="1:21" x14ac:dyDescent="0.25">
      <c r="A569" t="s">
        <v>133</v>
      </c>
      <c r="B569" t="s">
        <v>134</v>
      </c>
      <c r="C569">
        <v>8</v>
      </c>
      <c r="D569">
        <v>3</v>
      </c>
      <c r="E569"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v>103.65815332500701</v>
      </c>
      <c r="P569">
        <v>22499.583071964</v>
      </c>
      <c r="Q569">
        <v>54072.538024426904</v>
      </c>
      <c r="R569">
        <v>143292.225764731</v>
      </c>
      <c r="S569">
        <v>114</v>
      </c>
      <c r="T569">
        <v>0.1</v>
      </c>
      <c r="U569">
        <v>0</v>
      </c>
    </row>
    <row r="570" spans="1:21" x14ac:dyDescent="0.25">
      <c r="A570" t="s">
        <v>133</v>
      </c>
      <c r="B570" t="s">
        <v>134</v>
      </c>
      <c r="C570">
        <v>9</v>
      </c>
      <c r="D570">
        <v>3</v>
      </c>
      <c r="E570"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v>106.33857154766901</v>
      </c>
      <c r="P570">
        <v>24352.596306280098</v>
      </c>
      <c r="Q570">
        <v>58525.826258784298</v>
      </c>
      <c r="R570">
        <v>155093.43958577799</v>
      </c>
      <c r="S570">
        <v>114</v>
      </c>
      <c r="T570">
        <v>0.1</v>
      </c>
      <c r="U570">
        <v>0</v>
      </c>
    </row>
    <row r="571" spans="1:21" x14ac:dyDescent="0.25">
      <c r="A571" t="s">
        <v>133</v>
      </c>
      <c r="B571" t="s">
        <v>134</v>
      </c>
      <c r="C571">
        <v>10</v>
      </c>
      <c r="D571">
        <v>3</v>
      </c>
      <c r="E571"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v>108.324274206064</v>
      </c>
      <c r="P571">
        <v>25790.137840376901</v>
      </c>
      <c r="Q571">
        <v>61980.624466178502</v>
      </c>
      <c r="R571">
        <v>164248.65483537299</v>
      </c>
      <c r="S571">
        <v>114</v>
      </c>
      <c r="T571">
        <v>0.1</v>
      </c>
      <c r="U571">
        <v>0</v>
      </c>
    </row>
    <row r="572" spans="1:21" x14ac:dyDescent="0.25">
      <c r="A572" t="s">
        <v>135</v>
      </c>
      <c r="B572" t="s">
        <v>136</v>
      </c>
      <c r="C572">
        <v>1</v>
      </c>
      <c r="D572">
        <v>2</v>
      </c>
      <c r="E572"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v>10.867623885161199</v>
      </c>
      <c r="P572">
        <v>15.402281088118899</v>
      </c>
      <c r="Q572">
        <v>37.015816121410502</v>
      </c>
      <c r="R572">
        <v>98.091912721737899</v>
      </c>
      <c r="S572">
        <v>60.5</v>
      </c>
      <c r="T572">
        <v>9.9000000000000005E-2</v>
      </c>
      <c r="U572">
        <v>0</v>
      </c>
    </row>
    <row r="573" spans="1:21" x14ac:dyDescent="0.25">
      <c r="A573" t="s">
        <v>135</v>
      </c>
      <c r="B573" t="s">
        <v>136</v>
      </c>
      <c r="C573">
        <v>2</v>
      </c>
      <c r="D573">
        <v>2</v>
      </c>
      <c r="E573"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v>19.7830948957881</v>
      </c>
      <c r="P573">
        <v>92.910318473838302</v>
      </c>
      <c r="Q573">
        <v>223.28843661100299</v>
      </c>
      <c r="R573">
        <v>591.71435701915698</v>
      </c>
      <c r="S573">
        <v>60.5</v>
      </c>
      <c r="T573">
        <v>9.9000000000000005E-2</v>
      </c>
      <c r="U573">
        <v>0</v>
      </c>
    </row>
    <row r="574" spans="1:21" x14ac:dyDescent="0.25">
      <c r="A574" t="s">
        <v>135</v>
      </c>
      <c r="B574" t="s">
        <v>136</v>
      </c>
      <c r="C574">
        <v>3</v>
      </c>
      <c r="D574">
        <v>2</v>
      </c>
      <c r="E574"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v>27.097078539430701</v>
      </c>
      <c r="P574">
        <v>238.75290053153901</v>
      </c>
      <c r="Q574">
        <v>573.78731202004099</v>
      </c>
      <c r="R574">
        <v>1520.5363768531099</v>
      </c>
      <c r="S574">
        <v>60.5</v>
      </c>
      <c r="T574">
        <v>9.9000000000000005E-2</v>
      </c>
      <c r="U574">
        <v>0</v>
      </c>
    </row>
    <row r="575" spans="1:21" x14ac:dyDescent="0.25">
      <c r="A575" t="s">
        <v>135</v>
      </c>
      <c r="B575" t="s">
        <v>136</v>
      </c>
      <c r="C575">
        <v>4</v>
      </c>
      <c r="D575">
        <v>2</v>
      </c>
      <c r="E575"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v>33.0972502270183</v>
      </c>
      <c r="P575">
        <v>435.06784457378302</v>
      </c>
      <c r="Q575">
        <v>1045.5848223354601</v>
      </c>
      <c r="R575">
        <v>2770.7997791889602</v>
      </c>
      <c r="S575">
        <v>60.5</v>
      </c>
      <c r="T575">
        <v>9.9000000000000005E-2</v>
      </c>
      <c r="U575">
        <v>0</v>
      </c>
    </row>
    <row r="576" spans="1:21" x14ac:dyDescent="0.25">
      <c r="A576" t="s">
        <v>135</v>
      </c>
      <c r="B576" t="s">
        <v>136</v>
      </c>
      <c r="C576">
        <v>5</v>
      </c>
      <c r="D576">
        <v>2</v>
      </c>
      <c r="E576"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v>38.019610193166201</v>
      </c>
      <c r="P576">
        <v>659.48394244968597</v>
      </c>
      <c r="Q576">
        <v>1584.9169489297899</v>
      </c>
      <c r="R576">
        <v>4200.02991466395</v>
      </c>
      <c r="S576">
        <v>60.5</v>
      </c>
      <c r="T576">
        <v>9.9000000000000005E-2</v>
      </c>
      <c r="U576">
        <v>0</v>
      </c>
    </row>
    <row r="577" spans="1:21" x14ac:dyDescent="0.25">
      <c r="A577" t="s">
        <v>135</v>
      </c>
      <c r="B577" t="s">
        <v>136</v>
      </c>
      <c r="C577">
        <v>6</v>
      </c>
      <c r="D577">
        <v>2</v>
      </c>
      <c r="E577"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v>42.057765915686602</v>
      </c>
      <c r="P577">
        <v>892.72941441720604</v>
      </c>
      <c r="Q577">
        <v>2145.4684316683602</v>
      </c>
      <c r="R577">
        <v>5685.4913439211596</v>
      </c>
      <c r="S577">
        <v>60.5</v>
      </c>
      <c r="T577">
        <v>9.9000000000000005E-2</v>
      </c>
      <c r="U577">
        <v>0</v>
      </c>
    </row>
    <row r="578" spans="1:21" x14ac:dyDescent="0.25">
      <c r="A578" t="s">
        <v>135</v>
      </c>
      <c r="B578" t="s">
        <v>136</v>
      </c>
      <c r="C578">
        <v>7</v>
      </c>
      <c r="D578">
        <v>2</v>
      </c>
      <c r="E578"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v>45.370547132718301</v>
      </c>
      <c r="P578">
        <v>1120.7359308993</v>
      </c>
      <c r="Q578">
        <v>2693.4292980035998</v>
      </c>
      <c r="R578">
        <v>7137.5876397095499</v>
      </c>
      <c r="S578">
        <v>60.5</v>
      </c>
      <c r="T578">
        <v>9.9000000000000005E-2</v>
      </c>
      <c r="U578">
        <v>0</v>
      </c>
    </row>
    <row r="579" spans="1:21" x14ac:dyDescent="0.25">
      <c r="A579" t="s">
        <v>135</v>
      </c>
      <c r="B579" t="s">
        <v>136</v>
      </c>
      <c r="C579">
        <v>8</v>
      </c>
      <c r="D579">
        <v>2</v>
      </c>
      <c r="E579"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v>48.088252973212398</v>
      </c>
      <c r="P579">
        <v>1334.43752153734</v>
      </c>
      <c r="Q579">
        <v>3207.01158744855</v>
      </c>
      <c r="R579">
        <v>8498.5807067386504</v>
      </c>
      <c r="S579">
        <v>60.5</v>
      </c>
      <c r="T579">
        <v>9.9000000000000005E-2</v>
      </c>
      <c r="U579">
        <v>0</v>
      </c>
    </row>
    <row r="580" spans="1:21" x14ac:dyDescent="0.25">
      <c r="A580" t="s">
        <v>135</v>
      </c>
      <c r="B580" t="s">
        <v>136</v>
      </c>
      <c r="C580">
        <v>9</v>
      </c>
      <c r="D580">
        <v>2</v>
      </c>
      <c r="E580"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v>50.317776914450299</v>
      </c>
      <c r="P580">
        <v>1528.78207527939</v>
      </c>
      <c r="Q580">
        <v>3674.07372093101</v>
      </c>
      <c r="R580">
        <v>9736.2953604671693</v>
      </c>
      <c r="S580">
        <v>60.5</v>
      </c>
      <c r="T580">
        <v>9.9000000000000005E-2</v>
      </c>
      <c r="U580">
        <v>0</v>
      </c>
    </row>
    <row r="581" spans="1:21" x14ac:dyDescent="0.25">
      <c r="A581" t="s">
        <v>135</v>
      </c>
      <c r="B581" t="s">
        <v>136</v>
      </c>
      <c r="C581">
        <v>10</v>
      </c>
      <c r="D581">
        <v>2</v>
      </c>
      <c r="E581"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v>52.146811142691</v>
      </c>
      <c r="P581">
        <v>1701.6275700194101</v>
      </c>
      <c r="Q581">
        <v>4089.46784431485</v>
      </c>
      <c r="R581">
        <v>10837.089787434399</v>
      </c>
      <c r="S581">
        <v>60.5</v>
      </c>
      <c r="T581">
        <v>9.9000000000000005E-2</v>
      </c>
      <c r="U581">
        <v>0</v>
      </c>
    </row>
    <row r="582" spans="1:21" x14ac:dyDescent="0.25">
      <c r="A582" t="s">
        <v>137</v>
      </c>
      <c r="B582" t="s">
        <v>138</v>
      </c>
      <c r="C582">
        <v>1</v>
      </c>
      <c r="D582">
        <v>1</v>
      </c>
      <c r="E582"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v>14.233095682371999</v>
      </c>
      <c r="P582">
        <v>22.346742947147799</v>
      </c>
      <c r="Q582">
        <v>53.705222175313203</v>
      </c>
      <c r="R582">
        <v>142.31883876457999</v>
      </c>
      <c r="S582">
        <v>50</v>
      </c>
      <c r="T582">
        <v>0.33500000000000002</v>
      </c>
      <c r="U582">
        <v>0</v>
      </c>
    </row>
    <row r="583" spans="1:21" x14ac:dyDescent="0.25">
      <c r="A583" t="s">
        <v>137</v>
      </c>
      <c r="B583" t="s">
        <v>138</v>
      </c>
      <c r="C583">
        <v>2</v>
      </c>
      <c r="D583">
        <v>1</v>
      </c>
      <c r="E583"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v>24.414571110672899</v>
      </c>
      <c r="P583">
        <v>102.348262303053</v>
      </c>
      <c r="Q583">
        <v>245.970349202243</v>
      </c>
      <c r="R583">
        <v>651.82142538594405</v>
      </c>
      <c r="S583">
        <v>50</v>
      </c>
      <c r="T583">
        <v>0.33500000000000002</v>
      </c>
      <c r="U583">
        <v>0</v>
      </c>
    </row>
    <row r="584" spans="1:21" x14ac:dyDescent="0.25">
      <c r="A584" t="s">
        <v>137</v>
      </c>
      <c r="B584" t="s">
        <v>138</v>
      </c>
      <c r="C584">
        <v>3</v>
      </c>
      <c r="D584">
        <v>1</v>
      </c>
      <c r="E584"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v>31.697768259799201</v>
      </c>
      <c r="P584">
        <v>213.70314200022801</v>
      </c>
      <c r="Q584">
        <v>513.58601778473405</v>
      </c>
      <c r="R584">
        <v>1361.00294712954</v>
      </c>
      <c r="S584">
        <v>50</v>
      </c>
      <c r="T584">
        <v>0.33500000000000002</v>
      </c>
      <c r="U584">
        <v>0</v>
      </c>
    </row>
    <row r="585" spans="1:21" x14ac:dyDescent="0.25">
      <c r="A585" t="s">
        <v>137</v>
      </c>
      <c r="B585" t="s">
        <v>138</v>
      </c>
      <c r="C585">
        <v>4</v>
      </c>
      <c r="D585">
        <v>1</v>
      </c>
      <c r="E585"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v>36.907716570983702</v>
      </c>
      <c r="P585">
        <v>328.23164678402202</v>
      </c>
      <c r="Q585">
        <v>788.82875939442795</v>
      </c>
      <c r="R585">
        <v>2090.3962123952401</v>
      </c>
      <c r="S585">
        <v>50</v>
      </c>
      <c r="T585">
        <v>0.33500000000000002</v>
      </c>
      <c r="U585">
        <v>0</v>
      </c>
    </row>
    <row r="586" spans="1:21" x14ac:dyDescent="0.25">
      <c r="A586" t="s">
        <v>137</v>
      </c>
      <c r="B586" t="s">
        <v>138</v>
      </c>
      <c r="C586">
        <v>5</v>
      </c>
      <c r="D586">
        <v>1</v>
      </c>
      <c r="E586"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v>40.634591025902203</v>
      </c>
      <c r="P586">
        <v>430.52307294985798</v>
      </c>
      <c r="Q586">
        <v>1034.66251610156</v>
      </c>
      <c r="R586">
        <v>2741.8556676691301</v>
      </c>
      <c r="S586">
        <v>50</v>
      </c>
      <c r="T586">
        <v>0.33500000000000002</v>
      </c>
      <c r="U586">
        <v>0</v>
      </c>
    </row>
    <row r="587" spans="1:21" x14ac:dyDescent="0.25">
      <c r="A587" t="s">
        <v>137</v>
      </c>
      <c r="B587" t="s">
        <v>138</v>
      </c>
      <c r="C587">
        <v>6</v>
      </c>
      <c r="D587">
        <v>1</v>
      </c>
      <c r="E587"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v>43.300566266559798</v>
      </c>
      <c r="P587">
        <v>515.01739410924904</v>
      </c>
      <c r="Q587">
        <v>1237.72505193283</v>
      </c>
      <c r="R587">
        <v>3279.9713876219898</v>
      </c>
      <c r="S587">
        <v>50</v>
      </c>
      <c r="T587">
        <v>0.33500000000000002</v>
      </c>
      <c r="U587">
        <v>0</v>
      </c>
    </row>
    <row r="588" spans="1:21" x14ac:dyDescent="0.25">
      <c r="A588" t="s">
        <v>137</v>
      </c>
      <c r="B588" t="s">
        <v>138</v>
      </c>
      <c r="C588">
        <v>7</v>
      </c>
      <c r="D588">
        <v>1</v>
      </c>
      <c r="E588"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v>45.207639893475097</v>
      </c>
      <c r="P588">
        <v>581.57722029877402</v>
      </c>
      <c r="Q588">
        <v>1397.68618192448</v>
      </c>
      <c r="R588">
        <v>3703.8683820998599</v>
      </c>
      <c r="S588">
        <v>50</v>
      </c>
      <c r="T588">
        <v>0.33500000000000002</v>
      </c>
      <c r="U588">
        <v>0</v>
      </c>
    </row>
    <row r="589" spans="1:21" x14ac:dyDescent="0.25">
      <c r="A589" t="s">
        <v>137</v>
      </c>
      <c r="B589" t="s">
        <v>138</v>
      </c>
      <c r="C589">
        <v>8</v>
      </c>
      <c r="D589">
        <v>1</v>
      </c>
      <c r="E589"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v>46.5718422922861</v>
      </c>
      <c r="P589">
        <v>632.43813909693301</v>
      </c>
      <c r="Q589">
        <v>1519.91862316014</v>
      </c>
      <c r="R589">
        <v>4027.7843513743701</v>
      </c>
      <c r="S589">
        <v>50</v>
      </c>
      <c r="T589">
        <v>0.33500000000000002</v>
      </c>
      <c r="U589">
        <v>0</v>
      </c>
    </row>
    <row r="590" spans="1:21" x14ac:dyDescent="0.25">
      <c r="A590" t="s">
        <v>137</v>
      </c>
      <c r="B590" t="s">
        <v>138</v>
      </c>
      <c r="C590">
        <v>9</v>
      </c>
      <c r="D590">
        <v>1</v>
      </c>
      <c r="E590"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v>47.547708225649203</v>
      </c>
      <c r="P590">
        <v>670.52573986895095</v>
      </c>
      <c r="Q590">
        <v>1611.4533522445299</v>
      </c>
      <c r="R590">
        <v>4270.35138344801</v>
      </c>
      <c r="S590">
        <v>50</v>
      </c>
      <c r="T590">
        <v>0.33500000000000002</v>
      </c>
      <c r="U590">
        <v>0</v>
      </c>
    </row>
    <row r="591" spans="1:21" x14ac:dyDescent="0.25">
      <c r="A591" t="s">
        <v>137</v>
      </c>
      <c r="B591" t="s">
        <v>138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S10" zoomScaleNormal="100" workbookViewId="0">
      <selection activeCell="G1" sqref="G1"/>
    </sheetView>
  </sheetViews>
  <sheetFormatPr defaultRowHeight="15" x14ac:dyDescent="0.25"/>
  <cols>
    <col min="1" max="2" width="8.5703125"/>
    <col min="3" max="3" width="11.28515625"/>
    <col min="4" max="5" width="8.5703125"/>
    <col min="6" max="6" width="11.140625"/>
    <col min="7" max="16" width="8.5703125"/>
    <col min="17" max="17" width="16.85546875"/>
    <col min="18" max="18" width="8.5703125"/>
    <col min="19" max="19" width="12.5703125"/>
    <col min="20" max="20" width="8.5703125"/>
    <col min="21" max="21" width="16.85546875"/>
    <col min="22" max="22" width="11.5703125"/>
    <col min="23" max="26" width="16.7109375"/>
    <col min="27" max="27" width="5.7109375"/>
    <col min="28" max="28" width="6.85546875"/>
    <col min="29" max="1025" width="8.5703125"/>
  </cols>
  <sheetData>
    <row r="1" spans="1:28" x14ac:dyDescent="0.25">
      <c r="A1" t="s">
        <v>139</v>
      </c>
      <c r="B1" t="s">
        <v>140</v>
      </c>
      <c r="C1" t="s">
        <v>141</v>
      </c>
      <c r="D1" s="5" t="s">
        <v>142</v>
      </c>
      <c r="F1" t="s">
        <v>143</v>
      </c>
      <c r="G1" s="5" t="s">
        <v>142</v>
      </c>
      <c r="K1" t="s">
        <v>144</v>
      </c>
      <c r="L1" t="s">
        <v>145</v>
      </c>
      <c r="M1" t="s">
        <v>4</v>
      </c>
      <c r="N1" t="s">
        <v>146</v>
      </c>
      <c r="O1" t="s">
        <v>147</v>
      </c>
      <c r="Q1" t="s">
        <v>148</v>
      </c>
      <c r="R1" t="s">
        <v>149</v>
      </c>
      <c r="T1" t="s">
        <v>150</v>
      </c>
      <c r="U1" t="s">
        <v>148</v>
      </c>
      <c r="V1" s="5" t="s">
        <v>151</v>
      </c>
      <c r="W1" t="s">
        <v>141</v>
      </c>
      <c r="X1" s="5" t="s">
        <v>151</v>
      </c>
      <c r="Y1" t="s">
        <v>143</v>
      </c>
      <c r="AA1" t="s">
        <v>0</v>
      </c>
      <c r="AB1" t="s">
        <v>2</v>
      </c>
    </row>
    <row r="2" spans="1:28" x14ac:dyDescent="0.25">
      <c r="A2" t="s">
        <v>21</v>
      </c>
      <c r="B2">
        <v>18</v>
      </c>
      <c r="C2" t="s">
        <v>152</v>
      </c>
      <c r="D2">
        <v>130.36000000000001</v>
      </c>
      <c r="F2" t="s">
        <v>153</v>
      </c>
      <c r="G2">
        <v>49.19</v>
      </c>
      <c r="I2" t="s">
        <v>21</v>
      </c>
      <c r="J2" t="s">
        <v>22</v>
      </c>
      <c r="K2">
        <v>1</v>
      </c>
      <c r="L2">
        <v>1</v>
      </c>
      <c r="M2">
        <v>1</v>
      </c>
      <c r="N2">
        <v>49.194905069999997</v>
      </c>
      <c r="O2">
        <v>130.36649840000001</v>
      </c>
      <c r="Q2" t="s">
        <v>154</v>
      </c>
      <c r="R2" s="6">
        <v>450000000</v>
      </c>
      <c r="S2" t="s">
        <v>155</v>
      </c>
      <c r="T2" s="6">
        <v>300000000000</v>
      </c>
      <c r="U2" t="s">
        <v>21</v>
      </c>
      <c r="V2" t="s">
        <v>152</v>
      </c>
      <c r="W2">
        <v>15.6702154201362</v>
      </c>
      <c r="X2" t="s">
        <v>153</v>
      </c>
      <c r="Y2">
        <v>5.9132888377872499</v>
      </c>
      <c r="AA2" t="s">
        <v>21</v>
      </c>
      <c r="AB2">
        <v>1</v>
      </c>
    </row>
    <row r="3" spans="1:28" x14ac:dyDescent="0.25">
      <c r="A3" t="s">
        <v>23</v>
      </c>
      <c r="B3">
        <v>13</v>
      </c>
      <c r="C3" t="s">
        <v>156</v>
      </c>
      <c r="D3">
        <v>2197.7399999999998</v>
      </c>
      <c r="F3" t="s">
        <v>157</v>
      </c>
      <c r="G3">
        <v>829.48</v>
      </c>
      <c r="I3" t="s">
        <v>23</v>
      </c>
      <c r="J3" t="s">
        <v>24</v>
      </c>
      <c r="K3">
        <v>1</v>
      </c>
      <c r="L3">
        <v>3</v>
      </c>
      <c r="M3">
        <v>3</v>
      </c>
      <c r="N3">
        <v>829.48845900000003</v>
      </c>
      <c r="O3">
        <v>2197.74442</v>
      </c>
      <c r="Q3" t="s">
        <v>158</v>
      </c>
      <c r="R3" s="6">
        <v>28000000</v>
      </c>
      <c r="S3" t="s">
        <v>159</v>
      </c>
      <c r="T3" s="6">
        <v>600000000000</v>
      </c>
      <c r="U3" t="s">
        <v>23</v>
      </c>
      <c r="V3" t="s">
        <v>156</v>
      </c>
      <c r="W3">
        <v>30722.2293625085</v>
      </c>
      <c r="X3" t="s">
        <v>157</v>
      </c>
      <c r="Y3">
        <v>11593.2940990598</v>
      </c>
      <c r="AA3" t="s">
        <v>23</v>
      </c>
      <c r="AB3">
        <v>1</v>
      </c>
    </row>
    <row r="4" spans="1:28" x14ac:dyDescent="0.25">
      <c r="A4" t="s">
        <v>25</v>
      </c>
      <c r="B4">
        <v>15</v>
      </c>
      <c r="C4" t="s">
        <v>160</v>
      </c>
      <c r="D4">
        <v>2197.7399999999998</v>
      </c>
      <c r="F4" t="s">
        <v>161</v>
      </c>
      <c r="G4">
        <v>829.48</v>
      </c>
      <c r="I4" t="s">
        <v>25</v>
      </c>
      <c r="J4" t="s">
        <v>26</v>
      </c>
      <c r="K4">
        <v>1</v>
      </c>
      <c r="L4">
        <v>3</v>
      </c>
      <c r="M4">
        <v>3</v>
      </c>
      <c r="N4">
        <v>829.48845900000003</v>
      </c>
      <c r="O4">
        <v>2197.74442</v>
      </c>
      <c r="Q4" t="s">
        <v>162</v>
      </c>
      <c r="R4" s="6">
        <v>28000000</v>
      </c>
      <c r="S4" t="s">
        <v>163</v>
      </c>
      <c r="T4" s="6">
        <v>600000000000</v>
      </c>
      <c r="U4" t="s">
        <v>25</v>
      </c>
      <c r="V4" t="s">
        <v>160</v>
      </c>
      <c r="W4">
        <v>69414.948406311203</v>
      </c>
      <c r="X4" t="s">
        <v>161</v>
      </c>
      <c r="Y4">
        <v>26194.320153324999</v>
      </c>
      <c r="AA4" t="s">
        <v>25</v>
      </c>
      <c r="AB4">
        <v>1</v>
      </c>
    </row>
    <row r="5" spans="1:28" x14ac:dyDescent="0.25">
      <c r="A5" t="s">
        <v>27</v>
      </c>
      <c r="B5">
        <v>4</v>
      </c>
      <c r="C5" t="s">
        <v>164</v>
      </c>
      <c r="D5">
        <v>713.92</v>
      </c>
      <c r="F5" t="s">
        <v>165</v>
      </c>
      <c r="G5">
        <v>269.41000000000003</v>
      </c>
      <c r="I5" t="s">
        <v>27</v>
      </c>
      <c r="J5" t="s">
        <v>28</v>
      </c>
      <c r="K5">
        <v>1</v>
      </c>
      <c r="L5">
        <v>1</v>
      </c>
      <c r="M5">
        <v>1</v>
      </c>
      <c r="N5">
        <v>269.40639270000003</v>
      </c>
      <c r="O5">
        <v>713.92694070000005</v>
      </c>
      <c r="Q5" t="s">
        <v>166</v>
      </c>
      <c r="R5" s="6">
        <v>185000000</v>
      </c>
      <c r="S5" t="s">
        <v>167</v>
      </c>
      <c r="T5" s="6">
        <v>100000000000</v>
      </c>
      <c r="U5" t="s">
        <v>27</v>
      </c>
      <c r="V5" t="s">
        <v>164</v>
      </c>
      <c r="W5">
        <v>996.27068584899905</v>
      </c>
      <c r="X5" t="s">
        <v>165</v>
      </c>
      <c r="Y5">
        <v>375.95120220717001</v>
      </c>
      <c r="AA5" t="s">
        <v>27</v>
      </c>
      <c r="AB5">
        <v>1</v>
      </c>
    </row>
    <row r="6" spans="1:28" x14ac:dyDescent="0.25">
      <c r="A6" t="s">
        <v>29</v>
      </c>
      <c r="B6">
        <v>46</v>
      </c>
      <c r="C6" t="s">
        <v>168</v>
      </c>
      <c r="D6">
        <v>3590.52</v>
      </c>
      <c r="F6" t="s">
        <v>169</v>
      </c>
      <c r="G6">
        <v>1355</v>
      </c>
      <c r="I6" t="s">
        <v>29</v>
      </c>
      <c r="J6" t="s">
        <v>30</v>
      </c>
      <c r="K6">
        <v>1</v>
      </c>
      <c r="L6">
        <v>7</v>
      </c>
      <c r="M6" s="2">
        <v>7</v>
      </c>
      <c r="N6">
        <v>1355.00938</v>
      </c>
      <c r="O6">
        <v>3590.52486</v>
      </c>
      <c r="Q6" t="s">
        <v>170</v>
      </c>
      <c r="R6">
        <v>20000</v>
      </c>
      <c r="S6" t="s">
        <v>171</v>
      </c>
      <c r="T6" s="6">
        <v>15600000000</v>
      </c>
      <c r="U6" t="s">
        <v>29</v>
      </c>
      <c r="V6" t="s">
        <v>168</v>
      </c>
      <c r="W6">
        <v>19047.550758637299</v>
      </c>
      <c r="X6" t="s">
        <v>169</v>
      </c>
      <c r="Y6">
        <v>7187.7550032593599</v>
      </c>
      <c r="AA6" t="s">
        <v>29</v>
      </c>
      <c r="AB6">
        <v>1</v>
      </c>
    </row>
    <row r="7" spans="1:28" x14ac:dyDescent="0.25">
      <c r="A7" t="s">
        <v>31</v>
      </c>
      <c r="B7">
        <v>19</v>
      </c>
      <c r="C7" t="s">
        <v>172</v>
      </c>
      <c r="D7">
        <v>130.36000000000001</v>
      </c>
      <c r="F7" t="s">
        <v>173</v>
      </c>
      <c r="G7">
        <v>49.19</v>
      </c>
      <c r="I7" s="2" t="s">
        <v>31</v>
      </c>
      <c r="J7" t="s">
        <v>32</v>
      </c>
      <c r="K7">
        <v>1</v>
      </c>
      <c r="L7">
        <v>1</v>
      </c>
      <c r="M7">
        <v>1</v>
      </c>
      <c r="N7">
        <v>49.194905069999997</v>
      </c>
      <c r="O7">
        <v>130.36649840000001</v>
      </c>
      <c r="Q7" t="s">
        <v>174</v>
      </c>
      <c r="R7" s="6">
        <v>450000000</v>
      </c>
      <c r="S7" t="s">
        <v>175</v>
      </c>
      <c r="T7" s="6">
        <v>300000000000</v>
      </c>
      <c r="U7" t="s">
        <v>31</v>
      </c>
      <c r="V7" t="s">
        <v>172</v>
      </c>
      <c r="W7">
        <v>404.252420368012</v>
      </c>
      <c r="X7" t="s">
        <v>173</v>
      </c>
      <c r="Y7">
        <v>152.54808315774099</v>
      </c>
      <c r="AA7" t="s">
        <v>31</v>
      </c>
      <c r="AB7">
        <v>1</v>
      </c>
    </row>
    <row r="8" spans="1:28" x14ac:dyDescent="0.25">
      <c r="A8" t="s">
        <v>33</v>
      </c>
      <c r="B8">
        <v>28</v>
      </c>
      <c r="C8" t="s">
        <v>176</v>
      </c>
      <c r="D8">
        <v>337.98</v>
      </c>
      <c r="F8" t="s">
        <v>177</v>
      </c>
      <c r="G8">
        <v>127.54</v>
      </c>
      <c r="I8" t="s">
        <v>33</v>
      </c>
      <c r="J8" t="s">
        <v>34</v>
      </c>
      <c r="K8">
        <v>1</v>
      </c>
      <c r="L8">
        <v>2</v>
      </c>
      <c r="M8">
        <v>2</v>
      </c>
      <c r="N8">
        <v>127.5414564</v>
      </c>
      <c r="O8">
        <v>337.98485950000003</v>
      </c>
      <c r="Q8" t="s">
        <v>178</v>
      </c>
      <c r="R8" s="6">
        <v>1450000000</v>
      </c>
      <c r="S8" t="s">
        <v>179</v>
      </c>
      <c r="T8" s="6">
        <v>100000000000</v>
      </c>
      <c r="U8" t="s">
        <v>33</v>
      </c>
      <c r="V8" t="s">
        <v>176</v>
      </c>
      <c r="W8">
        <v>80.089254907511005</v>
      </c>
      <c r="X8" t="s">
        <v>177</v>
      </c>
      <c r="Y8">
        <v>30.222360342457002</v>
      </c>
      <c r="AA8" t="s">
        <v>33</v>
      </c>
      <c r="AB8">
        <v>1</v>
      </c>
    </row>
    <row r="9" spans="1:28" x14ac:dyDescent="0.25">
      <c r="A9" t="s">
        <v>35</v>
      </c>
      <c r="B9">
        <v>17</v>
      </c>
      <c r="C9" t="s">
        <v>180</v>
      </c>
      <c r="D9">
        <v>130.36000000000001</v>
      </c>
      <c r="F9" t="s">
        <v>181</v>
      </c>
      <c r="G9">
        <v>49.19</v>
      </c>
      <c r="I9" t="s">
        <v>35</v>
      </c>
      <c r="J9" t="s">
        <v>36</v>
      </c>
      <c r="K9">
        <v>1</v>
      </c>
      <c r="L9">
        <v>1</v>
      </c>
      <c r="M9">
        <v>1</v>
      </c>
      <c r="N9">
        <v>49.194905069999997</v>
      </c>
      <c r="O9">
        <v>130.36649840000001</v>
      </c>
      <c r="Q9" t="s">
        <v>182</v>
      </c>
      <c r="R9" s="6">
        <v>450000000</v>
      </c>
      <c r="S9" t="s">
        <v>183</v>
      </c>
      <c r="T9" s="6">
        <v>300000000000</v>
      </c>
      <c r="U9" t="s">
        <v>35</v>
      </c>
      <c r="V9" t="s">
        <v>180</v>
      </c>
      <c r="W9">
        <v>270.39361778800998</v>
      </c>
      <c r="X9" t="s">
        <v>181</v>
      </c>
      <c r="Y9">
        <v>102.035327467174</v>
      </c>
      <c r="AA9" t="s">
        <v>35</v>
      </c>
      <c r="AB9">
        <v>1</v>
      </c>
    </row>
    <row r="10" spans="1:28" x14ac:dyDescent="0.25">
      <c r="A10" t="s">
        <v>37</v>
      </c>
      <c r="B10">
        <v>56</v>
      </c>
      <c r="C10" t="s">
        <v>184</v>
      </c>
      <c r="D10">
        <v>4009729654</v>
      </c>
      <c r="F10" t="s">
        <v>185</v>
      </c>
      <c r="G10">
        <v>1513105530</v>
      </c>
      <c r="I10" t="s">
        <v>37</v>
      </c>
      <c r="J10" t="s">
        <v>38</v>
      </c>
      <c r="K10">
        <v>1</v>
      </c>
      <c r="L10">
        <v>9</v>
      </c>
      <c r="M10">
        <v>9</v>
      </c>
      <c r="N10">
        <v>1513105530</v>
      </c>
      <c r="O10">
        <v>4009729654</v>
      </c>
      <c r="Q10" t="s">
        <v>186</v>
      </c>
      <c r="R10">
        <v>7</v>
      </c>
      <c r="S10" t="s">
        <v>187</v>
      </c>
      <c r="T10" s="6">
        <v>300000000000</v>
      </c>
      <c r="U10" t="s">
        <v>37</v>
      </c>
      <c r="V10" t="s">
        <v>184</v>
      </c>
      <c r="W10">
        <v>21475883.685726099</v>
      </c>
      <c r="X10" t="s">
        <v>185</v>
      </c>
      <c r="Y10">
        <v>8104107.05121738</v>
      </c>
      <c r="AA10" t="s">
        <v>37</v>
      </c>
      <c r="AB10">
        <v>1</v>
      </c>
    </row>
    <row r="11" spans="1:28" x14ac:dyDescent="0.25">
      <c r="A11" t="s">
        <v>39</v>
      </c>
      <c r="B11">
        <v>23</v>
      </c>
      <c r="C11" t="s">
        <v>188</v>
      </c>
      <c r="D11">
        <v>819.64</v>
      </c>
      <c r="F11" t="s">
        <v>189</v>
      </c>
      <c r="G11">
        <v>309.3</v>
      </c>
      <c r="I11" t="s">
        <v>39</v>
      </c>
      <c r="J11" t="s">
        <v>40</v>
      </c>
      <c r="K11">
        <v>1</v>
      </c>
      <c r="L11">
        <v>2</v>
      </c>
      <c r="M11">
        <v>2</v>
      </c>
      <c r="N11">
        <v>309.3006489</v>
      </c>
      <c r="O11">
        <v>819.64671959999998</v>
      </c>
      <c r="Q11" t="s">
        <v>190</v>
      </c>
      <c r="R11" s="6">
        <v>37000000</v>
      </c>
      <c r="S11" t="s">
        <v>191</v>
      </c>
      <c r="T11" s="6">
        <v>25000000000</v>
      </c>
      <c r="U11" t="s">
        <v>39</v>
      </c>
      <c r="V11" t="s">
        <v>188</v>
      </c>
      <c r="W11">
        <v>199.73129049052301</v>
      </c>
      <c r="X11" t="s">
        <v>189</v>
      </c>
      <c r="Y11">
        <v>75.370298298310402</v>
      </c>
      <c r="AA11" t="s">
        <v>39</v>
      </c>
      <c r="AB11">
        <v>1</v>
      </c>
    </row>
    <row r="12" spans="1:28" x14ac:dyDescent="0.25">
      <c r="A12" t="s">
        <v>41</v>
      </c>
      <c r="B12">
        <v>42</v>
      </c>
      <c r="C12" t="s">
        <v>192</v>
      </c>
      <c r="D12">
        <v>911.02</v>
      </c>
      <c r="F12" t="s">
        <v>193</v>
      </c>
      <c r="G12">
        <v>343.77</v>
      </c>
      <c r="I12" t="s">
        <v>41</v>
      </c>
      <c r="J12" t="s">
        <v>42</v>
      </c>
      <c r="K12">
        <v>1</v>
      </c>
      <c r="L12">
        <v>4</v>
      </c>
      <c r="M12">
        <v>4</v>
      </c>
      <c r="N12">
        <v>343.77932070000003</v>
      </c>
      <c r="O12">
        <v>911.0151998</v>
      </c>
      <c r="Q12" t="s">
        <v>194</v>
      </c>
      <c r="R12" s="6">
        <v>58000000</v>
      </c>
      <c r="S12" t="s">
        <v>195</v>
      </c>
      <c r="T12" s="6">
        <v>3500000000000</v>
      </c>
      <c r="U12" t="s">
        <v>41</v>
      </c>
      <c r="V12" t="s">
        <v>192</v>
      </c>
      <c r="W12">
        <v>140.53000327082</v>
      </c>
      <c r="X12" t="s">
        <v>193</v>
      </c>
      <c r="Y12">
        <v>53.030189913516899</v>
      </c>
      <c r="AA12" t="s">
        <v>41</v>
      </c>
      <c r="AB12">
        <v>1</v>
      </c>
    </row>
    <row r="13" spans="1:28" x14ac:dyDescent="0.25">
      <c r="A13" t="s">
        <v>43</v>
      </c>
      <c r="B13">
        <v>34</v>
      </c>
      <c r="C13" t="s">
        <v>196</v>
      </c>
      <c r="D13">
        <v>337.98</v>
      </c>
      <c r="F13" t="s">
        <v>197</v>
      </c>
      <c r="G13">
        <v>127.54</v>
      </c>
      <c r="I13" t="s">
        <v>43</v>
      </c>
      <c r="J13" t="s">
        <v>44</v>
      </c>
      <c r="K13">
        <v>1</v>
      </c>
      <c r="L13">
        <v>2</v>
      </c>
      <c r="M13">
        <v>2</v>
      </c>
      <c r="N13">
        <v>127.5414564</v>
      </c>
      <c r="O13">
        <v>337.98485950000003</v>
      </c>
      <c r="Q13" t="s">
        <v>198</v>
      </c>
      <c r="R13" s="6">
        <v>1450000000</v>
      </c>
      <c r="S13" t="s">
        <v>199</v>
      </c>
      <c r="T13" s="6">
        <v>100000000000</v>
      </c>
      <c r="U13" t="s">
        <v>43</v>
      </c>
      <c r="V13" t="s">
        <v>196</v>
      </c>
      <c r="W13">
        <v>466.66919853490498</v>
      </c>
      <c r="X13" t="s">
        <v>197</v>
      </c>
      <c r="Y13">
        <v>176.10158435279399</v>
      </c>
      <c r="AA13" t="s">
        <v>43</v>
      </c>
      <c r="AB13">
        <v>1</v>
      </c>
    </row>
    <row r="14" spans="1:28" x14ac:dyDescent="0.25">
      <c r="A14" t="s">
        <v>45</v>
      </c>
      <c r="B14">
        <v>45</v>
      </c>
      <c r="C14" t="s">
        <v>200</v>
      </c>
      <c r="D14">
        <v>2172.11</v>
      </c>
      <c r="F14" t="s">
        <v>201</v>
      </c>
      <c r="G14">
        <v>819.66</v>
      </c>
      <c r="I14" t="s">
        <v>45</v>
      </c>
      <c r="J14" t="s">
        <v>46</v>
      </c>
      <c r="K14">
        <v>1</v>
      </c>
      <c r="L14">
        <v>5</v>
      </c>
      <c r="M14">
        <v>5</v>
      </c>
      <c r="N14">
        <v>819.66597860000002</v>
      </c>
      <c r="O14">
        <v>2172.1148429999998</v>
      </c>
      <c r="Q14" t="s">
        <v>202</v>
      </c>
      <c r="R14">
        <v>990000</v>
      </c>
      <c r="S14" t="s">
        <v>203</v>
      </c>
      <c r="T14" s="6">
        <v>2000000000000</v>
      </c>
      <c r="U14" t="s">
        <v>45</v>
      </c>
      <c r="V14" t="s">
        <v>200</v>
      </c>
      <c r="W14">
        <v>15351.073787568001</v>
      </c>
      <c r="X14" t="s">
        <v>201</v>
      </c>
      <c r="Y14">
        <v>5792.8580330445302</v>
      </c>
      <c r="AA14" t="s">
        <v>45</v>
      </c>
      <c r="AB14">
        <v>1</v>
      </c>
    </row>
    <row r="15" spans="1:28" x14ac:dyDescent="0.25">
      <c r="A15" t="s">
        <v>47</v>
      </c>
      <c r="B15">
        <v>22</v>
      </c>
      <c r="C15" t="s">
        <v>204</v>
      </c>
      <c r="D15">
        <v>127.37</v>
      </c>
      <c r="F15" t="s">
        <v>205</v>
      </c>
      <c r="G15">
        <v>48.06</v>
      </c>
      <c r="I15" s="2" t="s">
        <v>47</v>
      </c>
      <c r="J15" t="s">
        <v>48</v>
      </c>
      <c r="K15">
        <v>1</v>
      </c>
      <c r="L15">
        <v>1</v>
      </c>
      <c r="M15">
        <v>1</v>
      </c>
      <c r="N15">
        <v>48.065368900000003</v>
      </c>
      <c r="O15">
        <v>127.37322760000001</v>
      </c>
      <c r="Q15" t="s">
        <v>206</v>
      </c>
      <c r="R15" s="6">
        <v>1910000000</v>
      </c>
      <c r="S15" t="s">
        <v>207</v>
      </c>
      <c r="T15" s="6">
        <v>20000000000</v>
      </c>
      <c r="U15" t="s">
        <v>47</v>
      </c>
      <c r="V15" t="s">
        <v>204</v>
      </c>
      <c r="W15">
        <v>727.57224084181701</v>
      </c>
      <c r="X15" t="s">
        <v>205</v>
      </c>
      <c r="Y15">
        <v>274.55556258181798</v>
      </c>
      <c r="AA15" t="s">
        <v>47</v>
      </c>
      <c r="AB15">
        <v>1</v>
      </c>
    </row>
    <row r="16" spans="1:28" x14ac:dyDescent="0.25">
      <c r="A16" t="s">
        <v>49</v>
      </c>
      <c r="B16">
        <v>39</v>
      </c>
      <c r="C16" t="s">
        <v>208</v>
      </c>
      <c r="D16">
        <v>337.98</v>
      </c>
      <c r="F16" t="s">
        <v>209</v>
      </c>
      <c r="G16">
        <v>127.54</v>
      </c>
      <c r="I16" s="2" t="s">
        <v>49</v>
      </c>
      <c r="J16" t="s">
        <v>50</v>
      </c>
      <c r="K16">
        <v>1</v>
      </c>
      <c r="L16">
        <v>1</v>
      </c>
      <c r="M16">
        <v>1</v>
      </c>
      <c r="N16">
        <v>127.5414564</v>
      </c>
      <c r="O16">
        <v>337.98485950000003</v>
      </c>
      <c r="Q16" t="s">
        <v>210</v>
      </c>
      <c r="R16" s="6">
        <v>1450000000</v>
      </c>
      <c r="S16" t="s">
        <v>211</v>
      </c>
      <c r="T16" s="6">
        <v>100000000000</v>
      </c>
      <c r="U16" t="s">
        <v>49</v>
      </c>
      <c r="V16" t="s">
        <v>208</v>
      </c>
      <c r="W16">
        <v>127.131497649247</v>
      </c>
      <c r="X16" t="s">
        <v>209</v>
      </c>
      <c r="Y16">
        <v>47.974150056319502</v>
      </c>
      <c r="AA16" t="s">
        <v>49</v>
      </c>
      <c r="AB16">
        <v>1</v>
      </c>
    </row>
    <row r="17" spans="1:28" x14ac:dyDescent="0.25">
      <c r="A17" t="s">
        <v>51</v>
      </c>
      <c r="B17">
        <v>12</v>
      </c>
      <c r="C17" t="s">
        <v>212</v>
      </c>
      <c r="D17">
        <v>1261.47</v>
      </c>
      <c r="F17" t="s">
        <v>213</v>
      </c>
      <c r="G17">
        <v>476.02</v>
      </c>
      <c r="I17" s="2" t="s">
        <v>51</v>
      </c>
      <c r="J17" t="s">
        <v>52</v>
      </c>
      <c r="K17">
        <v>1</v>
      </c>
      <c r="L17">
        <v>1</v>
      </c>
      <c r="M17">
        <v>1</v>
      </c>
      <c r="N17">
        <v>476.02739730000002</v>
      </c>
      <c r="O17">
        <v>1261.4726029999999</v>
      </c>
      <c r="Q17" t="s">
        <v>214</v>
      </c>
      <c r="R17" s="6">
        <v>580000000</v>
      </c>
      <c r="S17" t="s">
        <v>215</v>
      </c>
      <c r="T17" s="6">
        <v>30000000000</v>
      </c>
      <c r="U17" t="s">
        <v>51</v>
      </c>
      <c r="V17" t="s">
        <v>212</v>
      </c>
      <c r="W17">
        <v>12.2518744364379</v>
      </c>
      <c r="X17" t="s">
        <v>213</v>
      </c>
      <c r="Y17">
        <v>4.6233488439388202</v>
      </c>
      <c r="AA17" t="s">
        <v>51</v>
      </c>
      <c r="AB17">
        <v>1</v>
      </c>
    </row>
    <row r="18" spans="1:28" x14ac:dyDescent="0.25">
      <c r="A18" t="s">
        <v>53</v>
      </c>
      <c r="B18">
        <v>11</v>
      </c>
      <c r="C18" t="s">
        <v>216</v>
      </c>
      <c r="D18">
        <v>1261.47</v>
      </c>
      <c r="F18" t="s">
        <v>217</v>
      </c>
      <c r="G18">
        <v>476.02</v>
      </c>
      <c r="I18" t="s">
        <v>53</v>
      </c>
      <c r="J18" t="s">
        <v>54</v>
      </c>
      <c r="K18">
        <v>1</v>
      </c>
      <c r="L18">
        <v>2</v>
      </c>
      <c r="M18">
        <v>2</v>
      </c>
      <c r="N18">
        <v>476.02739730000002</v>
      </c>
      <c r="O18">
        <v>1261.4726029999999</v>
      </c>
      <c r="Q18" t="s">
        <v>218</v>
      </c>
      <c r="R18" s="6">
        <v>580000000</v>
      </c>
      <c r="S18" t="s">
        <v>219</v>
      </c>
      <c r="T18" s="6">
        <v>30000000000</v>
      </c>
      <c r="U18" t="s">
        <v>53</v>
      </c>
      <c r="V18" t="s">
        <v>216</v>
      </c>
      <c r="W18">
        <v>18.340413692641</v>
      </c>
      <c r="X18" t="s">
        <v>217</v>
      </c>
      <c r="Y18">
        <v>6.9209108274117002</v>
      </c>
      <c r="AA18" t="s">
        <v>53</v>
      </c>
      <c r="AB18">
        <v>1</v>
      </c>
    </row>
    <row r="19" spans="1:28" x14ac:dyDescent="0.25">
      <c r="A19" t="s">
        <v>55</v>
      </c>
      <c r="B19">
        <v>20</v>
      </c>
      <c r="C19" t="s">
        <v>220</v>
      </c>
      <c r="D19">
        <v>86.61</v>
      </c>
      <c r="F19" t="s">
        <v>221</v>
      </c>
      <c r="G19">
        <v>32.68</v>
      </c>
      <c r="I19" t="s">
        <v>55</v>
      </c>
      <c r="J19" t="s">
        <v>56</v>
      </c>
      <c r="K19">
        <v>1</v>
      </c>
      <c r="L19">
        <v>1</v>
      </c>
      <c r="M19">
        <v>1</v>
      </c>
      <c r="N19">
        <v>32.684450849999998</v>
      </c>
      <c r="O19">
        <v>86.613794760000005</v>
      </c>
      <c r="Q19" t="s">
        <v>222</v>
      </c>
      <c r="R19" s="6">
        <v>94000000</v>
      </c>
      <c r="S19" t="s">
        <v>223</v>
      </c>
      <c r="T19" s="6">
        <v>100000000000</v>
      </c>
      <c r="U19" t="s">
        <v>55</v>
      </c>
      <c r="V19" t="s">
        <v>220</v>
      </c>
      <c r="W19">
        <v>170.20192964498199</v>
      </c>
      <c r="X19" t="s">
        <v>221</v>
      </c>
      <c r="Y19">
        <v>64.2271432622573</v>
      </c>
      <c r="AA19" t="s">
        <v>55</v>
      </c>
      <c r="AB19">
        <v>1</v>
      </c>
    </row>
    <row r="20" spans="1:28" x14ac:dyDescent="0.25">
      <c r="A20" t="s">
        <v>57</v>
      </c>
      <c r="B20">
        <v>40</v>
      </c>
      <c r="C20" t="s">
        <v>224</v>
      </c>
      <c r="D20">
        <v>769.97</v>
      </c>
      <c r="F20" t="s">
        <v>225</v>
      </c>
      <c r="G20">
        <v>290.55</v>
      </c>
      <c r="I20" t="s">
        <v>57</v>
      </c>
      <c r="J20" t="s">
        <v>58</v>
      </c>
      <c r="K20">
        <v>1</v>
      </c>
      <c r="L20">
        <v>2</v>
      </c>
      <c r="M20">
        <v>2</v>
      </c>
      <c r="N20">
        <v>290.55515500000001</v>
      </c>
      <c r="O20">
        <v>769.97116089999997</v>
      </c>
      <c r="Q20" t="s">
        <v>226</v>
      </c>
      <c r="R20" s="6">
        <v>218000000</v>
      </c>
      <c r="S20" t="s">
        <v>227</v>
      </c>
      <c r="T20" s="6">
        <v>700000000000</v>
      </c>
      <c r="U20" t="s">
        <v>57</v>
      </c>
      <c r="V20" t="s">
        <v>224</v>
      </c>
      <c r="W20">
        <v>486.01577302060099</v>
      </c>
      <c r="X20" t="s">
        <v>225</v>
      </c>
      <c r="Y20">
        <v>183.40217849833999</v>
      </c>
      <c r="AA20" t="s">
        <v>57</v>
      </c>
      <c r="AB20">
        <v>1</v>
      </c>
    </row>
    <row r="21" spans="1:28" x14ac:dyDescent="0.25">
      <c r="A21" t="s">
        <v>59</v>
      </c>
      <c r="B21">
        <v>9</v>
      </c>
      <c r="C21" t="s">
        <v>228</v>
      </c>
      <c r="D21">
        <v>1261.47</v>
      </c>
      <c r="F21" t="s">
        <v>229</v>
      </c>
      <c r="G21">
        <v>476.02</v>
      </c>
      <c r="I21" t="s">
        <v>59</v>
      </c>
      <c r="J21" t="s">
        <v>60</v>
      </c>
      <c r="K21">
        <v>1</v>
      </c>
      <c r="L21">
        <v>2</v>
      </c>
      <c r="M21">
        <v>2</v>
      </c>
      <c r="N21">
        <v>476.02739730000002</v>
      </c>
      <c r="O21">
        <v>1261.4726029999999</v>
      </c>
      <c r="Q21" t="s">
        <v>230</v>
      </c>
      <c r="R21" s="6">
        <v>580000000</v>
      </c>
      <c r="S21" t="s">
        <v>231</v>
      </c>
      <c r="T21" s="6">
        <v>30000000000</v>
      </c>
      <c r="U21" t="s">
        <v>59</v>
      </c>
      <c r="V21" t="s">
        <v>228</v>
      </c>
      <c r="W21">
        <v>311.95837928240701</v>
      </c>
      <c r="X21" t="s">
        <v>229</v>
      </c>
      <c r="Y21">
        <v>117.720143125437</v>
      </c>
      <c r="AA21" t="s">
        <v>59</v>
      </c>
      <c r="AB21">
        <v>1</v>
      </c>
    </row>
    <row r="22" spans="1:28" x14ac:dyDescent="0.25">
      <c r="A22" t="s">
        <v>61</v>
      </c>
      <c r="B22">
        <v>2</v>
      </c>
      <c r="C22" t="s">
        <v>232</v>
      </c>
      <c r="D22">
        <v>44.58</v>
      </c>
      <c r="F22" t="s">
        <v>233</v>
      </c>
      <c r="G22">
        <v>16.82</v>
      </c>
      <c r="I22" t="s">
        <v>61</v>
      </c>
      <c r="J22" t="s">
        <v>62</v>
      </c>
      <c r="K22">
        <v>1</v>
      </c>
      <c r="L22">
        <v>1</v>
      </c>
      <c r="M22">
        <v>1</v>
      </c>
      <c r="N22">
        <v>16.822879109999999</v>
      </c>
      <c r="O22">
        <v>44.580629649999999</v>
      </c>
      <c r="Q22" t="s">
        <v>234</v>
      </c>
      <c r="R22" s="6">
        <v>7550000000</v>
      </c>
      <c r="S22" t="s">
        <v>235</v>
      </c>
      <c r="T22" s="6">
        <v>300000000000</v>
      </c>
      <c r="U22" t="s">
        <v>61</v>
      </c>
      <c r="V22" t="s">
        <v>232</v>
      </c>
      <c r="W22">
        <v>7.3494229094695402</v>
      </c>
      <c r="X22" t="s">
        <v>233</v>
      </c>
      <c r="Y22">
        <v>2.77336713564888</v>
      </c>
      <c r="AA22" t="s">
        <v>61</v>
      </c>
      <c r="AB22">
        <v>1</v>
      </c>
    </row>
    <row r="23" spans="1:28" x14ac:dyDescent="0.25">
      <c r="A23" t="s">
        <v>63</v>
      </c>
      <c r="B23">
        <v>59</v>
      </c>
      <c r="C23" t="s">
        <v>236</v>
      </c>
      <c r="D23">
        <v>337.98</v>
      </c>
      <c r="F23" t="s">
        <v>237</v>
      </c>
      <c r="G23">
        <v>127.54</v>
      </c>
      <c r="I23" t="s">
        <v>63</v>
      </c>
      <c r="J23" t="s">
        <v>64</v>
      </c>
      <c r="K23">
        <v>1</v>
      </c>
      <c r="L23">
        <v>2</v>
      </c>
      <c r="M23">
        <v>2</v>
      </c>
      <c r="N23">
        <v>127.5414564</v>
      </c>
      <c r="O23">
        <v>337.98485950000003</v>
      </c>
      <c r="Q23" t="s">
        <v>238</v>
      </c>
      <c r="R23" s="6">
        <v>1450000000</v>
      </c>
      <c r="S23" t="s">
        <v>239</v>
      </c>
      <c r="T23" s="6">
        <v>100000000000</v>
      </c>
      <c r="U23" t="s">
        <v>63</v>
      </c>
      <c r="V23" t="s">
        <v>236</v>
      </c>
      <c r="W23">
        <v>359.983211658242</v>
      </c>
      <c r="X23" t="s">
        <v>237</v>
      </c>
      <c r="Y23">
        <v>135.84272138046899</v>
      </c>
      <c r="AA23" t="s">
        <v>63</v>
      </c>
      <c r="AB23">
        <v>1</v>
      </c>
    </row>
    <row r="24" spans="1:28" x14ac:dyDescent="0.25">
      <c r="A24" t="s">
        <v>65</v>
      </c>
      <c r="B24">
        <v>50</v>
      </c>
      <c r="C24" t="s">
        <v>240</v>
      </c>
      <c r="D24">
        <v>927.5</v>
      </c>
      <c r="F24" t="s">
        <v>241</v>
      </c>
      <c r="G24">
        <v>350</v>
      </c>
      <c r="I24" t="s">
        <v>65</v>
      </c>
      <c r="J24" t="s">
        <v>66</v>
      </c>
      <c r="K24">
        <v>1</v>
      </c>
      <c r="L24">
        <v>3</v>
      </c>
      <c r="M24">
        <v>3</v>
      </c>
      <c r="N24">
        <v>350</v>
      </c>
      <c r="O24">
        <v>927.5</v>
      </c>
      <c r="Q24" t="s">
        <v>242</v>
      </c>
      <c r="R24" s="6">
        <v>61000000</v>
      </c>
      <c r="S24" t="s">
        <v>243</v>
      </c>
      <c r="T24" s="6">
        <v>20000000000000</v>
      </c>
      <c r="U24" t="s">
        <v>65</v>
      </c>
      <c r="V24" t="s">
        <v>240</v>
      </c>
      <c r="W24">
        <v>1096.42188491909</v>
      </c>
      <c r="X24" t="s">
        <v>241</v>
      </c>
      <c r="Y24">
        <v>413.744107516638</v>
      </c>
      <c r="AA24" t="s">
        <v>65</v>
      </c>
      <c r="AB24">
        <v>1</v>
      </c>
    </row>
    <row r="25" spans="1:28" x14ac:dyDescent="0.25">
      <c r="A25" t="s">
        <v>67</v>
      </c>
      <c r="B25">
        <v>1</v>
      </c>
      <c r="C25" t="s">
        <v>244</v>
      </c>
      <c r="D25">
        <v>64.84</v>
      </c>
      <c r="F25" t="s">
        <v>245</v>
      </c>
      <c r="G25">
        <v>24.26</v>
      </c>
      <c r="I25" t="s">
        <v>67</v>
      </c>
      <c r="J25" t="s">
        <v>68</v>
      </c>
      <c r="K25">
        <v>1</v>
      </c>
      <c r="L25">
        <v>1</v>
      </c>
      <c r="M25">
        <v>1</v>
      </c>
      <c r="N25">
        <v>24.46</v>
      </c>
      <c r="O25">
        <v>64.84</v>
      </c>
      <c r="Q25" t="s">
        <v>246</v>
      </c>
      <c r="R25" s="6">
        <v>3550000000</v>
      </c>
      <c r="S25" t="s">
        <v>247</v>
      </c>
      <c r="T25" s="6">
        <v>2000000000000</v>
      </c>
      <c r="U25" t="s">
        <v>67</v>
      </c>
      <c r="V25" t="s">
        <v>244</v>
      </c>
      <c r="W25">
        <v>854.00792107007203</v>
      </c>
      <c r="X25" t="s">
        <v>245</v>
      </c>
      <c r="Y25">
        <v>322.26714002644201</v>
      </c>
      <c r="AA25" t="s">
        <v>67</v>
      </c>
      <c r="AB25">
        <v>1</v>
      </c>
    </row>
    <row r="26" spans="1:28" x14ac:dyDescent="0.25">
      <c r="A26" t="s">
        <v>69</v>
      </c>
      <c r="B26">
        <v>21</v>
      </c>
      <c r="C26" t="s">
        <v>248</v>
      </c>
      <c r="D26">
        <v>127.37</v>
      </c>
      <c r="F26" t="s">
        <v>249</v>
      </c>
      <c r="G26">
        <v>48.06</v>
      </c>
      <c r="I26" t="s">
        <v>69</v>
      </c>
      <c r="J26" t="s">
        <v>70</v>
      </c>
      <c r="K26">
        <v>1</v>
      </c>
      <c r="L26">
        <v>1</v>
      </c>
      <c r="M26">
        <v>1</v>
      </c>
      <c r="N26">
        <v>48.065368900000003</v>
      </c>
      <c r="O26">
        <v>127.37322760000001</v>
      </c>
      <c r="Q26" t="s">
        <v>250</v>
      </c>
      <c r="R26" s="6">
        <v>1910000000</v>
      </c>
      <c r="S26" t="s">
        <v>251</v>
      </c>
      <c r="T26" s="6">
        <v>20000000000</v>
      </c>
      <c r="U26" t="s">
        <v>69</v>
      </c>
      <c r="V26" t="s">
        <v>248</v>
      </c>
      <c r="W26">
        <v>27.4903633797712</v>
      </c>
      <c r="X26" t="s">
        <v>249</v>
      </c>
      <c r="Y26">
        <v>10.3737220301023</v>
      </c>
      <c r="AA26" t="s">
        <v>69</v>
      </c>
      <c r="AB26">
        <v>1</v>
      </c>
    </row>
    <row r="27" spans="1:28" x14ac:dyDescent="0.25">
      <c r="A27" t="s">
        <v>71</v>
      </c>
      <c r="B27">
        <v>16</v>
      </c>
      <c r="C27" t="s">
        <v>252</v>
      </c>
      <c r="D27">
        <v>7.07</v>
      </c>
      <c r="F27" t="s">
        <v>253</v>
      </c>
      <c r="G27">
        <v>2.66</v>
      </c>
      <c r="I27" s="2" t="s">
        <v>71</v>
      </c>
      <c r="J27" t="s">
        <v>72</v>
      </c>
      <c r="K27">
        <v>1</v>
      </c>
      <c r="L27">
        <v>1</v>
      </c>
      <c r="M27">
        <v>1</v>
      </c>
      <c r="N27">
        <v>2.6676279740000002</v>
      </c>
      <c r="O27">
        <v>7.0692141299999998</v>
      </c>
      <c r="Q27" t="s">
        <v>254</v>
      </c>
      <c r="R27">
        <v>1250000</v>
      </c>
      <c r="S27" t="s">
        <v>255</v>
      </c>
      <c r="T27" s="6">
        <v>10000000</v>
      </c>
      <c r="U27" t="s">
        <v>71</v>
      </c>
      <c r="V27" t="s">
        <v>252</v>
      </c>
      <c r="W27">
        <v>4.9535732337123903</v>
      </c>
      <c r="X27" t="s">
        <v>253</v>
      </c>
      <c r="Y27">
        <v>1.86927291838204</v>
      </c>
      <c r="AA27" t="s">
        <v>71</v>
      </c>
      <c r="AB27">
        <v>1</v>
      </c>
    </row>
    <row r="28" spans="1:28" x14ac:dyDescent="0.25">
      <c r="A28" t="s">
        <v>73</v>
      </c>
      <c r="B28">
        <v>25</v>
      </c>
      <c r="C28" t="s">
        <v>256</v>
      </c>
      <c r="D28">
        <v>337.98</v>
      </c>
      <c r="F28" t="s">
        <v>257</v>
      </c>
      <c r="G28">
        <v>127.54</v>
      </c>
      <c r="I28" t="s">
        <v>73</v>
      </c>
      <c r="J28" t="s">
        <v>74</v>
      </c>
      <c r="K28">
        <v>1</v>
      </c>
      <c r="L28">
        <v>2</v>
      </c>
      <c r="M28">
        <v>2</v>
      </c>
      <c r="N28">
        <v>127.5414564</v>
      </c>
      <c r="O28">
        <v>337.98485950000003</v>
      </c>
      <c r="Q28" t="s">
        <v>258</v>
      </c>
      <c r="R28" s="6">
        <v>1450000000</v>
      </c>
      <c r="S28" t="s">
        <v>259</v>
      </c>
      <c r="T28" s="6">
        <v>100000000000</v>
      </c>
      <c r="U28" t="s">
        <v>73</v>
      </c>
      <c r="V28" t="s">
        <v>256</v>
      </c>
      <c r="W28">
        <v>224.475499068441</v>
      </c>
      <c r="X28" t="s">
        <v>257</v>
      </c>
      <c r="Y28">
        <v>84.707735497524993</v>
      </c>
      <c r="AA28" t="s">
        <v>73</v>
      </c>
      <c r="AB28">
        <v>1</v>
      </c>
    </row>
    <row r="29" spans="1:28" x14ac:dyDescent="0.25">
      <c r="A29" t="s">
        <v>75</v>
      </c>
      <c r="B29">
        <v>32</v>
      </c>
      <c r="C29" t="s">
        <v>260</v>
      </c>
      <c r="D29">
        <v>337.98</v>
      </c>
      <c r="F29" t="s">
        <v>261</v>
      </c>
      <c r="G29">
        <v>127.54</v>
      </c>
      <c r="I29" t="s">
        <v>75</v>
      </c>
      <c r="J29" t="s">
        <v>76</v>
      </c>
      <c r="K29">
        <v>1</v>
      </c>
      <c r="L29">
        <v>2</v>
      </c>
      <c r="M29">
        <v>2</v>
      </c>
      <c r="N29">
        <v>127.5414564</v>
      </c>
      <c r="O29">
        <v>337.98485950000003</v>
      </c>
      <c r="Q29" t="s">
        <v>262</v>
      </c>
      <c r="R29" s="6">
        <v>1450000000</v>
      </c>
      <c r="S29" t="s">
        <v>263</v>
      </c>
      <c r="T29" s="6">
        <v>100000000000</v>
      </c>
      <c r="U29" t="s">
        <v>75</v>
      </c>
      <c r="V29" t="s">
        <v>260</v>
      </c>
      <c r="W29">
        <v>38.851500720171998</v>
      </c>
      <c r="X29" t="s">
        <v>261</v>
      </c>
      <c r="Y29">
        <v>14.6609436679894</v>
      </c>
      <c r="AA29" t="s">
        <v>75</v>
      </c>
      <c r="AB29">
        <v>1</v>
      </c>
    </row>
    <row r="30" spans="1:28" x14ac:dyDescent="0.25">
      <c r="A30" t="s">
        <v>77</v>
      </c>
      <c r="B30">
        <v>53</v>
      </c>
      <c r="C30" t="s">
        <v>264</v>
      </c>
      <c r="D30">
        <v>24386.560000000001</v>
      </c>
      <c r="F30" t="s">
        <v>265</v>
      </c>
      <c r="G30">
        <v>9202.4699999999993</v>
      </c>
      <c r="I30" t="s">
        <v>77</v>
      </c>
      <c r="J30" t="s">
        <v>78</v>
      </c>
      <c r="K30">
        <v>1</v>
      </c>
      <c r="L30">
        <v>3</v>
      </c>
      <c r="M30">
        <v>3</v>
      </c>
      <c r="N30">
        <v>9202.4770129999997</v>
      </c>
      <c r="O30">
        <v>24386.56408</v>
      </c>
      <c r="Q30" t="s">
        <v>266</v>
      </c>
      <c r="R30">
        <v>40000</v>
      </c>
      <c r="S30" t="s">
        <v>267</v>
      </c>
      <c r="T30" s="6">
        <v>1500000000</v>
      </c>
      <c r="U30" t="s">
        <v>77</v>
      </c>
      <c r="V30" t="s">
        <v>264</v>
      </c>
      <c r="W30">
        <v>79104.917154454204</v>
      </c>
      <c r="X30" t="s">
        <v>265</v>
      </c>
      <c r="Y30">
        <v>29850.912133756301</v>
      </c>
      <c r="AA30" t="s">
        <v>77</v>
      </c>
      <c r="AB30">
        <v>1</v>
      </c>
    </row>
    <row r="31" spans="1:28" x14ac:dyDescent="0.25">
      <c r="A31" t="s">
        <v>79</v>
      </c>
      <c r="B31">
        <v>10</v>
      </c>
      <c r="C31" t="s">
        <v>268</v>
      </c>
      <c r="D31">
        <v>1261.47</v>
      </c>
      <c r="F31" t="s">
        <v>269</v>
      </c>
      <c r="G31">
        <v>476.02</v>
      </c>
      <c r="I31" t="s">
        <v>79</v>
      </c>
      <c r="J31" t="s">
        <v>80</v>
      </c>
      <c r="K31">
        <v>1</v>
      </c>
      <c r="L31">
        <v>2</v>
      </c>
      <c r="M31">
        <v>2</v>
      </c>
      <c r="N31">
        <v>476.02739730000002</v>
      </c>
      <c r="O31">
        <v>1261.4726029999999</v>
      </c>
      <c r="Q31" t="s">
        <v>270</v>
      </c>
      <c r="R31" s="6">
        <v>580000000</v>
      </c>
      <c r="S31" t="s">
        <v>271</v>
      </c>
      <c r="T31" s="6">
        <v>30000000000</v>
      </c>
      <c r="U31" t="s">
        <v>79</v>
      </c>
      <c r="V31" t="s">
        <v>268</v>
      </c>
      <c r="W31">
        <v>33.639577799778401</v>
      </c>
      <c r="X31" t="s">
        <v>269</v>
      </c>
      <c r="Y31">
        <v>12.6941803018032</v>
      </c>
      <c r="AA31" t="s">
        <v>79</v>
      </c>
      <c r="AB31">
        <v>1</v>
      </c>
    </row>
    <row r="32" spans="1:28" x14ac:dyDescent="0.25">
      <c r="A32" t="s">
        <v>81</v>
      </c>
      <c r="B32">
        <v>26</v>
      </c>
      <c r="C32" t="s">
        <v>272</v>
      </c>
      <c r="D32">
        <v>337.98</v>
      </c>
      <c r="F32" t="s">
        <v>273</v>
      </c>
      <c r="G32">
        <v>127.54</v>
      </c>
      <c r="I32" t="s">
        <v>81</v>
      </c>
      <c r="J32" t="s">
        <v>82</v>
      </c>
      <c r="K32">
        <v>1</v>
      </c>
      <c r="L32">
        <v>2</v>
      </c>
      <c r="M32">
        <v>2</v>
      </c>
      <c r="N32">
        <v>127.5414564</v>
      </c>
      <c r="O32">
        <v>337.98485950000003</v>
      </c>
      <c r="Q32" t="s">
        <v>274</v>
      </c>
      <c r="R32" s="6">
        <v>1450000000</v>
      </c>
      <c r="S32" t="s">
        <v>275</v>
      </c>
      <c r="T32" s="6">
        <v>100000000000</v>
      </c>
      <c r="U32" t="s">
        <v>81</v>
      </c>
      <c r="V32" t="s">
        <v>272</v>
      </c>
      <c r="W32">
        <v>434.737591893022</v>
      </c>
      <c r="X32" t="s">
        <v>273</v>
      </c>
      <c r="Y32">
        <v>164.05192146906501</v>
      </c>
      <c r="AA32" t="s">
        <v>81</v>
      </c>
      <c r="AB32">
        <v>1</v>
      </c>
    </row>
    <row r="33" spans="1:28" x14ac:dyDescent="0.25">
      <c r="A33" t="s">
        <v>83</v>
      </c>
      <c r="B33">
        <v>47</v>
      </c>
      <c r="C33" t="s">
        <v>276</v>
      </c>
      <c r="D33">
        <v>3590.52</v>
      </c>
      <c r="F33" t="s">
        <v>277</v>
      </c>
      <c r="G33">
        <v>1355</v>
      </c>
      <c r="I33" t="s">
        <v>83</v>
      </c>
      <c r="J33" t="s">
        <v>84</v>
      </c>
      <c r="K33">
        <v>1</v>
      </c>
      <c r="L33">
        <v>7</v>
      </c>
      <c r="M33">
        <v>7</v>
      </c>
      <c r="N33">
        <v>1355.00938</v>
      </c>
      <c r="O33">
        <v>3590.52486</v>
      </c>
      <c r="Q33" t="s">
        <v>278</v>
      </c>
      <c r="R33">
        <v>20000</v>
      </c>
      <c r="S33" t="s">
        <v>279</v>
      </c>
      <c r="T33" s="6">
        <v>15600000000</v>
      </c>
      <c r="U33" t="s">
        <v>83</v>
      </c>
      <c r="V33" t="s">
        <v>276</v>
      </c>
      <c r="W33">
        <v>991.86631479491302</v>
      </c>
      <c r="X33" t="s">
        <v>277</v>
      </c>
      <c r="Y33">
        <v>374.28917539430699</v>
      </c>
      <c r="AA33" t="s">
        <v>83</v>
      </c>
      <c r="AB33">
        <v>1</v>
      </c>
    </row>
    <row r="34" spans="1:28" x14ac:dyDescent="0.25">
      <c r="A34" t="s">
        <v>85</v>
      </c>
      <c r="B34">
        <v>48</v>
      </c>
      <c r="C34" t="s">
        <v>280</v>
      </c>
      <c r="D34">
        <v>3590.52</v>
      </c>
      <c r="F34" t="s">
        <v>281</v>
      </c>
      <c r="G34">
        <v>1355</v>
      </c>
      <c r="I34" t="s">
        <v>85</v>
      </c>
      <c r="J34" t="s">
        <v>86</v>
      </c>
      <c r="K34">
        <v>1</v>
      </c>
      <c r="L34">
        <v>7</v>
      </c>
      <c r="M34">
        <v>7</v>
      </c>
      <c r="N34">
        <v>1355.00938</v>
      </c>
      <c r="O34">
        <v>3590.52486</v>
      </c>
      <c r="Q34" t="s">
        <v>282</v>
      </c>
      <c r="R34">
        <v>20000</v>
      </c>
      <c r="S34" t="s">
        <v>283</v>
      </c>
      <c r="T34" s="6">
        <v>15600000000</v>
      </c>
      <c r="U34" t="s">
        <v>85</v>
      </c>
      <c r="V34" t="s">
        <v>280</v>
      </c>
      <c r="W34">
        <v>3446.2373572821698</v>
      </c>
      <c r="X34" t="s">
        <v>281</v>
      </c>
      <c r="Y34">
        <v>1300.4669272762901</v>
      </c>
      <c r="AA34" t="s">
        <v>85</v>
      </c>
      <c r="AB34">
        <v>1</v>
      </c>
    </row>
    <row r="35" spans="1:28" x14ac:dyDescent="0.25">
      <c r="A35" t="s">
        <v>87</v>
      </c>
      <c r="B35">
        <v>31</v>
      </c>
      <c r="C35" t="s">
        <v>284</v>
      </c>
      <c r="D35">
        <v>337.98</v>
      </c>
      <c r="F35" t="s">
        <v>285</v>
      </c>
      <c r="G35">
        <v>127.54</v>
      </c>
      <c r="I35" t="s">
        <v>87</v>
      </c>
      <c r="J35" t="s">
        <v>88</v>
      </c>
      <c r="K35">
        <v>1</v>
      </c>
      <c r="L35">
        <v>2</v>
      </c>
      <c r="M35">
        <v>2</v>
      </c>
      <c r="N35">
        <v>127.5414564</v>
      </c>
      <c r="O35">
        <v>337.98485950000003</v>
      </c>
      <c r="Q35" t="s">
        <v>286</v>
      </c>
      <c r="R35" s="6">
        <v>1450000000</v>
      </c>
      <c r="S35" t="s">
        <v>287</v>
      </c>
      <c r="T35" s="6">
        <v>100000000000</v>
      </c>
      <c r="U35" t="s">
        <v>87</v>
      </c>
      <c r="V35" t="s">
        <v>284</v>
      </c>
      <c r="W35">
        <v>35.8506978604943</v>
      </c>
      <c r="X35" t="s">
        <v>285</v>
      </c>
      <c r="Y35">
        <v>13.5285652303752</v>
      </c>
      <c r="AA35" t="s">
        <v>87</v>
      </c>
      <c r="AB35">
        <v>1</v>
      </c>
    </row>
    <row r="36" spans="1:28" x14ac:dyDescent="0.25">
      <c r="A36" t="s">
        <v>89</v>
      </c>
      <c r="B36">
        <v>54</v>
      </c>
      <c r="C36" t="s">
        <v>288</v>
      </c>
      <c r="D36">
        <v>5263</v>
      </c>
      <c r="F36" t="s">
        <v>289</v>
      </c>
      <c r="G36">
        <v>1466</v>
      </c>
      <c r="I36" t="s">
        <v>89</v>
      </c>
      <c r="J36" t="s">
        <v>90</v>
      </c>
      <c r="K36">
        <v>1</v>
      </c>
      <c r="L36">
        <v>8</v>
      </c>
      <c r="M36">
        <v>8</v>
      </c>
      <c r="N36">
        <v>1466</v>
      </c>
      <c r="O36">
        <v>5263</v>
      </c>
      <c r="Q36" t="s">
        <v>290</v>
      </c>
      <c r="R36">
        <v>34000</v>
      </c>
      <c r="S36" t="s">
        <v>291</v>
      </c>
      <c r="T36" s="6">
        <v>1500000000</v>
      </c>
      <c r="U36" t="s">
        <v>89</v>
      </c>
      <c r="V36" t="s">
        <v>288</v>
      </c>
      <c r="W36">
        <v>4475.5032403121704</v>
      </c>
      <c r="X36" t="s">
        <v>289</v>
      </c>
      <c r="Y36">
        <v>1688.8691472876101</v>
      </c>
      <c r="AA36" t="s">
        <v>89</v>
      </c>
      <c r="AB36">
        <v>1</v>
      </c>
    </row>
    <row r="37" spans="1:28" x14ac:dyDescent="0.25">
      <c r="A37" t="s">
        <v>91</v>
      </c>
      <c r="B37">
        <v>27</v>
      </c>
      <c r="C37" t="s">
        <v>292</v>
      </c>
      <c r="D37">
        <v>337.98</v>
      </c>
      <c r="F37" t="s">
        <v>293</v>
      </c>
      <c r="G37">
        <v>127.54</v>
      </c>
      <c r="I37" t="s">
        <v>91</v>
      </c>
      <c r="J37" t="s">
        <v>92</v>
      </c>
      <c r="K37">
        <v>1</v>
      </c>
      <c r="L37">
        <v>2</v>
      </c>
      <c r="M37">
        <v>2</v>
      </c>
      <c r="N37">
        <v>127.5414564</v>
      </c>
      <c r="O37">
        <v>337.98485950000003</v>
      </c>
      <c r="Q37" t="s">
        <v>294</v>
      </c>
      <c r="R37" s="6">
        <v>1450000000</v>
      </c>
      <c r="S37" t="s">
        <v>295</v>
      </c>
      <c r="T37" s="6">
        <v>100000000000</v>
      </c>
      <c r="U37" t="s">
        <v>91</v>
      </c>
      <c r="V37" t="s">
        <v>292</v>
      </c>
      <c r="W37">
        <v>93.5894778673307</v>
      </c>
      <c r="X37" t="s">
        <v>293</v>
      </c>
      <c r="Y37">
        <v>35.316784100879502</v>
      </c>
      <c r="AA37" t="s">
        <v>91</v>
      </c>
      <c r="AB37">
        <v>1</v>
      </c>
    </row>
    <row r="38" spans="1:28" x14ac:dyDescent="0.25">
      <c r="A38" t="s">
        <v>93</v>
      </c>
      <c r="B38">
        <v>55</v>
      </c>
      <c r="C38" t="s">
        <v>296</v>
      </c>
      <c r="D38">
        <v>4009729654</v>
      </c>
      <c r="F38" t="s">
        <v>297</v>
      </c>
      <c r="G38">
        <v>1513105530</v>
      </c>
      <c r="I38" t="s">
        <v>93</v>
      </c>
      <c r="J38" t="s">
        <v>94</v>
      </c>
      <c r="K38">
        <v>1</v>
      </c>
      <c r="L38">
        <v>9</v>
      </c>
      <c r="M38">
        <v>9</v>
      </c>
      <c r="N38">
        <v>1513105530</v>
      </c>
      <c r="O38">
        <v>4009729654</v>
      </c>
      <c r="Q38" t="s">
        <v>298</v>
      </c>
      <c r="R38">
        <v>7</v>
      </c>
      <c r="S38" t="s">
        <v>299</v>
      </c>
      <c r="T38" s="6">
        <v>300000000000</v>
      </c>
      <c r="U38" t="s">
        <v>93</v>
      </c>
      <c r="V38" t="s">
        <v>296</v>
      </c>
      <c r="W38">
        <v>4665548.9892704301</v>
      </c>
      <c r="X38" t="s">
        <v>297</v>
      </c>
      <c r="Y38">
        <v>1760584.52425299</v>
      </c>
      <c r="AA38" t="s">
        <v>93</v>
      </c>
      <c r="AB38">
        <v>1</v>
      </c>
    </row>
    <row r="39" spans="1:28" x14ac:dyDescent="0.25">
      <c r="A39" t="s">
        <v>95</v>
      </c>
      <c r="B39">
        <v>33</v>
      </c>
      <c r="C39" t="s">
        <v>300</v>
      </c>
      <c r="D39">
        <v>337.98</v>
      </c>
      <c r="F39" t="s">
        <v>301</v>
      </c>
      <c r="G39">
        <v>127.54</v>
      </c>
      <c r="I39" t="s">
        <v>95</v>
      </c>
      <c r="J39" s="2" t="s">
        <v>96</v>
      </c>
      <c r="K39">
        <v>1</v>
      </c>
      <c r="L39">
        <v>2</v>
      </c>
      <c r="M39">
        <v>2</v>
      </c>
      <c r="N39">
        <v>127.5414564</v>
      </c>
      <c r="O39">
        <v>337.98485950000003</v>
      </c>
      <c r="Q39" t="s">
        <v>302</v>
      </c>
      <c r="R39" s="6">
        <v>1450000000</v>
      </c>
      <c r="S39" t="s">
        <v>303</v>
      </c>
      <c r="T39" s="6">
        <v>100000000000</v>
      </c>
      <c r="U39" t="s">
        <v>95</v>
      </c>
      <c r="V39" t="s">
        <v>300</v>
      </c>
      <c r="W39">
        <v>954.19530364704997</v>
      </c>
      <c r="X39" t="s">
        <v>301</v>
      </c>
      <c r="Y39">
        <v>360.07369948945302</v>
      </c>
      <c r="AA39" t="s">
        <v>95</v>
      </c>
      <c r="AB39">
        <v>1</v>
      </c>
    </row>
    <row r="40" spans="1:28" x14ac:dyDescent="0.25">
      <c r="A40" t="s">
        <v>97</v>
      </c>
      <c r="B40">
        <v>52</v>
      </c>
      <c r="C40" t="s">
        <v>304</v>
      </c>
      <c r="D40">
        <v>29170.38</v>
      </c>
      <c r="F40" t="s">
        <v>305</v>
      </c>
      <c r="G40">
        <v>11007.69</v>
      </c>
      <c r="I40" t="s">
        <v>97</v>
      </c>
      <c r="J40" t="s">
        <v>98</v>
      </c>
      <c r="K40">
        <v>1</v>
      </c>
      <c r="L40">
        <v>2</v>
      </c>
      <c r="M40">
        <v>2</v>
      </c>
      <c r="N40">
        <v>11007.69375</v>
      </c>
      <c r="O40">
        <v>29170.388439999999</v>
      </c>
      <c r="Q40" t="s">
        <v>306</v>
      </c>
      <c r="R40" s="6">
        <v>3000000</v>
      </c>
      <c r="S40" t="s">
        <v>307</v>
      </c>
      <c r="T40">
        <v>10500000</v>
      </c>
      <c r="U40" t="s">
        <v>97</v>
      </c>
      <c r="V40" t="s">
        <v>304</v>
      </c>
      <c r="W40">
        <v>799.27177741232094</v>
      </c>
      <c r="X40" t="s">
        <v>305</v>
      </c>
      <c r="Y40">
        <v>301.61199147634801</v>
      </c>
      <c r="AA40" t="s">
        <v>97</v>
      </c>
      <c r="AB40">
        <v>1</v>
      </c>
    </row>
    <row r="41" spans="1:28" x14ac:dyDescent="0.25">
      <c r="A41" t="s">
        <v>99</v>
      </c>
      <c r="B41">
        <v>29</v>
      </c>
      <c r="C41" t="s">
        <v>308</v>
      </c>
      <c r="D41">
        <v>337.98</v>
      </c>
      <c r="F41" t="s">
        <v>309</v>
      </c>
      <c r="G41">
        <v>127.54</v>
      </c>
      <c r="I41" t="s">
        <v>99</v>
      </c>
      <c r="J41" t="s">
        <v>100</v>
      </c>
      <c r="K41">
        <v>1</v>
      </c>
      <c r="L41">
        <v>2</v>
      </c>
      <c r="M41">
        <v>2</v>
      </c>
      <c r="N41">
        <v>127.5414564</v>
      </c>
      <c r="O41">
        <v>337.98485950000003</v>
      </c>
      <c r="Q41" t="s">
        <v>310</v>
      </c>
      <c r="R41" s="6">
        <v>1450000000</v>
      </c>
      <c r="S41" t="s">
        <v>311</v>
      </c>
      <c r="T41" s="6">
        <v>100000000000</v>
      </c>
      <c r="U41" t="s">
        <v>99</v>
      </c>
      <c r="V41" t="s">
        <v>308</v>
      </c>
      <c r="W41">
        <v>33.616262610078202</v>
      </c>
      <c r="X41" t="s">
        <v>309</v>
      </c>
      <c r="Y41">
        <v>12.685382117010599</v>
      </c>
      <c r="AA41" t="s">
        <v>99</v>
      </c>
      <c r="AB41">
        <v>1</v>
      </c>
    </row>
    <row r="42" spans="1:28" x14ac:dyDescent="0.25">
      <c r="A42" t="s">
        <v>101</v>
      </c>
      <c r="B42">
        <v>38</v>
      </c>
      <c r="C42" t="s">
        <v>312</v>
      </c>
      <c r="D42">
        <v>337.98</v>
      </c>
      <c r="F42" t="s">
        <v>313</v>
      </c>
      <c r="G42">
        <v>127.54</v>
      </c>
      <c r="I42" t="s">
        <v>101</v>
      </c>
      <c r="J42" t="s">
        <v>102</v>
      </c>
      <c r="K42">
        <v>1</v>
      </c>
      <c r="L42">
        <v>2</v>
      </c>
      <c r="M42">
        <v>2</v>
      </c>
      <c r="N42">
        <v>127.5414564</v>
      </c>
      <c r="O42">
        <v>337.98485950000003</v>
      </c>
      <c r="Q42" t="s">
        <v>314</v>
      </c>
      <c r="R42" s="6">
        <v>1450000000</v>
      </c>
      <c r="S42" t="s">
        <v>315</v>
      </c>
      <c r="T42" s="6">
        <v>100000000000</v>
      </c>
      <c r="U42" t="s">
        <v>101</v>
      </c>
      <c r="V42" t="s">
        <v>312</v>
      </c>
      <c r="W42">
        <v>419.13081657469502</v>
      </c>
      <c r="X42" t="s">
        <v>313</v>
      </c>
      <c r="Y42">
        <v>158.16257229233801</v>
      </c>
      <c r="AA42" t="s">
        <v>101</v>
      </c>
      <c r="AB42">
        <v>1</v>
      </c>
    </row>
    <row r="43" spans="1:28" x14ac:dyDescent="0.25">
      <c r="A43" t="s">
        <v>103</v>
      </c>
      <c r="B43">
        <v>24</v>
      </c>
      <c r="C43" t="s">
        <v>316</v>
      </c>
      <c r="D43">
        <v>28.4</v>
      </c>
      <c r="F43" t="s">
        <v>317</v>
      </c>
      <c r="G43">
        <v>10.71</v>
      </c>
      <c r="I43" t="s">
        <v>103</v>
      </c>
      <c r="J43" t="s">
        <v>104</v>
      </c>
      <c r="K43">
        <v>1</v>
      </c>
      <c r="L43">
        <v>1</v>
      </c>
      <c r="M43">
        <v>1</v>
      </c>
      <c r="N43">
        <v>10.71857726</v>
      </c>
      <c r="O43">
        <v>28.404229749999999</v>
      </c>
      <c r="Q43" t="s">
        <v>318</v>
      </c>
      <c r="R43" s="6">
        <v>320000000</v>
      </c>
      <c r="S43" t="s">
        <v>319</v>
      </c>
      <c r="T43" s="6">
        <v>60000000000</v>
      </c>
      <c r="U43" t="s">
        <v>103</v>
      </c>
      <c r="V43" t="s">
        <v>316</v>
      </c>
      <c r="W43">
        <v>64.353356093979201</v>
      </c>
      <c r="X43" t="s">
        <v>317</v>
      </c>
      <c r="Y43">
        <v>24.284285318482699</v>
      </c>
      <c r="AA43" t="s">
        <v>103</v>
      </c>
      <c r="AB43">
        <v>1</v>
      </c>
    </row>
    <row r="44" spans="1:28" x14ac:dyDescent="0.25">
      <c r="A44" t="s">
        <v>105</v>
      </c>
      <c r="B44">
        <v>51</v>
      </c>
      <c r="C44" t="s">
        <v>320</v>
      </c>
      <c r="D44">
        <v>927.5</v>
      </c>
      <c r="F44" t="s">
        <v>321</v>
      </c>
      <c r="G44">
        <v>350</v>
      </c>
      <c r="I44" s="2" t="s">
        <v>105</v>
      </c>
      <c r="J44" t="s">
        <v>106</v>
      </c>
      <c r="K44">
        <v>1</v>
      </c>
      <c r="L44">
        <v>3</v>
      </c>
      <c r="M44">
        <v>3</v>
      </c>
      <c r="N44">
        <v>350</v>
      </c>
      <c r="O44">
        <v>927.5</v>
      </c>
      <c r="Q44" t="s">
        <v>322</v>
      </c>
      <c r="R44" s="6">
        <v>61000000</v>
      </c>
      <c r="S44" t="s">
        <v>323</v>
      </c>
      <c r="T44" s="6">
        <v>20000000000000</v>
      </c>
      <c r="U44" t="s">
        <v>105</v>
      </c>
      <c r="V44" t="s">
        <v>320</v>
      </c>
      <c r="W44">
        <v>3057.6018464316899</v>
      </c>
      <c r="X44" t="s">
        <v>321</v>
      </c>
      <c r="Y44">
        <v>1153.8120175213901</v>
      </c>
      <c r="AA44" t="s">
        <v>105</v>
      </c>
      <c r="AB44">
        <v>1</v>
      </c>
    </row>
    <row r="45" spans="1:28" x14ac:dyDescent="0.25">
      <c r="A45" t="s">
        <v>107</v>
      </c>
      <c r="B45">
        <v>43</v>
      </c>
      <c r="C45" t="s">
        <v>324</v>
      </c>
      <c r="D45">
        <v>2172.11</v>
      </c>
      <c r="F45" t="s">
        <v>325</v>
      </c>
      <c r="G45">
        <v>819.66</v>
      </c>
      <c r="I45" t="s">
        <v>107</v>
      </c>
      <c r="J45" t="s">
        <v>108</v>
      </c>
      <c r="K45">
        <v>1</v>
      </c>
      <c r="L45">
        <v>5</v>
      </c>
      <c r="M45">
        <v>5</v>
      </c>
      <c r="N45">
        <v>819.66597860000002</v>
      </c>
      <c r="O45">
        <v>2172.1148429999998</v>
      </c>
      <c r="Q45" t="s">
        <v>326</v>
      </c>
      <c r="R45">
        <v>990000</v>
      </c>
      <c r="S45" t="s">
        <v>327</v>
      </c>
      <c r="T45" s="6">
        <v>2000000000000</v>
      </c>
      <c r="U45" t="s">
        <v>107</v>
      </c>
      <c r="V45" t="s">
        <v>324</v>
      </c>
      <c r="W45">
        <v>951.290870252226</v>
      </c>
      <c r="X45" t="s">
        <v>325</v>
      </c>
      <c r="Y45">
        <v>358.97768688763199</v>
      </c>
      <c r="AA45" t="s">
        <v>107</v>
      </c>
      <c r="AB45">
        <v>1</v>
      </c>
    </row>
    <row r="46" spans="1:28" x14ac:dyDescent="0.25">
      <c r="A46" t="s">
        <v>109</v>
      </c>
      <c r="B46">
        <v>44</v>
      </c>
      <c r="C46" t="s">
        <v>328</v>
      </c>
      <c r="D46">
        <v>2172.11</v>
      </c>
      <c r="F46" t="s">
        <v>329</v>
      </c>
      <c r="G46">
        <v>819.66</v>
      </c>
      <c r="I46" t="s">
        <v>109</v>
      </c>
      <c r="J46" t="s">
        <v>110</v>
      </c>
      <c r="K46">
        <v>1</v>
      </c>
      <c r="L46">
        <v>5</v>
      </c>
      <c r="M46">
        <v>5</v>
      </c>
      <c r="N46">
        <v>819.66597860000002</v>
      </c>
      <c r="O46">
        <v>2172.1148429999998</v>
      </c>
      <c r="Q46" t="s">
        <v>330</v>
      </c>
      <c r="R46">
        <v>990000</v>
      </c>
      <c r="S46" t="s">
        <v>331</v>
      </c>
      <c r="T46" s="6">
        <v>2000000000000</v>
      </c>
      <c r="U46" t="s">
        <v>109</v>
      </c>
      <c r="V46" t="s">
        <v>328</v>
      </c>
      <c r="W46">
        <v>6617.1524054890797</v>
      </c>
      <c r="X46" t="s">
        <v>329</v>
      </c>
      <c r="Y46">
        <v>2497.03864358079</v>
      </c>
      <c r="AA46" t="s">
        <v>109</v>
      </c>
      <c r="AB46">
        <v>1</v>
      </c>
    </row>
    <row r="47" spans="1:28" x14ac:dyDescent="0.25">
      <c r="A47" t="s">
        <v>111</v>
      </c>
      <c r="B47">
        <v>35</v>
      </c>
      <c r="C47" t="s">
        <v>332</v>
      </c>
      <c r="D47">
        <v>337.98</v>
      </c>
      <c r="F47" t="s">
        <v>333</v>
      </c>
      <c r="G47">
        <v>127.54</v>
      </c>
      <c r="I47" t="s">
        <v>111</v>
      </c>
      <c r="J47" t="s">
        <v>112</v>
      </c>
      <c r="K47">
        <v>1</v>
      </c>
      <c r="L47">
        <v>2</v>
      </c>
      <c r="M47">
        <v>2</v>
      </c>
      <c r="N47">
        <v>127.5414564</v>
      </c>
      <c r="O47">
        <v>337.98485950000003</v>
      </c>
      <c r="Q47" t="s">
        <v>334</v>
      </c>
      <c r="R47" s="6">
        <v>1450000000</v>
      </c>
      <c r="S47" t="s">
        <v>335</v>
      </c>
      <c r="T47" s="6">
        <v>100000000000</v>
      </c>
      <c r="U47" t="s">
        <v>111</v>
      </c>
      <c r="V47" t="s">
        <v>332</v>
      </c>
      <c r="W47">
        <v>5126.4731166461897</v>
      </c>
      <c r="X47" t="s">
        <v>333</v>
      </c>
      <c r="Y47">
        <v>1934.5181572249801</v>
      </c>
      <c r="AA47" t="s">
        <v>111</v>
      </c>
      <c r="AB47">
        <v>1</v>
      </c>
    </row>
    <row r="48" spans="1:28" x14ac:dyDescent="0.25">
      <c r="A48" t="s">
        <v>113</v>
      </c>
      <c r="B48">
        <v>6</v>
      </c>
      <c r="C48" t="s">
        <v>336</v>
      </c>
      <c r="D48">
        <v>1261.47</v>
      </c>
      <c r="F48" t="s">
        <v>337</v>
      </c>
      <c r="G48">
        <v>476.02</v>
      </c>
      <c r="I48" t="s">
        <v>113</v>
      </c>
      <c r="J48" t="s">
        <v>114</v>
      </c>
      <c r="K48">
        <v>1</v>
      </c>
      <c r="L48">
        <v>2</v>
      </c>
      <c r="M48">
        <v>2</v>
      </c>
      <c r="N48">
        <v>476.02739730000002</v>
      </c>
      <c r="O48">
        <v>1261.4726029999999</v>
      </c>
      <c r="Q48" t="s">
        <v>338</v>
      </c>
      <c r="R48" s="6">
        <v>580000000</v>
      </c>
      <c r="S48" t="s">
        <v>339</v>
      </c>
      <c r="T48" s="6">
        <v>30000000000</v>
      </c>
      <c r="U48" t="s">
        <v>113</v>
      </c>
      <c r="V48" t="s">
        <v>336</v>
      </c>
      <c r="W48">
        <v>403.647068354856</v>
      </c>
      <c r="X48" t="s">
        <v>337</v>
      </c>
      <c r="Y48">
        <v>152.31964843579499</v>
      </c>
      <c r="AA48" t="s">
        <v>113</v>
      </c>
      <c r="AB48">
        <v>1</v>
      </c>
    </row>
    <row r="49" spans="1:28" x14ac:dyDescent="0.25">
      <c r="A49" t="s">
        <v>115</v>
      </c>
      <c r="B49">
        <v>57</v>
      </c>
      <c r="C49" t="s">
        <v>340</v>
      </c>
      <c r="D49">
        <v>22554538.370000001</v>
      </c>
      <c r="F49" t="s">
        <v>341</v>
      </c>
      <c r="G49">
        <v>8511146.5</v>
      </c>
      <c r="I49" t="s">
        <v>115</v>
      </c>
      <c r="J49" t="s">
        <v>116</v>
      </c>
      <c r="K49">
        <v>1</v>
      </c>
      <c r="L49">
        <v>7</v>
      </c>
      <c r="M49">
        <v>7</v>
      </c>
      <c r="N49">
        <v>8511146.557</v>
      </c>
      <c r="O49">
        <v>22554538.370000001</v>
      </c>
      <c r="Q49" t="s">
        <v>342</v>
      </c>
      <c r="R49">
        <v>1000</v>
      </c>
      <c r="S49" t="s">
        <v>343</v>
      </c>
      <c r="T49" s="6">
        <v>500000000</v>
      </c>
      <c r="U49" t="s">
        <v>115</v>
      </c>
      <c r="V49" t="s">
        <v>340</v>
      </c>
      <c r="W49">
        <v>20755.9519034798</v>
      </c>
      <c r="X49" t="s">
        <v>341</v>
      </c>
      <c r="Y49">
        <v>7832.43468055843</v>
      </c>
      <c r="AA49" t="s">
        <v>115</v>
      </c>
      <c r="AB49">
        <v>1</v>
      </c>
    </row>
    <row r="50" spans="1:28" x14ac:dyDescent="0.25">
      <c r="A50" t="s">
        <v>117</v>
      </c>
      <c r="B50">
        <v>36</v>
      </c>
      <c r="C50" t="s">
        <v>344</v>
      </c>
      <c r="D50">
        <v>337.98</v>
      </c>
      <c r="F50" t="s">
        <v>345</v>
      </c>
      <c r="G50">
        <v>127.54</v>
      </c>
      <c r="I50" t="s">
        <v>117</v>
      </c>
      <c r="J50" t="s">
        <v>118</v>
      </c>
      <c r="K50">
        <v>1</v>
      </c>
      <c r="L50">
        <v>2</v>
      </c>
      <c r="M50">
        <v>2</v>
      </c>
      <c r="N50">
        <v>127.5414564</v>
      </c>
      <c r="O50">
        <v>337.98485950000003</v>
      </c>
      <c r="Q50" t="s">
        <v>346</v>
      </c>
      <c r="R50" s="6">
        <v>1450000000</v>
      </c>
      <c r="S50" t="s">
        <v>347</v>
      </c>
      <c r="T50" s="6">
        <v>100000000000</v>
      </c>
      <c r="U50" t="s">
        <v>117</v>
      </c>
      <c r="V50" t="s">
        <v>344</v>
      </c>
      <c r="W50">
        <v>32.290242825290399</v>
      </c>
      <c r="X50" t="s">
        <v>345</v>
      </c>
      <c r="Y50">
        <v>12.1849972925624</v>
      </c>
      <c r="AA50" t="s">
        <v>117</v>
      </c>
      <c r="AB50">
        <v>1</v>
      </c>
    </row>
    <row r="51" spans="1:28" x14ac:dyDescent="0.25">
      <c r="A51" t="s">
        <v>119</v>
      </c>
      <c r="B51">
        <v>14</v>
      </c>
      <c r="C51" t="s">
        <v>348</v>
      </c>
      <c r="D51">
        <v>2197.7399999999998</v>
      </c>
      <c r="F51" t="s">
        <v>349</v>
      </c>
      <c r="G51">
        <v>829.48</v>
      </c>
      <c r="I51" t="s">
        <v>119</v>
      </c>
      <c r="J51" t="s">
        <v>120</v>
      </c>
      <c r="K51">
        <v>1</v>
      </c>
      <c r="L51">
        <v>3</v>
      </c>
      <c r="M51">
        <v>3</v>
      </c>
      <c r="N51">
        <v>829.48845900000003</v>
      </c>
      <c r="O51">
        <v>2197.74442</v>
      </c>
      <c r="Q51" t="s">
        <v>350</v>
      </c>
      <c r="R51" s="6">
        <v>28000000</v>
      </c>
      <c r="S51" t="s">
        <v>351</v>
      </c>
      <c r="T51" s="6">
        <v>600000000000</v>
      </c>
      <c r="U51" t="s">
        <v>119</v>
      </c>
      <c r="V51" t="s">
        <v>348</v>
      </c>
      <c r="W51">
        <v>4928.5702674546001</v>
      </c>
      <c r="X51" t="s">
        <v>349</v>
      </c>
      <c r="Y51">
        <v>1859.8378367753201</v>
      </c>
      <c r="AA51" t="s">
        <v>119</v>
      </c>
      <c r="AB51">
        <v>1</v>
      </c>
    </row>
    <row r="52" spans="1:28" x14ac:dyDescent="0.25">
      <c r="A52" t="s">
        <v>121</v>
      </c>
      <c r="B52">
        <v>58</v>
      </c>
      <c r="C52" t="s">
        <v>352</v>
      </c>
      <c r="D52">
        <v>22554538.370000001</v>
      </c>
      <c r="F52" t="s">
        <v>353</v>
      </c>
      <c r="G52">
        <v>8511146.5</v>
      </c>
      <c r="I52" t="s">
        <v>121</v>
      </c>
      <c r="J52" t="s">
        <v>122</v>
      </c>
      <c r="K52">
        <v>1</v>
      </c>
      <c r="L52">
        <v>7</v>
      </c>
      <c r="M52">
        <v>7</v>
      </c>
      <c r="N52">
        <v>8511146.557</v>
      </c>
      <c r="O52">
        <v>22554538.370000001</v>
      </c>
      <c r="Q52" t="s">
        <v>354</v>
      </c>
      <c r="R52">
        <v>1000</v>
      </c>
      <c r="S52" t="s">
        <v>355</v>
      </c>
      <c r="T52" s="6">
        <v>500000000</v>
      </c>
      <c r="U52" t="s">
        <v>121</v>
      </c>
      <c r="V52" t="s">
        <v>352</v>
      </c>
      <c r="W52">
        <v>1233651.79949192</v>
      </c>
      <c r="X52" t="s">
        <v>353</v>
      </c>
      <c r="Y52">
        <v>465528.98094034602</v>
      </c>
      <c r="AA52" t="s">
        <v>121</v>
      </c>
      <c r="AB52">
        <v>1</v>
      </c>
    </row>
    <row r="53" spans="1:28" x14ac:dyDescent="0.25">
      <c r="A53" t="s">
        <v>123</v>
      </c>
      <c r="B53">
        <v>30</v>
      </c>
      <c r="C53" t="s">
        <v>356</v>
      </c>
      <c r="D53">
        <v>337.98</v>
      </c>
      <c r="F53" t="s">
        <v>357</v>
      </c>
      <c r="G53">
        <v>127.54</v>
      </c>
      <c r="I53" t="s">
        <v>123</v>
      </c>
      <c r="J53" t="s">
        <v>124</v>
      </c>
      <c r="K53">
        <v>1</v>
      </c>
      <c r="L53">
        <v>2</v>
      </c>
      <c r="M53">
        <v>2</v>
      </c>
      <c r="N53">
        <v>127.5414564</v>
      </c>
      <c r="O53">
        <v>337.98485950000003</v>
      </c>
      <c r="Q53" t="s">
        <v>358</v>
      </c>
      <c r="R53" s="6">
        <v>1450000000</v>
      </c>
      <c r="S53" t="s">
        <v>359</v>
      </c>
      <c r="T53" s="6">
        <v>100000000000</v>
      </c>
      <c r="U53" t="s">
        <v>123</v>
      </c>
      <c r="V53" t="s">
        <v>356</v>
      </c>
      <c r="W53">
        <v>94.039286566230402</v>
      </c>
      <c r="X53" t="s">
        <v>357</v>
      </c>
      <c r="Y53">
        <v>35.486523232539803</v>
      </c>
      <c r="AA53" t="s">
        <v>123</v>
      </c>
      <c r="AB53">
        <v>1</v>
      </c>
    </row>
    <row r="54" spans="1:28" x14ac:dyDescent="0.25">
      <c r="A54" t="s">
        <v>125</v>
      </c>
      <c r="B54">
        <v>3</v>
      </c>
      <c r="C54" t="s">
        <v>360</v>
      </c>
      <c r="D54">
        <v>116.54</v>
      </c>
      <c r="F54" t="s">
        <v>361</v>
      </c>
      <c r="G54">
        <v>43.97</v>
      </c>
      <c r="I54" t="s">
        <v>125</v>
      </c>
      <c r="J54" t="s">
        <v>126</v>
      </c>
      <c r="K54">
        <v>1</v>
      </c>
      <c r="L54">
        <v>1</v>
      </c>
      <c r="M54">
        <v>1</v>
      </c>
      <c r="N54">
        <v>43.979812539999998</v>
      </c>
      <c r="O54">
        <v>116.5465032</v>
      </c>
      <c r="Q54" t="s">
        <v>362</v>
      </c>
      <c r="R54" s="6">
        <v>17000000</v>
      </c>
      <c r="S54" t="s">
        <v>363</v>
      </c>
      <c r="T54" s="6">
        <v>16000000000</v>
      </c>
      <c r="U54" t="s">
        <v>125</v>
      </c>
      <c r="V54" t="s">
        <v>360</v>
      </c>
      <c r="W54">
        <v>160.307662058662</v>
      </c>
      <c r="X54" t="s">
        <v>361</v>
      </c>
      <c r="Y54">
        <v>60.493457380627099</v>
      </c>
      <c r="AA54" t="s">
        <v>125</v>
      </c>
      <c r="AB54">
        <v>1</v>
      </c>
    </row>
    <row r="55" spans="1:28" x14ac:dyDescent="0.25">
      <c r="A55" t="s">
        <v>127</v>
      </c>
      <c r="B55">
        <v>7</v>
      </c>
      <c r="C55" t="s">
        <v>364</v>
      </c>
      <c r="D55">
        <v>1261.47</v>
      </c>
      <c r="F55" t="s">
        <v>365</v>
      </c>
      <c r="G55">
        <v>476.02</v>
      </c>
      <c r="I55" t="s">
        <v>127</v>
      </c>
      <c r="J55" t="s">
        <v>128</v>
      </c>
      <c r="K55">
        <v>1</v>
      </c>
      <c r="L55">
        <v>2</v>
      </c>
      <c r="M55">
        <v>2</v>
      </c>
      <c r="N55">
        <v>476.02739730000002</v>
      </c>
      <c r="O55">
        <v>1261.4726029999999</v>
      </c>
      <c r="Q55" t="s">
        <v>366</v>
      </c>
      <c r="R55" s="6">
        <v>580000000</v>
      </c>
      <c r="S55" t="s">
        <v>367</v>
      </c>
      <c r="T55" s="6">
        <v>30000000000</v>
      </c>
      <c r="U55" t="s">
        <v>127</v>
      </c>
      <c r="V55" t="s">
        <v>364</v>
      </c>
      <c r="W55">
        <v>460.15344435883702</v>
      </c>
      <c r="X55" t="s">
        <v>365</v>
      </c>
      <c r="Y55">
        <v>173.642809192014</v>
      </c>
      <c r="AA55" t="s">
        <v>127</v>
      </c>
      <c r="AB55">
        <v>1</v>
      </c>
    </row>
    <row r="56" spans="1:28" x14ac:dyDescent="0.25">
      <c r="A56" t="s">
        <v>129</v>
      </c>
      <c r="B56">
        <v>37</v>
      </c>
      <c r="C56" t="s">
        <v>368</v>
      </c>
      <c r="D56">
        <v>337.98</v>
      </c>
      <c r="F56" t="s">
        <v>369</v>
      </c>
      <c r="G56">
        <v>127.54</v>
      </c>
      <c r="I56" t="s">
        <v>129</v>
      </c>
      <c r="J56" t="s">
        <v>130</v>
      </c>
      <c r="K56">
        <v>1</v>
      </c>
      <c r="L56">
        <v>2</v>
      </c>
      <c r="M56">
        <v>2</v>
      </c>
      <c r="N56">
        <v>127.5414564</v>
      </c>
      <c r="O56">
        <v>337.98485950000003</v>
      </c>
      <c r="Q56" t="s">
        <v>370</v>
      </c>
      <c r="R56" s="6">
        <v>1450000000</v>
      </c>
      <c r="S56" t="s">
        <v>371</v>
      </c>
      <c r="T56" s="6">
        <v>100000000000</v>
      </c>
      <c r="U56" t="s">
        <v>129</v>
      </c>
      <c r="V56" t="s">
        <v>368</v>
      </c>
      <c r="W56">
        <v>18.650246622806399</v>
      </c>
      <c r="X56" t="s">
        <v>369</v>
      </c>
      <c r="Y56">
        <v>7.0378289142665604</v>
      </c>
      <c r="AA56" t="s">
        <v>129</v>
      </c>
      <c r="AB56">
        <v>1</v>
      </c>
    </row>
    <row r="57" spans="1:28" x14ac:dyDescent="0.25">
      <c r="A57" t="s">
        <v>131</v>
      </c>
      <c r="B57">
        <v>5</v>
      </c>
      <c r="C57" t="s">
        <v>372</v>
      </c>
      <c r="D57">
        <v>1261.47</v>
      </c>
      <c r="F57" t="s">
        <v>373</v>
      </c>
      <c r="G57">
        <v>476.02</v>
      </c>
      <c r="I57" t="s">
        <v>131</v>
      </c>
      <c r="J57" t="s">
        <v>132</v>
      </c>
      <c r="K57">
        <v>1</v>
      </c>
      <c r="L57">
        <v>2</v>
      </c>
      <c r="M57">
        <v>2</v>
      </c>
      <c r="N57">
        <v>476.02739730000002</v>
      </c>
      <c r="O57">
        <v>1261.4726029999999</v>
      </c>
      <c r="Q57" t="s">
        <v>374</v>
      </c>
      <c r="R57" s="6">
        <v>580000000</v>
      </c>
      <c r="S57" t="s">
        <v>375</v>
      </c>
      <c r="T57" s="6">
        <v>30000000000</v>
      </c>
      <c r="U57" t="s">
        <v>131</v>
      </c>
      <c r="V57" t="s">
        <v>372</v>
      </c>
      <c r="W57">
        <v>41.027320347075801</v>
      </c>
      <c r="X57" t="s">
        <v>373</v>
      </c>
      <c r="Y57">
        <v>15.4820076781418</v>
      </c>
      <c r="AA57" t="s">
        <v>131</v>
      </c>
      <c r="AB57">
        <v>1</v>
      </c>
    </row>
    <row r="58" spans="1:28" x14ac:dyDescent="0.25">
      <c r="A58" t="s">
        <v>133</v>
      </c>
      <c r="B58">
        <v>49</v>
      </c>
      <c r="C58" t="s">
        <v>376</v>
      </c>
      <c r="D58">
        <v>927.5</v>
      </c>
      <c r="F58" t="s">
        <v>377</v>
      </c>
      <c r="G58">
        <v>350</v>
      </c>
      <c r="I58" t="s">
        <v>133</v>
      </c>
      <c r="J58" t="s">
        <v>134</v>
      </c>
      <c r="K58">
        <v>1</v>
      </c>
      <c r="L58">
        <v>3</v>
      </c>
      <c r="M58">
        <v>3</v>
      </c>
      <c r="N58">
        <v>350</v>
      </c>
      <c r="O58">
        <v>927.5</v>
      </c>
      <c r="Q58" t="s">
        <v>378</v>
      </c>
      <c r="R58" s="6">
        <v>61000000</v>
      </c>
      <c r="S58" t="s">
        <v>379</v>
      </c>
      <c r="T58" s="6">
        <v>20000000000000</v>
      </c>
      <c r="U58" t="s">
        <v>133</v>
      </c>
      <c r="V58" t="s">
        <v>376</v>
      </c>
      <c r="W58">
        <v>131.069665330036</v>
      </c>
      <c r="X58" t="s">
        <v>377</v>
      </c>
      <c r="Y58">
        <v>49.460251067938003</v>
      </c>
      <c r="AA58" t="s">
        <v>133</v>
      </c>
      <c r="AB58">
        <v>1</v>
      </c>
    </row>
    <row r="59" spans="1:28" x14ac:dyDescent="0.25">
      <c r="A59" t="s">
        <v>135</v>
      </c>
      <c r="B59">
        <v>8</v>
      </c>
      <c r="C59" t="s">
        <v>380</v>
      </c>
      <c r="D59">
        <v>1261.47</v>
      </c>
      <c r="F59" t="s">
        <v>381</v>
      </c>
      <c r="G59">
        <v>476.02</v>
      </c>
      <c r="I59" t="s">
        <v>135</v>
      </c>
      <c r="J59" t="s">
        <v>136</v>
      </c>
      <c r="K59">
        <v>1</v>
      </c>
      <c r="L59">
        <v>2</v>
      </c>
      <c r="M59">
        <v>2</v>
      </c>
      <c r="N59">
        <v>476.02739730000002</v>
      </c>
      <c r="O59">
        <v>1261.4726029999999</v>
      </c>
      <c r="Q59" t="s">
        <v>382</v>
      </c>
      <c r="R59" s="6">
        <v>580000000</v>
      </c>
      <c r="S59" t="s">
        <v>383</v>
      </c>
      <c r="T59" s="6">
        <v>30000000000</v>
      </c>
      <c r="U59" t="s">
        <v>135</v>
      </c>
      <c r="V59" t="s">
        <v>380</v>
      </c>
      <c r="W59">
        <v>14.1723021547285</v>
      </c>
      <c r="X59" t="s">
        <v>381</v>
      </c>
      <c r="Y59">
        <v>5.3480385489541602</v>
      </c>
      <c r="AA59" t="s">
        <v>135</v>
      </c>
      <c r="AB59">
        <v>1</v>
      </c>
    </row>
    <row r="60" spans="1:28" x14ac:dyDescent="0.25">
      <c r="A60" t="s">
        <v>137</v>
      </c>
      <c r="B60">
        <v>41</v>
      </c>
      <c r="C60" t="s">
        <v>384</v>
      </c>
      <c r="D60">
        <v>98.07</v>
      </c>
      <c r="F60" t="s">
        <v>385</v>
      </c>
      <c r="G60">
        <v>37.01</v>
      </c>
      <c r="I60" t="s">
        <v>137</v>
      </c>
      <c r="J60" t="s">
        <v>138</v>
      </c>
      <c r="K60">
        <v>1</v>
      </c>
      <c r="L60">
        <v>1</v>
      </c>
      <c r="M60">
        <v>1</v>
      </c>
      <c r="N60">
        <v>37.010334049999997</v>
      </c>
      <c r="O60">
        <v>98.077385239999998</v>
      </c>
      <c r="Q60" t="s">
        <v>386</v>
      </c>
      <c r="R60" s="6">
        <v>405000000</v>
      </c>
      <c r="S60" t="s">
        <v>387</v>
      </c>
      <c r="T60" s="6">
        <v>25000000000</v>
      </c>
      <c r="U60" t="s">
        <v>137</v>
      </c>
      <c r="V60" t="s">
        <v>384</v>
      </c>
      <c r="W60">
        <v>142.31883876457999</v>
      </c>
      <c r="X60" t="s">
        <v>385</v>
      </c>
      <c r="Y60">
        <v>53.705222175313203</v>
      </c>
      <c r="AA60" t="s">
        <v>137</v>
      </c>
      <c r="AB60">
        <v>1</v>
      </c>
    </row>
    <row r="61" spans="1:28" x14ac:dyDescent="0.25">
      <c r="Q61" t="s">
        <v>388</v>
      </c>
      <c r="R61" s="6">
        <v>905000000000</v>
      </c>
      <c r="S61" t="s">
        <v>389</v>
      </c>
      <c r="T61" s="6">
        <v>20200000000000</v>
      </c>
      <c r="U61" t="s">
        <v>390</v>
      </c>
    </row>
    <row r="62" spans="1:28" x14ac:dyDescent="0.25">
      <c r="Q62" t="s">
        <v>391</v>
      </c>
      <c r="R62" s="6">
        <v>905000000000</v>
      </c>
      <c r="S62" t="s">
        <v>392</v>
      </c>
      <c r="T62" s="6">
        <v>20200000000000</v>
      </c>
      <c r="U62" t="s">
        <v>393</v>
      </c>
    </row>
    <row r="63" spans="1:28" x14ac:dyDescent="0.25">
      <c r="Q63" t="s">
        <v>394</v>
      </c>
      <c r="R63" s="6">
        <v>900000000000</v>
      </c>
      <c r="S63" t="s">
        <v>395</v>
      </c>
      <c r="T63" s="6">
        <v>20000000000000</v>
      </c>
      <c r="U63" t="s">
        <v>396</v>
      </c>
    </row>
    <row r="64" spans="1:28" x14ac:dyDescent="0.25">
      <c r="Q64" t="s">
        <v>397</v>
      </c>
      <c r="R64" s="6">
        <v>900000000000</v>
      </c>
      <c r="S64" t="s">
        <v>398</v>
      </c>
      <c r="T64" s="6">
        <v>20000000000000</v>
      </c>
      <c r="U64" t="s">
        <v>399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topLeftCell="A39" zoomScaleNormal="100" workbookViewId="0">
      <selection activeCell="A2" sqref="A2"/>
    </sheetView>
  </sheetViews>
  <sheetFormatPr defaultRowHeight="15" x14ac:dyDescent="0.25"/>
  <cols>
    <col min="1" max="1" width="5.42578125"/>
    <col min="2" max="2" width="24.7109375"/>
    <col min="3" max="3" width="6.85546875"/>
    <col min="4" max="4" width="7.42578125"/>
    <col min="5" max="5" width="4"/>
    <col min="6" max="11" width="11.7109375"/>
    <col min="12" max="12" width="7.85546875"/>
    <col min="13" max="13" width="5.85546875"/>
    <col min="14" max="20" width="11.7109375"/>
    <col min="21" max="21" width="12.5703125"/>
    <col min="22" max="1025" width="7.28515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95</v>
      </c>
      <c r="B3" s="2" t="s">
        <v>96</v>
      </c>
      <c r="C3">
        <v>1</v>
      </c>
      <c r="D3">
        <v>2</v>
      </c>
      <c r="E3">
        <v>2</v>
      </c>
      <c r="F3">
        <v>127.5414564</v>
      </c>
      <c r="G3">
        <v>337.98485950000003</v>
      </c>
      <c r="H3">
        <v>53.070000010000001</v>
      </c>
      <c r="I3">
        <v>5.3069999999999999E-2</v>
      </c>
      <c r="J3">
        <v>5.3100000000000003E-5</v>
      </c>
      <c r="K3">
        <v>0.11699918300000001</v>
      </c>
      <c r="L3">
        <v>0.01</v>
      </c>
      <c r="M3">
        <v>3</v>
      </c>
      <c r="N3">
        <v>15.782353730000001</v>
      </c>
      <c r="O3">
        <v>44.836473739153099</v>
      </c>
      <c r="P3">
        <v>1216.8249786763299</v>
      </c>
      <c r="Q3">
        <v>2924.35707444442</v>
      </c>
      <c r="R3">
        <v>7749.5462472777299</v>
      </c>
      <c r="S3">
        <v>136</v>
      </c>
      <c r="T3">
        <v>0.2</v>
      </c>
      <c r="U3">
        <v>0</v>
      </c>
    </row>
    <row r="4" spans="1:21" x14ac:dyDescent="0.25">
      <c r="A4" t="s">
        <v>101</v>
      </c>
      <c r="B4" t="s">
        <v>102</v>
      </c>
      <c r="C4">
        <v>1</v>
      </c>
      <c r="D4">
        <v>2</v>
      </c>
      <c r="E4">
        <v>2</v>
      </c>
      <c r="F4">
        <v>127.5414564</v>
      </c>
      <c r="G4">
        <v>337.98485950000003</v>
      </c>
      <c r="H4">
        <v>53.070000010000001</v>
      </c>
      <c r="I4">
        <v>5.3069999999999999E-2</v>
      </c>
      <c r="J4">
        <v>5.3100000000000003E-5</v>
      </c>
      <c r="K4">
        <v>0.11699918300000001</v>
      </c>
      <c r="L4">
        <v>1.2E-2</v>
      </c>
      <c r="M4">
        <v>3.1</v>
      </c>
      <c r="N4">
        <v>14.99760408</v>
      </c>
      <c r="O4" s="2">
        <v>30.428790426725801</v>
      </c>
      <c r="P4" s="2">
        <v>475.733552301668</v>
      </c>
      <c r="Q4" s="2">
        <v>1143.3154345149401</v>
      </c>
      <c r="R4" s="2">
        <v>3029.7859014646001</v>
      </c>
      <c r="S4">
        <v>150.03333333333299</v>
      </c>
      <c r="T4">
        <v>0.11333333333333299</v>
      </c>
      <c r="U4">
        <v>0</v>
      </c>
    </row>
    <row r="5" spans="1:21" x14ac:dyDescent="0.25">
      <c r="A5" t="s">
        <v>37</v>
      </c>
      <c r="B5" t="s">
        <v>38</v>
      </c>
      <c r="C5">
        <v>1</v>
      </c>
      <c r="D5">
        <v>9</v>
      </c>
      <c r="E5">
        <v>9</v>
      </c>
      <c r="F5">
        <v>1513105530</v>
      </c>
      <c r="G5">
        <v>4009729654</v>
      </c>
      <c r="H5">
        <v>629603211</v>
      </c>
      <c r="I5">
        <v>629603.21100000001</v>
      </c>
      <c r="J5">
        <v>629.60321099999999</v>
      </c>
      <c r="K5">
        <v>1388035.831</v>
      </c>
      <c r="L5" s="2">
        <v>6.0000000000000001E-3</v>
      </c>
      <c r="M5">
        <v>3</v>
      </c>
      <c r="N5">
        <v>1465.5893920000001</v>
      </c>
      <c r="O5" s="2">
        <v>2074.86068892197</v>
      </c>
      <c r="P5" s="2">
        <v>53594235.192170598</v>
      </c>
      <c r="Q5" s="2">
        <v>128801334.275824</v>
      </c>
      <c r="R5" s="2">
        <v>341323535.830935</v>
      </c>
      <c r="S5" s="2">
        <v>2097.36</v>
      </c>
      <c r="T5" s="2">
        <v>0.5</v>
      </c>
      <c r="U5" s="2">
        <v>0</v>
      </c>
    </row>
    <row r="6" spans="1:21" x14ac:dyDescent="0.25">
      <c r="A6" s="2" t="s">
        <v>31</v>
      </c>
      <c r="B6" t="s">
        <v>32</v>
      </c>
      <c r="C6">
        <v>1</v>
      </c>
      <c r="D6">
        <v>1</v>
      </c>
      <c r="E6">
        <v>1</v>
      </c>
      <c r="F6">
        <v>49.194905069999997</v>
      </c>
      <c r="G6">
        <v>130.36649840000001</v>
      </c>
      <c r="H6">
        <v>20.469999999626999</v>
      </c>
      <c r="I6">
        <v>2.0469999999626998E-2</v>
      </c>
      <c r="J6">
        <v>2.0469999999626999E-5</v>
      </c>
      <c r="K6">
        <v>4.5128571399177697E-2</v>
      </c>
      <c r="L6" s="3">
        <v>1.1599999999999999E-2</v>
      </c>
      <c r="M6" s="3">
        <v>3</v>
      </c>
      <c r="N6">
        <v>12.084256948656501</v>
      </c>
      <c r="O6" s="2">
        <v>17.621741541719199</v>
      </c>
      <c r="P6" s="2">
        <v>63.475257401935899</v>
      </c>
      <c r="Q6" s="2">
        <v>152.54808315774099</v>
      </c>
      <c r="R6" s="2">
        <v>404.25242036801302</v>
      </c>
      <c r="S6" s="2">
        <v>29.1726666666667</v>
      </c>
      <c r="T6" s="2">
        <v>0.92646666666666699</v>
      </c>
      <c r="U6" s="2">
        <v>0</v>
      </c>
    </row>
    <row r="7" spans="1:21" x14ac:dyDescent="0.25">
      <c r="A7" t="s">
        <v>25</v>
      </c>
      <c r="B7" t="s">
        <v>26</v>
      </c>
      <c r="C7">
        <v>1</v>
      </c>
      <c r="D7">
        <v>3</v>
      </c>
      <c r="E7">
        <v>3</v>
      </c>
      <c r="F7">
        <v>829.48845900000003</v>
      </c>
      <c r="G7">
        <v>2197.74442</v>
      </c>
      <c r="H7">
        <v>345.15014780000001</v>
      </c>
      <c r="I7">
        <v>0.34515014799999999</v>
      </c>
      <c r="J7">
        <v>3.4515000000000001E-4</v>
      </c>
      <c r="K7">
        <v>0.76092491900000003</v>
      </c>
      <c r="L7">
        <v>2.1399999999999999E-2</v>
      </c>
      <c r="M7">
        <v>2.96</v>
      </c>
      <c r="N7">
        <v>26.392744749999999</v>
      </c>
      <c r="O7">
        <v>33.658006569474097</v>
      </c>
      <c r="P7">
        <v>708.91703154675895</v>
      </c>
      <c r="Q7">
        <v>1703.71793209988</v>
      </c>
      <c r="R7">
        <v>4514.85252006467</v>
      </c>
      <c r="S7">
        <v>358.7</v>
      </c>
      <c r="T7">
        <v>9.1999999999999998E-2</v>
      </c>
      <c r="U7">
        <v>-1.929</v>
      </c>
    </row>
    <row r="8" spans="1:21" x14ac:dyDescent="0.25">
      <c r="A8" t="s">
        <v>33</v>
      </c>
      <c r="B8" t="s">
        <v>34</v>
      </c>
      <c r="C8">
        <v>1</v>
      </c>
      <c r="D8">
        <v>2</v>
      </c>
      <c r="E8">
        <v>2</v>
      </c>
      <c r="F8">
        <v>127.5414564</v>
      </c>
      <c r="G8">
        <v>337.98485950000003</v>
      </c>
      <c r="H8">
        <v>53.070000010000001</v>
      </c>
      <c r="I8">
        <v>5.3069999999999999E-2</v>
      </c>
      <c r="J8">
        <v>5.3100000000000003E-5</v>
      </c>
      <c r="K8">
        <v>0.11699918300000001</v>
      </c>
      <c r="L8">
        <v>1.4999999999999999E-2</v>
      </c>
      <c r="M8">
        <v>3</v>
      </c>
      <c r="N8">
        <v>15.23769499</v>
      </c>
      <c r="O8">
        <v>19.1988128345637</v>
      </c>
      <c r="P8">
        <v>106.148627567673</v>
      </c>
      <c r="Q8">
        <v>255.10364712250299</v>
      </c>
      <c r="R8">
        <v>676.02466487463198</v>
      </c>
      <c r="S8" s="4">
        <v>58.9</v>
      </c>
      <c r="T8" s="4">
        <v>0.22</v>
      </c>
      <c r="U8" s="4">
        <v>0.20699999999999999</v>
      </c>
    </row>
    <row r="9" spans="1:21" x14ac:dyDescent="0.25">
      <c r="A9" t="s">
        <v>29</v>
      </c>
      <c r="B9" t="s">
        <v>30</v>
      </c>
      <c r="C9">
        <v>1</v>
      </c>
      <c r="D9">
        <v>7</v>
      </c>
      <c r="E9" s="2">
        <v>7</v>
      </c>
      <c r="F9">
        <v>1355.00938</v>
      </c>
      <c r="G9">
        <v>3590.52486</v>
      </c>
      <c r="H9">
        <v>563.81940299999997</v>
      </c>
      <c r="I9">
        <v>0.563819403</v>
      </c>
      <c r="J9">
        <v>5.6381900000000002E-4</v>
      </c>
      <c r="K9">
        <v>1.243007532</v>
      </c>
      <c r="L9">
        <v>3.2499999999999999E-3</v>
      </c>
      <c r="M9">
        <v>3</v>
      </c>
      <c r="N9">
        <v>55.772342469999998</v>
      </c>
      <c r="O9">
        <v>219.265780084395</v>
      </c>
      <c r="P9">
        <v>34260.676659675199</v>
      </c>
      <c r="Q9">
        <v>82337.603123468507</v>
      </c>
      <c r="R9">
        <v>218194.648277192</v>
      </c>
      <c r="S9">
        <v>282</v>
      </c>
      <c r="T9">
        <v>0.18</v>
      </c>
      <c r="U9">
        <v>-1.35</v>
      </c>
    </row>
    <row r="10" spans="1:21" x14ac:dyDescent="0.25">
      <c r="A10" t="s">
        <v>23</v>
      </c>
      <c r="B10" t="s">
        <v>24</v>
      </c>
      <c r="C10">
        <v>1</v>
      </c>
      <c r="D10">
        <v>3</v>
      </c>
      <c r="E10">
        <v>3</v>
      </c>
      <c r="F10">
        <v>829.48845900000003</v>
      </c>
      <c r="G10">
        <v>2197.74442</v>
      </c>
      <c r="H10">
        <v>345.15014780000001</v>
      </c>
      <c r="I10">
        <v>0.34515014799999999</v>
      </c>
      <c r="J10">
        <v>3.4515000000000001E-4</v>
      </c>
      <c r="K10">
        <v>0.76092491900000003</v>
      </c>
      <c r="L10">
        <v>0.03</v>
      </c>
      <c r="M10">
        <v>3</v>
      </c>
      <c r="N10">
        <v>30.046246140000001</v>
      </c>
      <c r="O10">
        <v>48.279812187087401</v>
      </c>
      <c r="P10">
        <v>1296.2217182591</v>
      </c>
      <c r="Q10">
        <v>3115.1687533263698</v>
      </c>
      <c r="R10">
        <v>8255.1971963148899</v>
      </c>
      <c r="S10">
        <v>314.89999999999998</v>
      </c>
      <c r="T10">
        <v>8.8999999999999996E-2</v>
      </c>
      <c r="U10">
        <v>-1.1299999999999999</v>
      </c>
    </row>
    <row r="11" spans="1:21" x14ac:dyDescent="0.25">
      <c r="A11" t="s">
        <v>27</v>
      </c>
      <c r="B11" t="s">
        <v>28</v>
      </c>
      <c r="C11">
        <v>1</v>
      </c>
      <c r="D11">
        <v>1</v>
      </c>
      <c r="E11">
        <v>1</v>
      </c>
      <c r="F11">
        <v>269.40639270000003</v>
      </c>
      <c r="G11">
        <v>713.92694070000005</v>
      </c>
      <c r="H11">
        <v>112.1</v>
      </c>
      <c r="I11">
        <v>0.11210000000000001</v>
      </c>
      <c r="J11">
        <v>1.121E-4</v>
      </c>
      <c r="K11">
        <v>0.24713790199999999</v>
      </c>
      <c r="L11">
        <v>1.0999999999999999E-2</v>
      </c>
      <c r="M11">
        <v>2.9</v>
      </c>
      <c r="N11">
        <v>24.106956749999998</v>
      </c>
      <c r="O11">
        <v>27.042514542150101</v>
      </c>
      <c r="P11">
        <v>156.43329523840299</v>
      </c>
      <c r="Q11">
        <v>375.95120220717001</v>
      </c>
      <c r="R11">
        <v>996.27068584899905</v>
      </c>
      <c r="S11">
        <v>81.53</v>
      </c>
      <c r="T11">
        <v>0.31</v>
      </c>
      <c r="U11">
        <v>-0.3</v>
      </c>
    </row>
    <row r="12" spans="1:21" x14ac:dyDescent="0.25">
      <c r="A12" t="s">
        <v>35</v>
      </c>
      <c r="B12" t="s">
        <v>36</v>
      </c>
      <c r="C12">
        <v>1</v>
      </c>
      <c r="D12">
        <v>1</v>
      </c>
      <c r="E12">
        <v>1</v>
      </c>
      <c r="F12">
        <v>49.194905069999997</v>
      </c>
      <c r="G12">
        <v>130.36649840000001</v>
      </c>
      <c r="H12">
        <v>20.47</v>
      </c>
      <c r="I12">
        <v>2.0469999999999999E-2</v>
      </c>
      <c r="J12">
        <v>2.05E-5</v>
      </c>
      <c r="K12">
        <v>4.5128570999999999E-2</v>
      </c>
      <c r="L12">
        <v>2.1000000000000001E-2</v>
      </c>
      <c r="M12">
        <v>3</v>
      </c>
      <c r="N12">
        <v>9.9151551869999999</v>
      </c>
      <c r="O12">
        <v>12.644084665180401</v>
      </c>
      <c r="P12">
        <v>42.450370046910898</v>
      </c>
      <c r="Q12">
        <v>102.019634815936</v>
      </c>
      <c r="R12">
        <v>270.35203226223001</v>
      </c>
      <c r="S12" s="4">
        <v>21.02</v>
      </c>
      <c r="T12" s="4">
        <v>0.86</v>
      </c>
      <c r="U12" s="4">
        <v>-6.9989999999999997E-2</v>
      </c>
    </row>
    <row r="13" spans="1:21" x14ac:dyDescent="0.25">
      <c r="A13" t="s">
        <v>39</v>
      </c>
      <c r="B13" t="s">
        <v>40</v>
      </c>
      <c r="C13">
        <v>1</v>
      </c>
      <c r="D13">
        <v>2</v>
      </c>
      <c r="E13">
        <v>2</v>
      </c>
      <c r="F13">
        <v>309.3006489</v>
      </c>
      <c r="G13">
        <v>819.64671959999998</v>
      </c>
      <c r="H13">
        <v>128.69999999999999</v>
      </c>
      <c r="I13">
        <v>0.12870000000000001</v>
      </c>
      <c r="J13">
        <v>1.2870000000000001E-4</v>
      </c>
      <c r="K13">
        <v>0.28373459400000001</v>
      </c>
      <c r="L13">
        <v>1.2E-2</v>
      </c>
      <c r="M13">
        <v>3</v>
      </c>
      <c r="N13">
        <v>22.05290299</v>
      </c>
      <c r="O13">
        <v>28.0613187207728</v>
      </c>
      <c r="P13">
        <v>265.15845240718301</v>
      </c>
      <c r="Q13">
        <v>637.24694161783896</v>
      </c>
      <c r="R13">
        <v>1688.70439528727</v>
      </c>
      <c r="S13">
        <v>150.93</v>
      </c>
      <c r="T13">
        <v>0.11</v>
      </c>
      <c r="U13">
        <v>0.13</v>
      </c>
    </row>
    <row r="14" spans="1:21" x14ac:dyDescent="0.25">
      <c r="A14" t="s">
        <v>45</v>
      </c>
      <c r="B14" t="s">
        <v>46</v>
      </c>
      <c r="C14">
        <v>1</v>
      </c>
      <c r="D14">
        <v>5</v>
      </c>
      <c r="E14">
        <v>5</v>
      </c>
      <c r="F14">
        <v>819.66597860000002</v>
      </c>
      <c r="G14">
        <v>2172.1148429999998</v>
      </c>
      <c r="H14">
        <v>341.0630137</v>
      </c>
      <c r="I14">
        <v>0.341063014</v>
      </c>
      <c r="J14">
        <v>3.4106300000000001E-4</v>
      </c>
      <c r="K14">
        <v>0.75191434099999999</v>
      </c>
      <c r="L14">
        <v>3.96E-3</v>
      </c>
      <c r="M14">
        <v>3.2</v>
      </c>
      <c r="N14">
        <v>34.852270400000002</v>
      </c>
      <c r="O14" s="2">
        <v>210.25548566594</v>
      </c>
      <c r="P14" s="2">
        <v>107272.06964857</v>
      </c>
      <c r="Q14" s="2">
        <v>257803.58002540399</v>
      </c>
      <c r="R14" s="2">
        <v>683179.48706732003</v>
      </c>
      <c r="S14" s="2">
        <v>300.78571428571399</v>
      </c>
      <c r="T14" s="2">
        <v>0.24014285714285699</v>
      </c>
      <c r="U14" s="2">
        <v>0</v>
      </c>
    </row>
    <row r="15" spans="1:21" x14ac:dyDescent="0.25">
      <c r="A15" t="s">
        <v>43</v>
      </c>
      <c r="B15" t="s">
        <v>44</v>
      </c>
      <c r="C15">
        <v>1</v>
      </c>
      <c r="D15">
        <v>2</v>
      </c>
      <c r="E15">
        <v>2</v>
      </c>
      <c r="F15">
        <v>127.5414564</v>
      </c>
      <c r="G15">
        <v>337.98485950000003</v>
      </c>
      <c r="H15">
        <v>53.070000010000001</v>
      </c>
      <c r="I15">
        <v>5.3069999999999999E-2</v>
      </c>
      <c r="J15">
        <v>5.3100000000000003E-5</v>
      </c>
      <c r="K15">
        <v>0.11699918300000001</v>
      </c>
      <c r="L15">
        <v>1.44E-2</v>
      </c>
      <c r="M15">
        <v>3</v>
      </c>
      <c r="N15">
        <v>15.44645648</v>
      </c>
      <c r="O15" s="2">
        <v>28.1894449982616</v>
      </c>
      <c r="P15" s="2">
        <v>322.56858449086297</v>
      </c>
      <c r="Q15" s="2">
        <v>775.21890048272701</v>
      </c>
      <c r="R15" s="2">
        <v>2054.3300862792298</v>
      </c>
      <c r="S15" s="2">
        <v>47.633333333333297</v>
      </c>
      <c r="T15" s="2">
        <v>0.44800000000000001</v>
      </c>
      <c r="U15" s="2">
        <v>0</v>
      </c>
    </row>
    <row r="16" spans="1:21" x14ac:dyDescent="0.25">
      <c r="A16" t="s">
        <v>53</v>
      </c>
      <c r="B16" t="s">
        <v>54</v>
      </c>
      <c r="C16">
        <v>1</v>
      </c>
      <c r="D16">
        <v>2</v>
      </c>
      <c r="E16">
        <v>2</v>
      </c>
      <c r="F16">
        <v>476.02739730000002</v>
      </c>
      <c r="G16">
        <v>1261.4726029999999</v>
      </c>
      <c r="H16">
        <v>198.07499999999999</v>
      </c>
      <c r="I16">
        <v>0.198075</v>
      </c>
      <c r="J16">
        <v>1.98075E-4</v>
      </c>
      <c r="K16">
        <v>0.43668010699999998</v>
      </c>
      <c r="L16">
        <v>1.2E-2</v>
      </c>
      <c r="M16">
        <v>2.95</v>
      </c>
      <c r="N16">
        <v>26.897463590000001</v>
      </c>
      <c r="O16">
        <v>11.817416766733</v>
      </c>
      <c r="P16">
        <v>17.503414393556</v>
      </c>
      <c r="Q16">
        <v>42.065403493285203</v>
      </c>
      <c r="R16">
        <v>111.473319257206</v>
      </c>
      <c r="S16">
        <v>41</v>
      </c>
      <c r="T16">
        <v>0.17</v>
      </c>
      <c r="U16">
        <v>0</v>
      </c>
    </row>
    <row r="17" spans="1:21" x14ac:dyDescent="0.25">
      <c r="A17" t="s">
        <v>57</v>
      </c>
      <c r="B17" t="s">
        <v>58</v>
      </c>
      <c r="C17">
        <v>1</v>
      </c>
      <c r="D17">
        <v>2</v>
      </c>
      <c r="E17">
        <v>2</v>
      </c>
      <c r="F17">
        <v>290.55515500000001</v>
      </c>
      <c r="G17">
        <v>769.97116089999997</v>
      </c>
      <c r="H17">
        <v>120.9</v>
      </c>
      <c r="I17">
        <v>0.12089999999999999</v>
      </c>
      <c r="J17">
        <v>1.209E-4</v>
      </c>
      <c r="K17">
        <v>0.26653855799999998</v>
      </c>
      <c r="L17">
        <v>4.0000000000000001E-3</v>
      </c>
      <c r="M17">
        <v>3.1</v>
      </c>
      <c r="N17">
        <v>21.719413710000001</v>
      </c>
      <c r="O17">
        <v>40.143918515854601</v>
      </c>
      <c r="P17">
        <v>763.38090886834902</v>
      </c>
      <c r="Q17">
        <v>1834.60924986385</v>
      </c>
      <c r="R17">
        <v>4861.7145121392095</v>
      </c>
      <c r="S17">
        <v>72.900000000000006</v>
      </c>
      <c r="T17">
        <v>0.4</v>
      </c>
      <c r="U17">
        <v>0</v>
      </c>
    </row>
    <row r="18" spans="1:21" x14ac:dyDescent="0.25">
      <c r="A18" t="s">
        <v>59</v>
      </c>
      <c r="B18" t="s">
        <v>60</v>
      </c>
      <c r="C18">
        <v>1</v>
      </c>
      <c r="D18">
        <v>2</v>
      </c>
      <c r="E18">
        <v>2</v>
      </c>
      <c r="F18">
        <v>476.02739730000002</v>
      </c>
      <c r="G18">
        <v>1261.4726029999999</v>
      </c>
      <c r="H18">
        <v>198.07499999999999</v>
      </c>
      <c r="I18">
        <v>0.198075</v>
      </c>
      <c r="J18">
        <v>1.98075E-4</v>
      </c>
      <c r="K18">
        <v>0.43668010699999998</v>
      </c>
      <c r="L18">
        <v>1.6799999999999999E-2</v>
      </c>
      <c r="M18">
        <v>3.1</v>
      </c>
      <c r="N18">
        <v>20.577550299999999</v>
      </c>
      <c r="O18">
        <v>30.0191810829898</v>
      </c>
      <c r="P18">
        <v>638.62466460155497</v>
      </c>
      <c r="Q18">
        <v>1534.78650469011</v>
      </c>
      <c r="R18">
        <v>4067.1842374287999</v>
      </c>
      <c r="S18">
        <v>263.2</v>
      </c>
      <c r="T18">
        <v>7.0000000000000007E-2</v>
      </c>
      <c r="U18">
        <v>0.27</v>
      </c>
    </row>
    <row r="19" spans="1:21" x14ac:dyDescent="0.25">
      <c r="A19" t="s">
        <v>61</v>
      </c>
      <c r="B19" t="s">
        <v>62</v>
      </c>
      <c r="C19">
        <v>1</v>
      </c>
      <c r="D19">
        <v>1</v>
      </c>
      <c r="E19">
        <v>1</v>
      </c>
      <c r="F19">
        <v>16.822879109999999</v>
      </c>
      <c r="G19">
        <v>44.580629649999999</v>
      </c>
      <c r="H19">
        <v>6.9999999979999998</v>
      </c>
      <c r="I19">
        <v>7.0000000000000001E-3</v>
      </c>
      <c r="J19">
        <v>6.9999999999999999E-6</v>
      </c>
      <c r="K19">
        <v>1.5432339999999999E-2</v>
      </c>
      <c r="L19">
        <v>1.2500000000000001E-2</v>
      </c>
      <c r="M19">
        <v>3</v>
      </c>
      <c r="N19">
        <v>8.2425705990000004</v>
      </c>
      <c r="O19">
        <v>4.5195828904047897</v>
      </c>
      <c r="P19">
        <v>1.1539980651435</v>
      </c>
      <c r="Q19">
        <v>2.77336713564888</v>
      </c>
      <c r="R19">
        <v>7.3494229094695402</v>
      </c>
      <c r="S19">
        <v>33.700000000000003</v>
      </c>
      <c r="T19">
        <v>0.32</v>
      </c>
      <c r="U19">
        <v>0.55000000000000004</v>
      </c>
    </row>
    <row r="20" spans="1:21" x14ac:dyDescent="0.25">
      <c r="A20" t="s">
        <v>63</v>
      </c>
      <c r="B20" t="s">
        <v>64</v>
      </c>
      <c r="C20">
        <v>1</v>
      </c>
      <c r="D20">
        <v>2</v>
      </c>
      <c r="E20">
        <v>2</v>
      </c>
      <c r="F20">
        <v>127.5414564</v>
      </c>
      <c r="G20">
        <v>337.98485950000003</v>
      </c>
      <c r="H20">
        <v>53.070000010000001</v>
      </c>
      <c r="I20">
        <v>5.3069999999999999E-2</v>
      </c>
      <c r="J20">
        <v>5.3100000000000003E-5</v>
      </c>
      <c r="K20">
        <v>0.11699918300000001</v>
      </c>
      <c r="L20">
        <v>1.2E-2</v>
      </c>
      <c r="M20">
        <v>3.1</v>
      </c>
      <c r="N20">
        <v>14.99760408</v>
      </c>
      <c r="O20">
        <v>26.2839081072242</v>
      </c>
      <c r="P20">
        <v>302.14823421892999</v>
      </c>
      <c r="Q20">
        <v>726.14331703660196</v>
      </c>
      <c r="R20">
        <v>1924.2797901469901</v>
      </c>
      <c r="S20">
        <v>42.5</v>
      </c>
      <c r="T20">
        <v>0.47</v>
      </c>
      <c r="U20">
        <v>0.05</v>
      </c>
    </row>
    <row r="21" spans="1:21" x14ac:dyDescent="0.25">
      <c r="A21" t="s">
        <v>65</v>
      </c>
      <c r="B21" t="s">
        <v>66</v>
      </c>
      <c r="C21">
        <v>1</v>
      </c>
      <c r="D21">
        <v>3</v>
      </c>
      <c r="E21">
        <v>3</v>
      </c>
      <c r="F21">
        <v>350</v>
      </c>
      <c r="G21">
        <v>927.5</v>
      </c>
      <c r="H21">
        <v>145.63499999999999</v>
      </c>
      <c r="I21">
        <v>0.14563499999999999</v>
      </c>
      <c r="J21">
        <v>1.45635E-4</v>
      </c>
      <c r="K21">
        <v>0.321069834</v>
      </c>
      <c r="L21">
        <v>1.2699999999999999E-2</v>
      </c>
      <c r="M21">
        <v>3.1</v>
      </c>
      <c r="N21">
        <v>20.394068969999999</v>
      </c>
      <c r="O21">
        <v>37.2189691929498</v>
      </c>
      <c r="P21">
        <v>940.09810574131905</v>
      </c>
      <c r="Q21">
        <v>2259.30811281259</v>
      </c>
      <c r="R21">
        <v>5987.1664989533701</v>
      </c>
      <c r="S21">
        <v>52.7</v>
      </c>
      <c r="T21">
        <v>0.35</v>
      </c>
      <c r="U21">
        <v>-0.5</v>
      </c>
    </row>
    <row r="22" spans="1:21" x14ac:dyDescent="0.25">
      <c r="A22" t="s">
        <v>67</v>
      </c>
      <c r="B22" t="s">
        <v>68</v>
      </c>
      <c r="C22">
        <v>1</v>
      </c>
      <c r="D22">
        <v>1</v>
      </c>
      <c r="E22">
        <v>1</v>
      </c>
      <c r="F22">
        <v>24.46</v>
      </c>
      <c r="G22">
        <v>64.84</v>
      </c>
      <c r="H22">
        <v>10.177806</v>
      </c>
      <c r="I22">
        <v>1.0177805999999999E-2</v>
      </c>
      <c r="J22">
        <v>1.0200000000000001E-5</v>
      </c>
      <c r="K22">
        <v>2.2438195000000001E-2</v>
      </c>
      <c r="L22">
        <v>1.29E-2</v>
      </c>
      <c r="M22">
        <v>3.05</v>
      </c>
      <c r="N22">
        <v>8.9095793360000002</v>
      </c>
      <c r="O22">
        <v>20.7487283787022</v>
      </c>
      <c r="P22">
        <v>134.09535696500299</v>
      </c>
      <c r="Q22">
        <v>322.26714002644201</v>
      </c>
      <c r="R22">
        <v>854.00792107007203</v>
      </c>
      <c r="S22">
        <v>40.6</v>
      </c>
      <c r="T22">
        <v>0.27</v>
      </c>
      <c r="U22">
        <v>-1.65</v>
      </c>
    </row>
    <row r="23" spans="1:21" x14ac:dyDescent="0.25">
      <c r="A23" t="s">
        <v>69</v>
      </c>
      <c r="B23" t="s">
        <v>70</v>
      </c>
      <c r="C23">
        <v>1</v>
      </c>
      <c r="D23">
        <v>1</v>
      </c>
      <c r="E23">
        <v>1</v>
      </c>
      <c r="F23">
        <v>48.065368900000003</v>
      </c>
      <c r="G23">
        <v>127.37322760000001</v>
      </c>
      <c r="H23">
        <v>20</v>
      </c>
      <c r="I23">
        <v>0.02</v>
      </c>
      <c r="J23">
        <v>2.0000000000000002E-5</v>
      </c>
      <c r="K23">
        <v>4.4092399999999997E-2</v>
      </c>
      <c r="L23">
        <v>0.01</v>
      </c>
      <c r="M23">
        <v>2.9</v>
      </c>
      <c r="N23">
        <v>13.749477840000001</v>
      </c>
      <c r="O23">
        <v>8.1033821062960296</v>
      </c>
      <c r="P23">
        <v>4.3165057367255804</v>
      </c>
      <c r="Q23">
        <v>10.3737220301023</v>
      </c>
      <c r="R23">
        <v>27.4903633797712</v>
      </c>
      <c r="S23">
        <v>37.700000000000003</v>
      </c>
      <c r="T23">
        <v>0.24199999999999999</v>
      </c>
      <c r="U23">
        <v>0</v>
      </c>
    </row>
    <row r="24" spans="1:21" x14ac:dyDescent="0.25">
      <c r="A24" s="2" t="s">
        <v>71</v>
      </c>
      <c r="B24" t="s">
        <v>72</v>
      </c>
      <c r="C24">
        <v>1</v>
      </c>
      <c r="D24">
        <v>1</v>
      </c>
      <c r="E24">
        <v>1</v>
      </c>
      <c r="F24">
        <v>2.6676279740000002</v>
      </c>
      <c r="G24">
        <v>7.0692141299999998</v>
      </c>
      <c r="H24">
        <v>1.1099999999814001</v>
      </c>
      <c r="I24">
        <v>1.1099999999814E-3</v>
      </c>
      <c r="J24">
        <v>1.1099999999814E-6</v>
      </c>
      <c r="K24">
        <v>2.4471281999589901E-3</v>
      </c>
      <c r="L24" s="3">
        <v>1.0999999999999999E-2</v>
      </c>
      <c r="M24" s="3">
        <v>3.01</v>
      </c>
      <c r="N24">
        <v>4.6318829138707498</v>
      </c>
      <c r="O24" s="2">
        <v>4.11570684820982</v>
      </c>
      <c r="P24" s="2">
        <v>0.77780446133876502</v>
      </c>
      <c r="Q24" s="2">
        <v>1.86927291838204</v>
      </c>
      <c r="R24" s="2">
        <v>4.9535732337123903</v>
      </c>
      <c r="S24">
        <v>9</v>
      </c>
      <c r="T24">
        <v>0.32</v>
      </c>
      <c r="U24">
        <v>-0.91</v>
      </c>
    </row>
    <row r="25" spans="1:21" x14ac:dyDescent="0.25">
      <c r="A25" s="2" t="s">
        <v>49</v>
      </c>
      <c r="B25" t="s">
        <v>50</v>
      </c>
      <c r="C25">
        <v>1</v>
      </c>
      <c r="D25">
        <v>1</v>
      </c>
      <c r="E25">
        <v>1</v>
      </c>
      <c r="F25">
        <v>127.5414564</v>
      </c>
      <c r="G25">
        <v>337.98485950000003</v>
      </c>
      <c r="H25">
        <v>53.070000008039997</v>
      </c>
      <c r="I25">
        <v>5.3070000008039998E-2</v>
      </c>
      <c r="J25">
        <v>5.3070000008040001E-5</v>
      </c>
      <c r="K25">
        <v>0.116999183417725</v>
      </c>
      <c r="L25" s="3">
        <v>1.2E-2</v>
      </c>
      <c r="M25" s="3">
        <v>3.1</v>
      </c>
      <c r="N25">
        <v>14.9976040757329</v>
      </c>
      <c r="O25" s="2">
        <v>10.9405693213658</v>
      </c>
      <c r="P25" s="2">
        <v>19.9620438384346</v>
      </c>
      <c r="Q25" s="2">
        <v>47.974150056319502</v>
      </c>
      <c r="R25" s="2">
        <v>127.131497649247</v>
      </c>
      <c r="S25" s="2">
        <v>54.3</v>
      </c>
      <c r="T25" s="2">
        <v>0.22500000000000001</v>
      </c>
      <c r="U25" s="2">
        <v>0</v>
      </c>
    </row>
    <row r="26" spans="1:21" x14ac:dyDescent="0.25">
      <c r="A26" t="s">
        <v>55</v>
      </c>
      <c r="B26" t="s">
        <v>56</v>
      </c>
      <c r="C26">
        <v>1</v>
      </c>
      <c r="D26">
        <v>1</v>
      </c>
      <c r="E26">
        <v>1</v>
      </c>
      <c r="F26">
        <v>32.684450849999998</v>
      </c>
      <c r="G26">
        <v>86.613794760000005</v>
      </c>
      <c r="H26">
        <v>13.6</v>
      </c>
      <c r="I26">
        <v>1.3599999999999999E-2</v>
      </c>
      <c r="J26">
        <v>1.36E-5</v>
      </c>
      <c r="K26">
        <v>2.9982832000000001E-2</v>
      </c>
      <c r="L26">
        <v>1.2999999999999999E-2</v>
      </c>
      <c r="M26">
        <v>3</v>
      </c>
      <c r="N26">
        <v>10.15153817</v>
      </c>
      <c r="O26">
        <v>12.715233006614501</v>
      </c>
      <c r="P26">
        <v>26.724914311425199</v>
      </c>
      <c r="Q26">
        <v>64.2271432622573</v>
      </c>
      <c r="R26">
        <v>170.20192964498199</v>
      </c>
      <c r="S26">
        <v>152</v>
      </c>
      <c r="T26">
        <v>9.6000000000000002E-2</v>
      </c>
      <c r="U26">
        <v>0.09</v>
      </c>
    </row>
    <row r="27" spans="1:21" x14ac:dyDescent="0.25">
      <c r="A27" t="s">
        <v>75</v>
      </c>
      <c r="B27" t="s">
        <v>76</v>
      </c>
      <c r="C27">
        <v>1</v>
      </c>
      <c r="D27">
        <v>2</v>
      </c>
      <c r="E27">
        <v>2</v>
      </c>
      <c r="F27">
        <v>127.5414564</v>
      </c>
      <c r="G27">
        <v>337.98485950000003</v>
      </c>
      <c r="H27">
        <v>53.070000010000001</v>
      </c>
      <c r="I27">
        <v>5.3069999999999999E-2</v>
      </c>
      <c r="J27">
        <v>5.3100000000000003E-5</v>
      </c>
      <c r="K27">
        <v>0.11699918300000001</v>
      </c>
      <c r="L27">
        <v>2.5000000000000001E-3</v>
      </c>
      <c r="M27">
        <v>3.1</v>
      </c>
      <c r="N27">
        <v>24.875803770000001</v>
      </c>
      <c r="O27">
        <v>23.5034970272329</v>
      </c>
      <c r="P27">
        <v>44.509294570370898</v>
      </c>
      <c r="Q27">
        <v>106.96778315397999</v>
      </c>
      <c r="R27">
        <v>283.46462535804602</v>
      </c>
      <c r="S27">
        <v>122</v>
      </c>
      <c r="T27">
        <v>0.107</v>
      </c>
      <c r="U27">
        <v>0</v>
      </c>
    </row>
    <row r="28" spans="1:21" x14ac:dyDescent="0.25">
      <c r="A28" t="s">
        <v>73</v>
      </c>
      <c r="B28" t="s">
        <v>74</v>
      </c>
      <c r="C28">
        <v>1</v>
      </c>
      <c r="D28">
        <v>2</v>
      </c>
      <c r="E28">
        <v>2</v>
      </c>
      <c r="F28">
        <v>127.5414564</v>
      </c>
      <c r="G28">
        <v>337.98485950000003</v>
      </c>
      <c r="H28">
        <v>53.070000010000001</v>
      </c>
      <c r="I28">
        <v>5.3069999999999999E-2</v>
      </c>
      <c r="J28">
        <v>5.3100000000000003E-5</v>
      </c>
      <c r="K28">
        <v>0.11699918300000001</v>
      </c>
      <c r="L28">
        <v>1.4E-2</v>
      </c>
      <c r="M28">
        <v>2.8</v>
      </c>
      <c r="N28">
        <v>18.972067509999999</v>
      </c>
      <c r="O28">
        <v>26.535605903070199</v>
      </c>
      <c r="P28">
        <v>135.784206817041</v>
      </c>
      <c r="Q28">
        <v>326.325899584333</v>
      </c>
      <c r="R28">
        <v>864.763633898482</v>
      </c>
      <c r="S28">
        <v>43</v>
      </c>
      <c r="T28">
        <v>0.48</v>
      </c>
      <c r="U28">
        <v>0</v>
      </c>
    </row>
    <row r="29" spans="1:21" x14ac:dyDescent="0.25">
      <c r="A29" s="2" t="s">
        <v>51</v>
      </c>
      <c r="B29" t="s">
        <v>52</v>
      </c>
      <c r="C29">
        <v>1</v>
      </c>
      <c r="D29">
        <v>1</v>
      </c>
      <c r="E29">
        <v>1</v>
      </c>
      <c r="F29">
        <v>476.02739730000002</v>
      </c>
      <c r="G29">
        <v>1261.4726029999999</v>
      </c>
      <c r="H29">
        <v>198.07500001653</v>
      </c>
      <c r="I29">
        <v>0.19807500001653</v>
      </c>
      <c r="J29">
        <v>1.9807500001652999E-4</v>
      </c>
      <c r="K29">
        <v>0.43668010653644301</v>
      </c>
      <c r="L29" s="3">
        <v>1.24E-2</v>
      </c>
      <c r="M29" s="3">
        <v>3.2</v>
      </c>
      <c r="N29">
        <v>20.585669387454399</v>
      </c>
      <c r="O29" s="2">
        <v>4.83731052056749</v>
      </c>
      <c r="P29" s="2">
        <v>1.9237754539629399</v>
      </c>
      <c r="Q29" s="2">
        <v>4.6233488439388202</v>
      </c>
      <c r="R29" s="2">
        <v>12.2518744364379</v>
      </c>
      <c r="S29">
        <v>20.9</v>
      </c>
      <c r="T29">
        <v>0.19500000000000001</v>
      </c>
      <c r="U29">
        <v>-0.35</v>
      </c>
    </row>
    <row r="30" spans="1:21" x14ac:dyDescent="0.25">
      <c r="A30" t="s">
        <v>85</v>
      </c>
      <c r="B30" t="s">
        <v>86</v>
      </c>
      <c r="C30">
        <v>1</v>
      </c>
      <c r="D30">
        <v>7</v>
      </c>
      <c r="E30">
        <v>7</v>
      </c>
      <c r="F30">
        <v>1355.00938</v>
      </c>
      <c r="G30">
        <v>3590.52486</v>
      </c>
      <c r="H30">
        <v>563.81940299999997</v>
      </c>
      <c r="I30">
        <v>0.563819403</v>
      </c>
      <c r="J30">
        <v>5.6381900000000002E-4</v>
      </c>
      <c r="K30">
        <v>1.243007532</v>
      </c>
      <c r="L30">
        <v>5.2399999999999999E-3</v>
      </c>
      <c r="M30">
        <v>3.141</v>
      </c>
      <c r="N30">
        <v>39.992326849999998</v>
      </c>
      <c r="O30" s="2">
        <v>190.349158270402</v>
      </c>
      <c r="P30" s="2">
        <v>75753.177550342094</v>
      </c>
      <c r="Q30" s="2">
        <v>182055.22122168299</v>
      </c>
      <c r="R30" s="2">
        <v>482446.33623745898</v>
      </c>
      <c r="S30">
        <v>309.24444444444401</v>
      </c>
      <c r="T30">
        <v>0.13655555555555601</v>
      </c>
      <c r="U30">
        <v>0</v>
      </c>
    </row>
    <row r="31" spans="1:21" x14ac:dyDescent="0.25">
      <c r="A31" t="s">
        <v>77</v>
      </c>
      <c r="B31" t="s">
        <v>78</v>
      </c>
      <c r="C31">
        <v>1</v>
      </c>
      <c r="D31">
        <v>3</v>
      </c>
      <c r="E31">
        <v>3</v>
      </c>
      <c r="F31">
        <v>9202.4770129999997</v>
      </c>
      <c r="G31">
        <v>24386.56408</v>
      </c>
      <c r="H31">
        <v>3829.1506850000001</v>
      </c>
      <c r="I31">
        <v>3.8291506850000001</v>
      </c>
      <c r="J31">
        <v>3.8291509999999998E-3</v>
      </c>
      <c r="K31">
        <v>8.4418221829999993</v>
      </c>
      <c r="L31">
        <v>3.5000000000000003E-2</v>
      </c>
      <c r="M31">
        <v>2.9</v>
      </c>
      <c r="N31">
        <v>54.650995010000003</v>
      </c>
      <c r="O31" s="2">
        <v>161.90511271394601</v>
      </c>
      <c r="P31" s="2">
        <v>89314.850985500598</v>
      </c>
      <c r="Q31" s="2">
        <v>214647.56305095099</v>
      </c>
      <c r="R31" s="2">
        <v>568816.04208501999</v>
      </c>
      <c r="S31">
        <v>208.40700000000001</v>
      </c>
      <c r="T31">
        <v>0.5</v>
      </c>
      <c r="U31">
        <v>0</v>
      </c>
    </row>
    <row r="32" spans="1:21" x14ac:dyDescent="0.25">
      <c r="A32" t="s">
        <v>79</v>
      </c>
      <c r="B32" t="s">
        <v>80</v>
      </c>
      <c r="C32">
        <v>1</v>
      </c>
      <c r="D32">
        <v>2</v>
      </c>
      <c r="E32">
        <v>2</v>
      </c>
      <c r="F32">
        <v>476.02739730000002</v>
      </c>
      <c r="G32">
        <v>1261.4726029999999</v>
      </c>
      <c r="H32">
        <v>198.07499999999999</v>
      </c>
      <c r="I32">
        <v>0.198075</v>
      </c>
      <c r="J32">
        <v>1.98075E-4</v>
      </c>
      <c r="K32">
        <v>0.43668010699999998</v>
      </c>
      <c r="L32">
        <v>3.3999999999999998E-3</v>
      </c>
      <c r="M32">
        <v>3.2850000000000001</v>
      </c>
      <c r="N32">
        <v>20.58566939</v>
      </c>
      <c r="O32">
        <v>17.264957666519699</v>
      </c>
      <c r="P32">
        <v>112.810972240502</v>
      </c>
      <c r="Q32">
        <v>271.11504984499402</v>
      </c>
      <c r="R32">
        <v>718.45488208923496</v>
      </c>
      <c r="S32">
        <v>59.9</v>
      </c>
      <c r="T32">
        <v>0.17</v>
      </c>
      <c r="U32">
        <v>0</v>
      </c>
    </row>
    <row r="33" spans="1:21" x14ac:dyDescent="0.25">
      <c r="A33" t="s">
        <v>81</v>
      </c>
      <c r="B33" t="s">
        <v>82</v>
      </c>
      <c r="C33">
        <v>1</v>
      </c>
      <c r="D33">
        <v>2</v>
      </c>
      <c r="E33">
        <v>2</v>
      </c>
      <c r="F33">
        <v>127.5414564</v>
      </c>
      <c r="G33">
        <v>337.98485950000003</v>
      </c>
      <c r="H33">
        <v>53.070000010000001</v>
      </c>
      <c r="I33">
        <v>5.3069999999999999E-2</v>
      </c>
      <c r="J33">
        <v>5.3100000000000003E-5</v>
      </c>
      <c r="K33">
        <v>0.11699918300000001</v>
      </c>
      <c r="L33">
        <v>1.4999999999999999E-2</v>
      </c>
      <c r="M33">
        <v>3</v>
      </c>
      <c r="N33">
        <v>15.23769499</v>
      </c>
      <c r="O33">
        <v>30.5523457871634</v>
      </c>
      <c r="P33">
        <v>427.78439799613602</v>
      </c>
      <c r="Q33">
        <v>1028.0807450039299</v>
      </c>
      <c r="R33">
        <v>2724.4139742604202</v>
      </c>
      <c r="S33">
        <v>106</v>
      </c>
      <c r="T33">
        <v>0.17</v>
      </c>
      <c r="U33">
        <v>0</v>
      </c>
    </row>
    <row r="34" spans="1:21" x14ac:dyDescent="0.25">
      <c r="A34" t="s">
        <v>83</v>
      </c>
      <c r="B34" t="s">
        <v>84</v>
      </c>
      <c r="C34">
        <v>1</v>
      </c>
      <c r="D34">
        <v>7</v>
      </c>
      <c r="E34">
        <v>7</v>
      </c>
      <c r="F34">
        <v>1355.00938</v>
      </c>
      <c r="G34">
        <v>3590.52486</v>
      </c>
      <c r="H34">
        <v>563.81940299999997</v>
      </c>
      <c r="I34">
        <v>0.563819403</v>
      </c>
      <c r="J34">
        <v>5.6381900000000002E-4</v>
      </c>
      <c r="K34">
        <v>1.243007532</v>
      </c>
      <c r="L34">
        <v>5.4000000000000003E-3</v>
      </c>
      <c r="M34">
        <v>3</v>
      </c>
      <c r="N34">
        <v>47.088561040000002</v>
      </c>
      <c r="O34">
        <v>155.68861302014199</v>
      </c>
      <c r="P34">
        <v>20378.1290795723</v>
      </c>
      <c r="Q34">
        <v>48974.114586811702</v>
      </c>
      <c r="R34">
        <v>129781.40365505101</v>
      </c>
      <c r="S34">
        <v>280</v>
      </c>
      <c r="T34">
        <v>0.11600000000000001</v>
      </c>
      <c r="U34">
        <v>0</v>
      </c>
    </row>
    <row r="35" spans="1:21" x14ac:dyDescent="0.25">
      <c r="A35" t="s">
        <v>91</v>
      </c>
      <c r="B35" t="s">
        <v>92</v>
      </c>
      <c r="C35">
        <v>1</v>
      </c>
      <c r="D35">
        <v>2</v>
      </c>
      <c r="E35">
        <v>2</v>
      </c>
      <c r="F35">
        <v>127.5414564</v>
      </c>
      <c r="G35">
        <v>337.98485950000003</v>
      </c>
      <c r="H35">
        <v>53.070000010000001</v>
      </c>
      <c r="I35">
        <v>5.3069999999999999E-2</v>
      </c>
      <c r="J35">
        <v>5.3100000000000003E-5</v>
      </c>
      <c r="K35">
        <v>0.11699918300000001</v>
      </c>
      <c r="L35">
        <v>1.2999999999999999E-2</v>
      </c>
      <c r="M35">
        <v>3</v>
      </c>
      <c r="N35">
        <v>15.982151569999999</v>
      </c>
      <c r="O35">
        <v>19.031543165416199</v>
      </c>
      <c r="P35">
        <v>89.611833907615306</v>
      </c>
      <c r="Q35">
        <v>215.36129273639801</v>
      </c>
      <c r="R35">
        <v>570.70742575145505</v>
      </c>
      <c r="S35">
        <v>60.2</v>
      </c>
      <c r="T35">
        <v>0.19</v>
      </c>
      <c r="U35">
        <v>0</v>
      </c>
    </row>
    <row r="36" spans="1:21" x14ac:dyDescent="0.25">
      <c r="A36" t="s">
        <v>87</v>
      </c>
      <c r="B36" t="s">
        <v>88</v>
      </c>
      <c r="C36">
        <v>1</v>
      </c>
      <c r="D36">
        <v>2</v>
      </c>
      <c r="E36">
        <v>2</v>
      </c>
      <c r="F36">
        <v>127.5414564</v>
      </c>
      <c r="G36">
        <v>337.98485950000003</v>
      </c>
      <c r="H36">
        <v>53.070000010000001</v>
      </c>
      <c r="I36">
        <v>5.3069999999999999E-2</v>
      </c>
      <c r="J36">
        <v>5.3100000000000003E-5</v>
      </c>
      <c r="K36">
        <v>0.11699918300000001</v>
      </c>
      <c r="L36">
        <v>6.0000000000000001E-3</v>
      </c>
      <c r="M36">
        <v>3.1</v>
      </c>
      <c r="N36">
        <v>18.755486529999999</v>
      </c>
      <c r="O36">
        <v>12.954731404434</v>
      </c>
      <c r="P36">
        <v>16.853081877749101</v>
      </c>
      <c r="Q36">
        <v>40.502479879233697</v>
      </c>
      <c r="R36">
        <v>107.331571679969</v>
      </c>
      <c r="S36">
        <v>31.4</v>
      </c>
      <c r="T36">
        <v>0.19</v>
      </c>
      <c r="U36">
        <v>-0.8</v>
      </c>
    </row>
    <row r="37" spans="1:21" x14ac:dyDescent="0.25">
      <c r="A37" t="s">
        <v>93</v>
      </c>
      <c r="B37" t="s">
        <v>94</v>
      </c>
      <c r="C37">
        <v>1</v>
      </c>
      <c r="D37">
        <v>9</v>
      </c>
      <c r="E37">
        <v>9</v>
      </c>
      <c r="F37">
        <v>1513105530</v>
      </c>
      <c r="G37">
        <v>4009729654</v>
      </c>
      <c r="H37">
        <v>629603211</v>
      </c>
      <c r="I37">
        <v>629603.21100000001</v>
      </c>
      <c r="J37">
        <v>629.60321099999999</v>
      </c>
      <c r="K37">
        <v>1388035.831</v>
      </c>
      <c r="L37" s="2">
        <v>1.7000000000000001E-2</v>
      </c>
      <c r="M37">
        <v>3</v>
      </c>
      <c r="N37">
        <v>1465.5893920000001</v>
      </c>
      <c r="O37" s="2">
        <v>1417.9064450384301</v>
      </c>
      <c r="P37" s="2">
        <v>48460919.603417397</v>
      </c>
      <c r="Q37" s="2">
        <v>116464598.90271001</v>
      </c>
      <c r="R37" s="2">
        <v>308631187.09218001</v>
      </c>
      <c r="S37">
        <v>1584.96</v>
      </c>
      <c r="T37" s="2">
        <v>0.25</v>
      </c>
      <c r="U37">
        <v>0</v>
      </c>
    </row>
    <row r="38" spans="1:21" x14ac:dyDescent="0.25">
      <c r="A38" t="s">
        <v>109</v>
      </c>
      <c r="B38" t="s">
        <v>110</v>
      </c>
      <c r="C38">
        <v>1</v>
      </c>
      <c r="D38">
        <v>5</v>
      </c>
      <c r="E38">
        <v>5</v>
      </c>
      <c r="F38">
        <v>819.66597860000002</v>
      </c>
      <c r="G38">
        <v>2172.1148429999998</v>
      </c>
      <c r="H38">
        <v>341.0630137</v>
      </c>
      <c r="I38">
        <v>0.341063014</v>
      </c>
      <c r="J38">
        <v>3.4106300000000001E-4</v>
      </c>
      <c r="K38">
        <v>0.75191434099999999</v>
      </c>
      <c r="L38">
        <v>4.3E-3</v>
      </c>
      <c r="M38">
        <v>3.1</v>
      </c>
      <c r="N38">
        <v>38.057538889999996</v>
      </c>
      <c r="O38">
        <v>76.611400666372106</v>
      </c>
      <c r="P38">
        <v>2983.8569822381401</v>
      </c>
      <c r="Q38">
        <v>7171.0093300604103</v>
      </c>
      <c r="R38">
        <v>19003.174724660101</v>
      </c>
      <c r="S38">
        <v>186</v>
      </c>
      <c r="T38">
        <v>4.5999999999999999E-2</v>
      </c>
      <c r="U38">
        <v>-6.54</v>
      </c>
    </row>
    <row r="39" spans="1:21" x14ac:dyDescent="0.25">
      <c r="A39" t="s">
        <v>99</v>
      </c>
      <c r="B39" t="s">
        <v>100</v>
      </c>
      <c r="C39">
        <v>1</v>
      </c>
      <c r="D39">
        <v>2</v>
      </c>
      <c r="E39">
        <v>2</v>
      </c>
      <c r="F39">
        <v>127.5414564</v>
      </c>
      <c r="G39">
        <v>337.98485950000003</v>
      </c>
      <c r="H39">
        <v>53.070000010000001</v>
      </c>
      <c r="I39">
        <v>5.3069999999999999E-2</v>
      </c>
      <c r="J39">
        <v>5.3100000000000003E-5</v>
      </c>
      <c r="K39">
        <v>0.11699918300000001</v>
      </c>
      <c r="L39">
        <v>1.4999999999999999E-2</v>
      </c>
      <c r="M39">
        <v>3.1</v>
      </c>
      <c r="N39">
        <v>13.955988079999999</v>
      </c>
      <c r="O39">
        <v>12.2209383148654</v>
      </c>
      <c r="P39">
        <v>35.165384491845202</v>
      </c>
      <c r="Q39">
        <v>84.511858908544198</v>
      </c>
      <c r="R39">
        <v>223.95642610764199</v>
      </c>
      <c r="S39">
        <v>42.4</v>
      </c>
      <c r="T39">
        <v>0.17</v>
      </c>
      <c r="U39">
        <v>0</v>
      </c>
    </row>
    <row r="40" spans="1:21" x14ac:dyDescent="0.25">
      <c r="A40" t="s">
        <v>97</v>
      </c>
      <c r="B40" t="s">
        <v>98</v>
      </c>
      <c r="C40">
        <v>1</v>
      </c>
      <c r="D40">
        <v>2</v>
      </c>
      <c r="E40">
        <v>2</v>
      </c>
      <c r="F40">
        <v>11007.69375</v>
      </c>
      <c r="G40">
        <v>29170.388439999999</v>
      </c>
      <c r="H40">
        <v>4580.3013689999998</v>
      </c>
      <c r="I40">
        <v>4.5803013689999998</v>
      </c>
      <c r="J40">
        <v>4.5803010000000002E-3</v>
      </c>
      <c r="K40">
        <v>10.097823999999999</v>
      </c>
      <c r="L40" s="2">
        <v>6.5000000000000002E-2</v>
      </c>
      <c r="M40">
        <v>3</v>
      </c>
      <c r="N40">
        <v>61.181673609999997</v>
      </c>
      <c r="O40">
        <v>18.334128220497099</v>
      </c>
      <c r="P40">
        <v>400.58450789581099</v>
      </c>
      <c r="Q40">
        <v>962.71210741603102</v>
      </c>
      <c r="R40">
        <v>2551.1870846524798</v>
      </c>
      <c r="S40">
        <v>23.6</v>
      </c>
      <c r="T40">
        <v>0.75</v>
      </c>
      <c r="U40">
        <v>0</v>
      </c>
    </row>
    <row r="41" spans="1:21" x14ac:dyDescent="0.25">
      <c r="A41" s="2" t="s">
        <v>47</v>
      </c>
      <c r="B41" t="s">
        <v>48</v>
      </c>
      <c r="C41">
        <v>1</v>
      </c>
      <c r="D41">
        <v>1</v>
      </c>
      <c r="E41">
        <v>1</v>
      </c>
      <c r="F41">
        <v>48.065368900000003</v>
      </c>
      <c r="G41">
        <v>127.37322760000001</v>
      </c>
      <c r="H41">
        <v>19.999999999290001</v>
      </c>
      <c r="I41">
        <v>1.9999999999289999E-2</v>
      </c>
      <c r="J41">
        <v>1.9999999999290002E-5</v>
      </c>
      <c r="K41">
        <v>4.40923999984347E-2</v>
      </c>
      <c r="L41" s="3">
        <v>1.23E-2</v>
      </c>
      <c r="M41" s="3">
        <v>3.2</v>
      </c>
      <c r="N41">
        <v>10.080371233277299</v>
      </c>
      <c r="O41" s="2">
        <v>17.377043611361099</v>
      </c>
      <c r="P41" s="2">
        <v>114.242569590294</v>
      </c>
      <c r="Q41" s="2">
        <v>274.55556258181798</v>
      </c>
      <c r="R41" s="2">
        <v>727.57224084181701</v>
      </c>
      <c r="S41" s="2">
        <v>39.200000000000003</v>
      </c>
      <c r="T41" s="2">
        <v>0.58571428571428596</v>
      </c>
      <c r="U41" s="2">
        <v>0</v>
      </c>
    </row>
    <row r="42" spans="1:21" x14ac:dyDescent="0.25">
      <c r="A42" t="s">
        <v>103</v>
      </c>
      <c r="B42" t="s">
        <v>104</v>
      </c>
      <c r="C42">
        <v>1</v>
      </c>
      <c r="D42">
        <v>1</v>
      </c>
      <c r="E42">
        <v>1</v>
      </c>
      <c r="F42">
        <v>10.71857726</v>
      </c>
      <c r="G42">
        <v>28.404229749999999</v>
      </c>
      <c r="H42">
        <v>4.4599999979999998</v>
      </c>
      <c r="I42">
        <v>4.4600000000000004E-3</v>
      </c>
      <c r="J42">
        <v>4.4599999999999996E-6</v>
      </c>
      <c r="K42">
        <v>9.8326049999999995E-3</v>
      </c>
      <c r="L42">
        <v>1.2999999999999999E-2</v>
      </c>
      <c r="M42">
        <v>2.8</v>
      </c>
      <c r="N42">
        <v>8.0444612959999997</v>
      </c>
      <c r="O42">
        <v>10.773328173702801</v>
      </c>
      <c r="P42">
        <v>10.1046911210207</v>
      </c>
      <c r="Q42">
        <v>24.284285318482699</v>
      </c>
      <c r="R42">
        <v>64.353356093979201</v>
      </c>
      <c r="S42">
        <v>65.400000000000006</v>
      </c>
      <c r="T42">
        <v>0.18</v>
      </c>
      <c r="U42">
        <v>0</v>
      </c>
    </row>
    <row r="43" spans="1:21" x14ac:dyDescent="0.25">
      <c r="A43" s="2" t="s">
        <v>105</v>
      </c>
      <c r="B43" t="s">
        <v>106</v>
      </c>
      <c r="C43">
        <v>1</v>
      </c>
      <c r="D43">
        <v>3</v>
      </c>
      <c r="E43">
        <v>3</v>
      </c>
      <c r="F43">
        <v>350</v>
      </c>
      <c r="G43">
        <v>927.5</v>
      </c>
      <c r="H43">
        <v>145.63499999999999</v>
      </c>
      <c r="I43">
        <v>0.14563499999999999</v>
      </c>
      <c r="J43">
        <v>1.45635E-4</v>
      </c>
      <c r="K43">
        <v>0.32097954000000001</v>
      </c>
      <c r="L43" s="3">
        <v>1.2699999999999999E-2</v>
      </c>
      <c r="M43" s="3">
        <v>3.1</v>
      </c>
      <c r="N43">
        <v>20.394068965963701</v>
      </c>
      <c r="O43" s="2">
        <v>50.4054382989085</v>
      </c>
      <c r="P43" s="2">
        <v>2407.0418820143</v>
      </c>
      <c r="Q43" s="2">
        <v>5784.7678010437403</v>
      </c>
      <c r="R43" s="2">
        <v>15329.6346727659</v>
      </c>
      <c r="S43">
        <v>109.97499999999999</v>
      </c>
      <c r="T43">
        <v>0.14749999999999999</v>
      </c>
      <c r="U43">
        <v>-1.1566666666666701</v>
      </c>
    </row>
    <row r="44" spans="1:21" x14ac:dyDescent="0.25">
      <c r="A44" t="s">
        <v>115</v>
      </c>
      <c r="B44" t="s">
        <v>116</v>
      </c>
      <c r="C44">
        <v>1</v>
      </c>
      <c r="D44">
        <v>7</v>
      </c>
      <c r="E44">
        <v>7</v>
      </c>
      <c r="F44">
        <v>8511146.557</v>
      </c>
      <c r="G44">
        <v>22554538.370000001</v>
      </c>
      <c r="H44">
        <v>3541488.0819999999</v>
      </c>
      <c r="I44">
        <v>3541.4880819999998</v>
      </c>
      <c r="J44">
        <v>3.5414880819999999</v>
      </c>
      <c r="K44">
        <v>7807.635456</v>
      </c>
      <c r="L44" s="2">
        <v>1.4999999999999999E-2</v>
      </c>
      <c r="M44">
        <v>3</v>
      </c>
      <c r="N44">
        <v>707.50350370000001</v>
      </c>
      <c r="O44" s="2">
        <v>224.55171764903801</v>
      </c>
      <c r="P44" s="2">
        <v>169840.165108227</v>
      </c>
      <c r="Q44" s="2">
        <v>408171.50951268303</v>
      </c>
      <c r="R44" s="2">
        <v>1081654.50020861</v>
      </c>
      <c r="S44">
        <v>271.77999999999997</v>
      </c>
      <c r="T44">
        <v>0.25</v>
      </c>
      <c r="U44">
        <v>0</v>
      </c>
    </row>
    <row r="45" spans="1:21" x14ac:dyDescent="0.25">
      <c r="A45" t="s">
        <v>107</v>
      </c>
      <c r="B45" t="s">
        <v>108</v>
      </c>
      <c r="C45">
        <v>1</v>
      </c>
      <c r="D45">
        <v>5</v>
      </c>
      <c r="E45">
        <v>5</v>
      </c>
      <c r="F45">
        <v>819.66597860000002</v>
      </c>
      <c r="G45">
        <v>2172.1148429999998</v>
      </c>
      <c r="H45">
        <v>341.0630137</v>
      </c>
      <c r="I45">
        <v>0.341063014</v>
      </c>
      <c r="J45">
        <v>3.4106300000000001E-4</v>
      </c>
      <c r="K45">
        <v>0.75191434099999999</v>
      </c>
      <c r="L45">
        <v>3.5999999999999999E-3</v>
      </c>
      <c r="M45">
        <v>3</v>
      </c>
      <c r="N45">
        <v>45.587317900000002</v>
      </c>
      <c r="O45">
        <v>52.071727826074699</v>
      </c>
      <c r="P45">
        <v>508.286372744125</v>
      </c>
      <c r="Q45">
        <v>1221.5486006828301</v>
      </c>
      <c r="R45">
        <v>3237.1037918094898</v>
      </c>
      <c r="S45">
        <v>150</v>
      </c>
      <c r="T45">
        <v>4.1000000000000002E-2</v>
      </c>
      <c r="U45">
        <v>-5.4</v>
      </c>
    </row>
    <row r="46" spans="1:21" x14ac:dyDescent="0.25">
      <c r="A46" t="s">
        <v>41</v>
      </c>
      <c r="B46" t="s">
        <v>42</v>
      </c>
      <c r="C46">
        <v>1</v>
      </c>
      <c r="D46">
        <v>4</v>
      </c>
      <c r="E46">
        <v>4</v>
      </c>
      <c r="F46">
        <v>343.77932070000003</v>
      </c>
      <c r="G46">
        <v>911.0151998</v>
      </c>
      <c r="H46">
        <v>143.0465753</v>
      </c>
      <c r="I46">
        <v>0.14304657500000001</v>
      </c>
      <c r="J46">
        <v>1.4304699999999999E-4</v>
      </c>
      <c r="K46">
        <v>0.31536334100000002</v>
      </c>
      <c r="L46">
        <v>1.34E-2</v>
      </c>
      <c r="M46">
        <v>3.1</v>
      </c>
      <c r="N46">
        <v>19.928520320000001</v>
      </c>
      <c r="O46">
        <v>36.422627340305503</v>
      </c>
      <c r="P46">
        <v>927.58931316686903</v>
      </c>
      <c r="Q46">
        <v>2229.2461263322998</v>
      </c>
      <c r="R46">
        <v>5907.5022347805898</v>
      </c>
      <c r="S46">
        <v>91.5</v>
      </c>
      <c r="T46">
        <v>0.12690000000000001</v>
      </c>
      <c r="U46">
        <v>0</v>
      </c>
    </row>
    <row r="47" spans="1:21" x14ac:dyDescent="0.25">
      <c r="A47" t="s">
        <v>111</v>
      </c>
      <c r="B47" t="s">
        <v>112</v>
      </c>
      <c r="C47">
        <v>1</v>
      </c>
      <c r="D47">
        <v>2</v>
      </c>
      <c r="E47">
        <v>2</v>
      </c>
      <c r="F47">
        <v>127.5414564</v>
      </c>
      <c r="G47">
        <v>337.98485950000003</v>
      </c>
      <c r="H47">
        <v>53.070000010000001</v>
      </c>
      <c r="I47">
        <v>5.3069999999999999E-2</v>
      </c>
      <c r="J47">
        <v>5.3100000000000003E-5</v>
      </c>
      <c r="K47">
        <v>0.11699918300000001</v>
      </c>
      <c r="L47">
        <v>1.2200000000000001E-2</v>
      </c>
      <c r="M47">
        <v>2.9</v>
      </c>
      <c r="N47">
        <v>17.974278559999998</v>
      </c>
      <c r="O47">
        <v>53.621521096701699</v>
      </c>
      <c r="P47">
        <v>1263.11620365417</v>
      </c>
      <c r="Q47">
        <v>3035.60731471804</v>
      </c>
      <c r="R47">
        <v>8044.3593840027897</v>
      </c>
      <c r="S47">
        <v>98.7</v>
      </c>
      <c r="T47">
        <v>0.158</v>
      </c>
      <c r="U47">
        <v>-2.96</v>
      </c>
    </row>
    <row r="48" spans="1:21" x14ac:dyDescent="0.25">
      <c r="A48" t="s">
        <v>113</v>
      </c>
      <c r="B48" t="s">
        <v>114</v>
      </c>
      <c r="C48">
        <v>1</v>
      </c>
      <c r="D48">
        <v>2</v>
      </c>
      <c r="E48">
        <v>2</v>
      </c>
      <c r="F48">
        <v>476.02739730000002</v>
      </c>
      <c r="G48">
        <v>1261.4726029999999</v>
      </c>
      <c r="H48">
        <v>198.07499999999999</v>
      </c>
      <c r="I48">
        <v>0.198075</v>
      </c>
      <c r="J48">
        <v>1.98075E-4</v>
      </c>
      <c r="K48">
        <v>0.43668010699999998</v>
      </c>
      <c r="L48">
        <v>1.2E-2</v>
      </c>
      <c r="M48">
        <v>3.05</v>
      </c>
      <c r="N48">
        <v>24.145463530000001</v>
      </c>
      <c r="O48">
        <v>30.021268763267098</v>
      </c>
      <c r="P48">
        <v>384.892834273294</v>
      </c>
      <c r="Q48">
        <v>925.00080334845995</v>
      </c>
      <c r="R48">
        <v>2451.2521288734201</v>
      </c>
      <c r="S48">
        <v>85.9</v>
      </c>
      <c r="T48">
        <v>0.215</v>
      </c>
      <c r="U48">
        <v>0</v>
      </c>
    </row>
    <row r="49" spans="1:21" x14ac:dyDescent="0.25">
      <c r="A49" t="s">
        <v>117</v>
      </c>
      <c r="B49" t="s">
        <v>118</v>
      </c>
      <c r="C49">
        <v>1</v>
      </c>
      <c r="D49">
        <v>2</v>
      </c>
      <c r="E49">
        <v>2</v>
      </c>
      <c r="F49">
        <v>127.5414564</v>
      </c>
      <c r="G49">
        <v>337.98485950000003</v>
      </c>
      <c r="H49">
        <v>53.070000010000001</v>
      </c>
      <c r="I49">
        <v>5.3069999999999999E-2</v>
      </c>
      <c r="J49">
        <v>5.3100000000000003E-5</v>
      </c>
      <c r="K49">
        <v>0.11699918300000001</v>
      </c>
      <c r="L49">
        <v>1.4999999999999999E-2</v>
      </c>
      <c r="M49">
        <v>3</v>
      </c>
      <c r="N49">
        <v>15.23769499</v>
      </c>
      <c r="O49">
        <v>13.2689088746917</v>
      </c>
      <c r="P49">
        <v>35.042646182029301</v>
      </c>
      <c r="Q49">
        <v>84.216885801560394</v>
      </c>
      <c r="R49">
        <v>223.17474737413499</v>
      </c>
      <c r="S49">
        <v>73.2</v>
      </c>
      <c r="T49">
        <v>0.1</v>
      </c>
      <c r="U49">
        <v>0</v>
      </c>
    </row>
    <row r="50" spans="1:21" x14ac:dyDescent="0.25">
      <c r="A50" t="s">
        <v>123</v>
      </c>
      <c r="B50" t="s">
        <v>124</v>
      </c>
      <c r="C50">
        <v>1</v>
      </c>
      <c r="D50">
        <v>2</v>
      </c>
      <c r="E50">
        <v>2</v>
      </c>
      <c r="F50">
        <v>127.5414564</v>
      </c>
      <c r="G50">
        <v>337.98485950000003</v>
      </c>
      <c r="H50">
        <v>53.070000010000001</v>
      </c>
      <c r="I50">
        <v>5.3069999999999999E-2</v>
      </c>
      <c r="J50">
        <v>5.3100000000000003E-5</v>
      </c>
      <c r="K50">
        <v>0.11699918300000001</v>
      </c>
      <c r="L50">
        <v>9.4999999999999998E-3</v>
      </c>
      <c r="M50">
        <v>3.1</v>
      </c>
      <c r="N50">
        <v>16.171494429999999</v>
      </c>
      <c r="O50">
        <v>22.930154254913301</v>
      </c>
      <c r="P50">
        <v>156.66977937661699</v>
      </c>
      <c r="Q50">
        <v>376.51953707430101</v>
      </c>
      <c r="R50">
        <v>997.77677324689898</v>
      </c>
      <c r="S50">
        <v>111</v>
      </c>
      <c r="T50">
        <v>0.13</v>
      </c>
      <c r="U50">
        <v>0.22</v>
      </c>
    </row>
    <row r="51" spans="1:21" x14ac:dyDescent="0.25">
      <c r="A51" t="s">
        <v>121</v>
      </c>
      <c r="B51" t="s">
        <v>122</v>
      </c>
      <c r="C51">
        <v>1</v>
      </c>
      <c r="D51">
        <v>7</v>
      </c>
      <c r="E51">
        <v>7</v>
      </c>
      <c r="F51">
        <v>8511146.557</v>
      </c>
      <c r="G51">
        <v>22554538.370000001</v>
      </c>
      <c r="H51">
        <v>3541488.0819999999</v>
      </c>
      <c r="I51">
        <v>3541.4880819999998</v>
      </c>
      <c r="J51">
        <v>3.5414880819999999</v>
      </c>
      <c r="K51">
        <v>7807.635456</v>
      </c>
      <c r="L51" s="2">
        <v>1E-3</v>
      </c>
      <c r="M51">
        <v>3</v>
      </c>
      <c r="N51">
        <v>707.50350370000001</v>
      </c>
      <c r="O51" s="2">
        <v>2161.2090696800601</v>
      </c>
      <c r="P51" s="2">
        <v>10094628.5810501</v>
      </c>
      <c r="Q51" s="2">
        <v>24260102.3336941</v>
      </c>
      <c r="R51" s="2">
        <v>64289271.184289299</v>
      </c>
      <c r="S51">
        <v>2615.7600000000002</v>
      </c>
      <c r="T51">
        <v>0.25</v>
      </c>
      <c r="U51">
        <v>0</v>
      </c>
    </row>
    <row r="52" spans="1:21" x14ac:dyDescent="0.25">
      <c r="A52" t="s">
        <v>119</v>
      </c>
      <c r="B52" t="s">
        <v>120</v>
      </c>
      <c r="C52">
        <v>1</v>
      </c>
      <c r="D52">
        <v>3</v>
      </c>
      <c r="E52">
        <v>3</v>
      </c>
      <c r="F52">
        <v>829.48845900000003</v>
      </c>
      <c r="G52">
        <v>2197.74442</v>
      </c>
      <c r="H52">
        <v>345.15014780000001</v>
      </c>
      <c r="I52">
        <v>0.34515014799999999</v>
      </c>
      <c r="J52">
        <v>3.4515000000000001E-4</v>
      </c>
      <c r="K52">
        <v>0.76092491900000003</v>
      </c>
      <c r="L52">
        <v>2.1399999999999999E-2</v>
      </c>
      <c r="M52">
        <v>2.96</v>
      </c>
      <c r="N52">
        <v>26.392744749999999</v>
      </c>
      <c r="O52" s="2">
        <v>79.381198515365895</v>
      </c>
      <c r="P52" s="2">
        <v>8986.2401870910307</v>
      </c>
      <c r="Q52" s="2">
        <v>21596.347481593399</v>
      </c>
      <c r="R52" s="2">
        <v>57230.320826222604</v>
      </c>
      <c r="S52">
        <v>133.76666666666699</v>
      </c>
      <c r="T52">
        <v>0.3</v>
      </c>
      <c r="U52">
        <v>0</v>
      </c>
    </row>
    <row r="53" spans="1:21" x14ac:dyDescent="0.25">
      <c r="A53" t="s">
        <v>89</v>
      </c>
      <c r="B53" t="s">
        <v>90</v>
      </c>
      <c r="C53">
        <v>1</v>
      </c>
      <c r="D53">
        <v>8</v>
      </c>
      <c r="E53">
        <v>8</v>
      </c>
      <c r="F53">
        <v>1466</v>
      </c>
      <c r="G53">
        <v>5263</v>
      </c>
      <c r="H53">
        <v>610.00260000000003</v>
      </c>
      <c r="I53">
        <v>0.61000259999999995</v>
      </c>
      <c r="J53">
        <v>6.1000300000000002E-4</v>
      </c>
      <c r="K53">
        <v>1.3448239319999999</v>
      </c>
      <c r="L53" s="2">
        <v>0.05</v>
      </c>
      <c r="M53" s="2">
        <v>3.2</v>
      </c>
      <c r="N53">
        <v>53.322391670000002</v>
      </c>
      <c r="O53">
        <v>89.301231321361897</v>
      </c>
      <c r="P53">
        <v>1424.3028297716801</v>
      </c>
      <c r="Q53">
        <v>3422.982047036</v>
      </c>
      <c r="R53">
        <v>9070.9024246453992</v>
      </c>
      <c r="S53">
        <v>114.3</v>
      </c>
      <c r="T53">
        <v>0.19</v>
      </c>
      <c r="U53">
        <v>0</v>
      </c>
    </row>
    <row r="54" spans="1:21" x14ac:dyDescent="0.25">
      <c r="A54" t="s">
        <v>125</v>
      </c>
      <c r="B54" t="s">
        <v>126</v>
      </c>
      <c r="C54">
        <v>1</v>
      </c>
      <c r="D54">
        <v>1</v>
      </c>
      <c r="E54">
        <v>1</v>
      </c>
      <c r="F54">
        <v>43.979812539999998</v>
      </c>
      <c r="G54">
        <v>116.5465032</v>
      </c>
      <c r="H54">
        <v>18.3</v>
      </c>
      <c r="I54">
        <v>1.83E-2</v>
      </c>
      <c r="J54">
        <v>1.8300000000000001E-5</v>
      </c>
      <c r="K54">
        <v>4.0344546000000002E-2</v>
      </c>
      <c r="L54">
        <v>1.4999999999999999E-2</v>
      </c>
      <c r="M54">
        <v>2.9</v>
      </c>
      <c r="N54">
        <v>11.594766590000001</v>
      </c>
      <c r="O54">
        <v>12.9421111471095</v>
      </c>
      <c r="P54">
        <v>25.171327616078901</v>
      </c>
      <c r="Q54">
        <v>60.493457380627</v>
      </c>
      <c r="R54">
        <v>160.307662058662</v>
      </c>
      <c r="S54">
        <v>136</v>
      </c>
      <c r="T54">
        <v>0.1</v>
      </c>
      <c r="U54">
        <v>0</v>
      </c>
    </row>
    <row r="55" spans="1:21" x14ac:dyDescent="0.25">
      <c r="A55" t="s">
        <v>131</v>
      </c>
      <c r="B55" t="s">
        <v>132</v>
      </c>
      <c r="C55">
        <v>1</v>
      </c>
      <c r="D55">
        <v>2</v>
      </c>
      <c r="E55">
        <v>2</v>
      </c>
      <c r="F55">
        <v>476.02739730000002</v>
      </c>
      <c r="G55">
        <v>1261.4726029999999</v>
      </c>
      <c r="H55">
        <v>198.07499999999999</v>
      </c>
      <c r="I55">
        <v>0.198075</v>
      </c>
      <c r="J55">
        <v>1.98075E-4</v>
      </c>
      <c r="K55">
        <v>0.43668010699999998</v>
      </c>
      <c r="L55">
        <v>1.4E-2</v>
      </c>
      <c r="M55">
        <v>2.9</v>
      </c>
      <c r="N55">
        <v>26.99457061</v>
      </c>
      <c r="O55">
        <v>15.066373896171299</v>
      </c>
      <c r="P55">
        <v>36.505086715089099</v>
      </c>
      <c r="Q55">
        <v>87.731522987476794</v>
      </c>
      <c r="R55">
        <v>232.48853591681299</v>
      </c>
      <c r="S55">
        <v>45.7</v>
      </c>
      <c r="T55">
        <v>0.2</v>
      </c>
      <c r="U55">
        <v>0</v>
      </c>
    </row>
    <row r="56" spans="1:21" x14ac:dyDescent="0.25">
      <c r="A56" t="s">
        <v>133</v>
      </c>
      <c r="B56" t="s">
        <v>134</v>
      </c>
      <c r="C56">
        <v>1</v>
      </c>
      <c r="D56">
        <v>3</v>
      </c>
      <c r="E56">
        <v>3</v>
      </c>
      <c r="F56">
        <v>350</v>
      </c>
      <c r="G56">
        <v>927.5</v>
      </c>
      <c r="H56">
        <v>145.63499999999999</v>
      </c>
      <c r="I56">
        <v>0.14563499999999999</v>
      </c>
      <c r="J56">
        <v>1.45635E-4</v>
      </c>
      <c r="K56">
        <v>0.321069834</v>
      </c>
      <c r="L56">
        <v>1.2699999999999999E-2</v>
      </c>
      <c r="M56">
        <v>3.1</v>
      </c>
      <c r="N56">
        <v>20.394068969999999</v>
      </c>
      <c r="O56">
        <v>29.546722842284201</v>
      </c>
      <c r="P56">
        <v>459.60273867480799</v>
      </c>
      <c r="Q56">
        <v>1104.54875913196</v>
      </c>
      <c r="R56">
        <v>2927.0542116996899</v>
      </c>
      <c r="S56">
        <v>114</v>
      </c>
      <c r="T56">
        <v>0.1</v>
      </c>
      <c r="U56">
        <v>0</v>
      </c>
    </row>
    <row r="57" spans="1:21" x14ac:dyDescent="0.25">
      <c r="A57" t="s">
        <v>127</v>
      </c>
      <c r="B57" t="s">
        <v>128</v>
      </c>
      <c r="C57">
        <v>1</v>
      </c>
      <c r="D57">
        <v>2</v>
      </c>
      <c r="E57">
        <v>2</v>
      </c>
      <c r="F57">
        <v>476.02739730000002</v>
      </c>
      <c r="G57">
        <v>1261.4726029999999</v>
      </c>
      <c r="H57">
        <v>198.07499999999999</v>
      </c>
      <c r="I57">
        <v>0.198075</v>
      </c>
      <c r="J57">
        <v>1.98075E-4</v>
      </c>
      <c r="K57">
        <v>0.43668010699999998</v>
      </c>
      <c r="L57">
        <v>1.4E-2</v>
      </c>
      <c r="M57">
        <v>3</v>
      </c>
      <c r="N57">
        <v>24.186176039999999</v>
      </c>
      <c r="O57">
        <v>29.254489500772099</v>
      </c>
      <c r="P57">
        <v>350.51419254962502</v>
      </c>
      <c r="Q57">
        <v>842.37969850907302</v>
      </c>
      <c r="R57">
        <v>2232.3062010490398</v>
      </c>
      <c r="S57">
        <v>62.2</v>
      </c>
      <c r="T57">
        <v>0.31</v>
      </c>
      <c r="U57">
        <v>-0.05</v>
      </c>
    </row>
    <row r="58" spans="1:21" x14ac:dyDescent="0.25">
      <c r="A58" t="s">
        <v>135</v>
      </c>
      <c r="B58" t="s">
        <v>136</v>
      </c>
      <c r="C58">
        <v>1</v>
      </c>
      <c r="D58">
        <v>2</v>
      </c>
      <c r="E58">
        <v>2</v>
      </c>
      <c r="F58">
        <v>476.02739730000002</v>
      </c>
      <c r="G58">
        <v>1261.4726029999999</v>
      </c>
      <c r="H58">
        <v>198.07499999999999</v>
      </c>
      <c r="I58">
        <v>0.198075</v>
      </c>
      <c r="J58">
        <v>1.98075E-4</v>
      </c>
      <c r="K58">
        <v>0.43668010699999998</v>
      </c>
      <c r="L58">
        <v>1.2E-2</v>
      </c>
      <c r="M58">
        <v>3</v>
      </c>
      <c r="N58">
        <v>25.46143086</v>
      </c>
      <c r="O58">
        <v>10.867623885161199</v>
      </c>
      <c r="P58">
        <v>15.402281088118899</v>
      </c>
      <c r="Q58">
        <v>37.015816121410502</v>
      </c>
      <c r="R58">
        <v>98.091912721737899</v>
      </c>
      <c r="S58">
        <v>60.5</v>
      </c>
      <c r="T58">
        <v>9.9000000000000005E-2</v>
      </c>
      <c r="U58">
        <v>0</v>
      </c>
    </row>
    <row r="59" spans="1:21" x14ac:dyDescent="0.25">
      <c r="A59" t="s">
        <v>129</v>
      </c>
      <c r="B59" t="s">
        <v>130</v>
      </c>
      <c r="C59">
        <v>1</v>
      </c>
      <c r="D59">
        <v>2</v>
      </c>
      <c r="E59">
        <v>2</v>
      </c>
      <c r="F59">
        <v>127.5414564</v>
      </c>
      <c r="G59">
        <v>337.98485950000003</v>
      </c>
      <c r="H59">
        <v>53.070000010000001</v>
      </c>
      <c r="I59">
        <v>5.3069999999999999E-2</v>
      </c>
      <c r="J59">
        <v>5.3100000000000003E-5</v>
      </c>
      <c r="K59">
        <v>0.11699918300000001</v>
      </c>
      <c r="L59">
        <v>1.2500000000000001E-2</v>
      </c>
      <c r="M59">
        <v>2.88</v>
      </c>
      <c r="N59">
        <v>18.184487579999999</v>
      </c>
      <c r="O59">
        <v>13.0201114672162</v>
      </c>
      <c r="P59">
        <v>20.276843800881</v>
      </c>
      <c r="Q59">
        <v>48.730698872581101</v>
      </c>
      <c r="R59">
        <v>129.13635201234001</v>
      </c>
      <c r="S59">
        <v>158</v>
      </c>
      <c r="T59">
        <v>4.2999999999999997E-2</v>
      </c>
      <c r="U59">
        <v>0</v>
      </c>
    </row>
    <row r="60" spans="1:21" x14ac:dyDescent="0.25">
      <c r="A60" t="s">
        <v>137</v>
      </c>
      <c r="B60" t="s">
        <v>138</v>
      </c>
      <c r="C60">
        <v>1</v>
      </c>
      <c r="D60">
        <v>1</v>
      </c>
      <c r="E60">
        <v>1</v>
      </c>
      <c r="F60">
        <v>37.010334049999997</v>
      </c>
      <c r="G60">
        <v>98.077385239999998</v>
      </c>
      <c r="H60">
        <v>15.4</v>
      </c>
      <c r="I60">
        <v>1.54E-2</v>
      </c>
      <c r="J60">
        <v>1.5400000000000002E-5</v>
      </c>
      <c r="K60">
        <v>3.3951148E-2</v>
      </c>
      <c r="L60">
        <v>1.2500000000000001E-2</v>
      </c>
      <c r="M60">
        <v>2.82</v>
      </c>
      <c r="N60">
        <v>12.472722040000001</v>
      </c>
      <c r="O60">
        <v>14.233095682371999</v>
      </c>
      <c r="P60">
        <v>22.346742947147799</v>
      </c>
      <c r="Q60">
        <v>53.705222175313203</v>
      </c>
      <c r="R60">
        <v>142.31883876457999</v>
      </c>
      <c r="S60">
        <v>50</v>
      </c>
      <c r="T60">
        <v>0.33500000000000002</v>
      </c>
      <c r="U60">
        <v>0</v>
      </c>
    </row>
    <row r="61" spans="1:21" x14ac:dyDescent="0.25">
      <c r="A61" t="s">
        <v>21</v>
      </c>
      <c r="B61" t="s">
        <v>22</v>
      </c>
      <c r="C61">
        <v>2</v>
      </c>
      <c r="D61">
        <v>1</v>
      </c>
      <c r="E61">
        <v>2</v>
      </c>
      <c r="F61">
        <v>86.10910835</v>
      </c>
      <c r="G61">
        <v>228.18913710000001</v>
      </c>
      <c r="H61">
        <v>35.829999979999997</v>
      </c>
      <c r="I61">
        <v>3.5830000000000001E-2</v>
      </c>
      <c r="J61">
        <v>3.5800000000000003E-5</v>
      </c>
      <c r="K61">
        <v>7.8991535000000002E-2</v>
      </c>
      <c r="L61">
        <v>1.6E-2</v>
      </c>
      <c r="M61">
        <v>3</v>
      </c>
      <c r="N61">
        <v>13.083048209999999</v>
      </c>
      <c r="O61">
        <v>6.9567101230611001</v>
      </c>
      <c r="P61">
        <v>5.3868105799443802</v>
      </c>
      <c r="Q61">
        <v>12.9459518864321</v>
      </c>
      <c r="R61">
        <v>34.306772499045003</v>
      </c>
      <c r="S61">
        <v>13.8</v>
      </c>
      <c r="T61">
        <v>0.21</v>
      </c>
      <c r="U61">
        <v>-1.34</v>
      </c>
    </row>
    <row r="62" spans="1:21" x14ac:dyDescent="0.25">
      <c r="A62" t="s">
        <v>95</v>
      </c>
      <c r="B62" s="2" t="s">
        <v>96</v>
      </c>
      <c r="C62">
        <v>2</v>
      </c>
      <c r="D62">
        <v>2</v>
      </c>
      <c r="E62">
        <v>4</v>
      </c>
      <c r="F62">
        <v>347.4885845</v>
      </c>
      <c r="G62">
        <v>920.84474890000001</v>
      </c>
      <c r="H62">
        <v>144.59</v>
      </c>
      <c r="I62">
        <v>0.14459</v>
      </c>
      <c r="J62">
        <v>1.4459E-4</v>
      </c>
      <c r="K62">
        <v>0.31876600599999999</v>
      </c>
      <c r="L62">
        <v>0.01</v>
      </c>
      <c r="M62">
        <v>3</v>
      </c>
      <c r="N62">
        <v>22.0428712</v>
      </c>
      <c r="O62">
        <v>74.891260880057899</v>
      </c>
      <c r="P62">
        <v>5670.5762678765004</v>
      </c>
      <c r="Q62">
        <v>13627.917010037199</v>
      </c>
      <c r="R62">
        <v>36113.980076598702</v>
      </c>
      <c r="S62">
        <v>136</v>
      </c>
      <c r="T62">
        <v>0.2</v>
      </c>
      <c r="U62">
        <v>0</v>
      </c>
    </row>
    <row r="63" spans="1:21" x14ac:dyDescent="0.25">
      <c r="A63" t="s">
        <v>101</v>
      </c>
      <c r="B63" t="s">
        <v>102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1.2E-2</v>
      </c>
      <c r="M63">
        <v>3.1</v>
      </c>
      <c r="N63">
        <v>20.722289929999999</v>
      </c>
      <c r="O63" s="2">
        <v>43.244059241516503</v>
      </c>
      <c r="P63" s="2">
        <v>1414.33813769783</v>
      </c>
      <c r="Q63" s="2">
        <v>3399.0342170099302</v>
      </c>
      <c r="R63" s="2">
        <v>9007.4406750763101</v>
      </c>
      <c r="S63">
        <v>150.03333333333299</v>
      </c>
      <c r="T63">
        <v>0.11333333333333299</v>
      </c>
      <c r="U63">
        <v>1</v>
      </c>
    </row>
    <row r="64" spans="1:21" x14ac:dyDescent="0.25">
      <c r="A64" t="s">
        <v>37</v>
      </c>
      <c r="B64" t="s">
        <v>38</v>
      </c>
      <c r="C64">
        <v>2</v>
      </c>
      <c r="D64">
        <v>9</v>
      </c>
      <c r="E64">
        <v>18</v>
      </c>
      <c r="F64">
        <v>1762470683</v>
      </c>
      <c r="G64">
        <v>4670547309</v>
      </c>
      <c r="H64">
        <v>733364051.20000005</v>
      </c>
      <c r="I64">
        <v>733364.05119999999</v>
      </c>
      <c r="J64">
        <v>733.36405119999995</v>
      </c>
      <c r="K64">
        <v>1616789.0549999999</v>
      </c>
      <c r="L64" s="2">
        <v>6.0000000000000001E-3</v>
      </c>
      <c r="M64">
        <v>3</v>
      </c>
      <c r="N64">
        <v>1542.0432000000001</v>
      </c>
      <c r="O64" s="2">
        <v>2097.11005523112</v>
      </c>
      <c r="P64" s="2">
        <v>55336911.736742303</v>
      </c>
      <c r="Q64" s="2">
        <v>132989453.82538401</v>
      </c>
      <c r="R64" s="2">
        <v>352422052.63726699</v>
      </c>
      <c r="S64" s="2">
        <v>2097.36</v>
      </c>
      <c r="T64" s="2">
        <v>0.5</v>
      </c>
      <c r="U64" s="2">
        <v>0</v>
      </c>
    </row>
    <row r="65" spans="1:21" x14ac:dyDescent="0.25">
      <c r="A65" s="2" t="s">
        <v>31</v>
      </c>
      <c r="B65" t="s">
        <v>32</v>
      </c>
      <c r="C65">
        <v>2</v>
      </c>
      <c r="D65">
        <v>1</v>
      </c>
      <c r="E65">
        <v>2</v>
      </c>
      <c r="F65">
        <v>86.10910835</v>
      </c>
      <c r="G65">
        <v>228.18913710000001</v>
      </c>
      <c r="H65">
        <v>35.829999984434998</v>
      </c>
      <c r="I65">
        <v>3.5829999984435E-2</v>
      </c>
      <c r="J65">
        <v>3.5829999984434998E-5</v>
      </c>
      <c r="K65">
        <v>7.8991534565685098E-2</v>
      </c>
      <c r="L65" s="3">
        <v>1.1599999999999999E-2</v>
      </c>
      <c r="M65" s="3">
        <v>3</v>
      </c>
      <c r="N65">
        <v>14.5634054165095</v>
      </c>
      <c r="O65" s="2">
        <v>24.5990747915504</v>
      </c>
      <c r="P65" s="2">
        <v>172.668973842546</v>
      </c>
      <c r="Q65" s="2">
        <v>414.969896281052</v>
      </c>
      <c r="R65" s="2">
        <v>1099.67022514479</v>
      </c>
      <c r="S65" s="2">
        <v>29.1726666666667</v>
      </c>
      <c r="T65" s="2">
        <v>0.92646666666666699</v>
      </c>
      <c r="U65" s="2">
        <v>0</v>
      </c>
    </row>
    <row r="66" spans="1:21" x14ac:dyDescent="0.25">
      <c r="A66" t="s">
        <v>25</v>
      </c>
      <c r="B66" t="s">
        <v>26</v>
      </c>
      <c r="C66">
        <v>2</v>
      </c>
      <c r="D66">
        <v>3</v>
      </c>
      <c r="E66">
        <v>6</v>
      </c>
      <c r="F66">
        <v>67705.010320000001</v>
      </c>
      <c r="G66">
        <v>179418.27739999999</v>
      </c>
      <c r="H66">
        <v>28172.054789999998</v>
      </c>
      <c r="I66">
        <v>28.172054790000001</v>
      </c>
      <c r="J66">
        <v>2.8172055000000001E-2</v>
      </c>
      <c r="K66">
        <v>62.108675439999999</v>
      </c>
      <c r="L66">
        <v>2.1399999999999999E-2</v>
      </c>
      <c r="M66">
        <v>2.96</v>
      </c>
      <c r="N66">
        <v>116.779462</v>
      </c>
      <c r="O66">
        <v>112.05393234450599</v>
      </c>
      <c r="P66">
        <v>24929.754124324802</v>
      </c>
      <c r="Q66">
        <v>59912.891430725402</v>
      </c>
      <c r="R66">
        <v>158769.16229142199</v>
      </c>
      <c r="S66">
        <v>358.7</v>
      </c>
      <c r="T66">
        <v>9.1999999999999998E-2</v>
      </c>
      <c r="U66">
        <v>-1.929</v>
      </c>
    </row>
    <row r="67" spans="1:21" x14ac:dyDescent="0.25">
      <c r="A67" t="s">
        <v>33</v>
      </c>
      <c r="B67" t="s">
        <v>34</v>
      </c>
      <c r="C67">
        <v>2</v>
      </c>
      <c r="D67">
        <v>2</v>
      </c>
      <c r="E67">
        <v>4</v>
      </c>
      <c r="F67">
        <v>347.4885845</v>
      </c>
      <c r="G67">
        <v>920.84474890000001</v>
      </c>
      <c r="H67">
        <v>144.59</v>
      </c>
      <c r="I67">
        <v>0.14459</v>
      </c>
      <c r="J67">
        <v>1.4459E-4</v>
      </c>
      <c r="K67">
        <v>0.31876600599999999</v>
      </c>
      <c r="L67">
        <v>1.4999999999999999E-2</v>
      </c>
      <c r="M67">
        <v>3</v>
      </c>
      <c r="N67">
        <v>21.282158150000001</v>
      </c>
      <c r="O67">
        <v>33.330989505220401</v>
      </c>
      <c r="P67">
        <v>555.438372390013</v>
      </c>
      <c r="Q67">
        <v>1334.86751355447</v>
      </c>
      <c r="R67">
        <v>3537.3989109193299</v>
      </c>
      <c r="S67" s="4">
        <v>58.9</v>
      </c>
      <c r="T67" s="4">
        <v>0.22</v>
      </c>
      <c r="U67" s="4">
        <v>0.20699999999999999</v>
      </c>
    </row>
    <row r="68" spans="1:21" x14ac:dyDescent="0.25">
      <c r="A68" t="s">
        <v>29</v>
      </c>
      <c r="B68" t="s">
        <v>30</v>
      </c>
      <c r="C68">
        <v>2</v>
      </c>
      <c r="D68">
        <v>7</v>
      </c>
      <c r="E68" s="2">
        <v>14</v>
      </c>
      <c r="F68">
        <v>9019.2820400000001</v>
      </c>
      <c r="G68">
        <v>23901.197400000001</v>
      </c>
      <c r="H68">
        <v>3752.9232569999999</v>
      </c>
      <c r="I68">
        <v>3.752923257</v>
      </c>
      <c r="J68">
        <v>3.752923E-3</v>
      </c>
      <c r="K68">
        <v>8.2737696710000002</v>
      </c>
      <c r="L68">
        <v>3.2499999999999999E-3</v>
      </c>
      <c r="M68">
        <v>3</v>
      </c>
      <c r="N68">
        <v>104.9128716</v>
      </c>
      <c r="O68">
        <v>264.20518592161699</v>
      </c>
      <c r="P68">
        <v>59938.707617156499</v>
      </c>
      <c r="Q68">
        <v>144048.804655507</v>
      </c>
      <c r="R68">
        <v>381729.33233709401</v>
      </c>
      <c r="S68">
        <v>282</v>
      </c>
      <c r="T68">
        <v>0.18</v>
      </c>
      <c r="U68">
        <v>-1.35</v>
      </c>
    </row>
    <row r="69" spans="1:21" x14ac:dyDescent="0.25">
      <c r="A69" t="s">
        <v>23</v>
      </c>
      <c r="B69" t="s">
        <v>24</v>
      </c>
      <c r="C69">
        <v>2</v>
      </c>
      <c r="D69">
        <v>3</v>
      </c>
      <c r="E69">
        <v>6</v>
      </c>
      <c r="F69">
        <v>67705.010320000001</v>
      </c>
      <c r="G69">
        <v>179418.27739999999</v>
      </c>
      <c r="H69">
        <v>28172.054789999998</v>
      </c>
      <c r="I69">
        <v>28.172054790000001</v>
      </c>
      <c r="J69">
        <v>2.8172055000000001E-2</v>
      </c>
      <c r="K69">
        <v>62.108675439999999</v>
      </c>
      <c r="L69">
        <v>2.5999999999999999E-2</v>
      </c>
      <c r="M69">
        <v>3</v>
      </c>
      <c r="N69">
        <v>145.55493849999999</v>
      </c>
      <c r="O69">
        <v>110.756101882612</v>
      </c>
      <c r="P69">
        <v>13144.955654073299</v>
      </c>
      <c r="Q69">
        <v>31590.857135480201</v>
      </c>
      <c r="R69">
        <v>83715.771409022607</v>
      </c>
      <c r="S69">
        <v>314.89999999999998</v>
      </c>
      <c r="T69">
        <v>8.8999999999999996E-2</v>
      </c>
      <c r="U69">
        <v>-1.1299999999999999</v>
      </c>
    </row>
    <row r="70" spans="1:21" x14ac:dyDescent="0.25">
      <c r="A70" t="s">
        <v>27</v>
      </c>
      <c r="B70" t="s">
        <v>28</v>
      </c>
      <c r="C70">
        <v>2</v>
      </c>
      <c r="D70">
        <v>1</v>
      </c>
      <c r="E70">
        <v>2</v>
      </c>
      <c r="F70">
        <v>1159.3366980000001</v>
      </c>
      <c r="G70">
        <v>3072.2422499999998</v>
      </c>
      <c r="H70">
        <v>482.4</v>
      </c>
      <c r="I70">
        <v>0.4824</v>
      </c>
      <c r="J70">
        <v>4.8240000000000002E-4</v>
      </c>
      <c r="K70">
        <v>1.063508688</v>
      </c>
      <c r="L70">
        <v>1.0999999999999999E-2</v>
      </c>
      <c r="M70">
        <v>2.9</v>
      </c>
      <c r="N70">
        <v>39.874448970000003</v>
      </c>
      <c r="O70">
        <v>41.566319638624798</v>
      </c>
      <c r="P70">
        <v>544.18084001262002</v>
      </c>
      <c r="Q70">
        <v>1307.8126412223501</v>
      </c>
      <c r="R70">
        <v>3465.70349923923</v>
      </c>
      <c r="S70">
        <v>81.53</v>
      </c>
      <c r="T70">
        <v>0.31</v>
      </c>
      <c r="U70">
        <v>-0.3</v>
      </c>
    </row>
    <row r="71" spans="1:21" x14ac:dyDescent="0.25">
      <c r="A71" t="s">
        <v>35</v>
      </c>
      <c r="B71" t="s">
        <v>36</v>
      </c>
      <c r="C71">
        <v>2</v>
      </c>
      <c r="D71">
        <v>1</v>
      </c>
      <c r="E71">
        <v>2</v>
      </c>
      <c r="F71">
        <v>86.10910835</v>
      </c>
      <c r="G71">
        <v>228.18913710000001</v>
      </c>
      <c r="H71">
        <v>35.829999979999997</v>
      </c>
      <c r="I71">
        <v>3.5830000000000001E-2</v>
      </c>
      <c r="J71">
        <v>3.5800000000000003E-5</v>
      </c>
      <c r="K71">
        <v>7.8991535000000002E-2</v>
      </c>
      <c r="L71">
        <v>2.1000000000000001E-2</v>
      </c>
      <c r="M71">
        <v>3</v>
      </c>
      <c r="N71">
        <v>11.949301090000001</v>
      </c>
      <c r="O71">
        <v>17.4756302256006</v>
      </c>
      <c r="P71">
        <v>112.077345120461</v>
      </c>
      <c r="Q71">
        <v>269.35194693694001</v>
      </c>
      <c r="R71">
        <v>713.78265938289098</v>
      </c>
      <c r="S71" s="4">
        <v>21.02</v>
      </c>
      <c r="T71" s="4">
        <v>0.86</v>
      </c>
      <c r="U71" s="4">
        <v>-6.9989999999999997E-2</v>
      </c>
    </row>
    <row r="72" spans="1:21" x14ac:dyDescent="0.25">
      <c r="A72" t="s">
        <v>39</v>
      </c>
      <c r="B72" t="s">
        <v>40</v>
      </c>
      <c r="C72">
        <v>2</v>
      </c>
      <c r="D72">
        <v>2</v>
      </c>
      <c r="E72">
        <v>4</v>
      </c>
      <c r="F72">
        <v>3222.0620039999999</v>
      </c>
      <c r="G72">
        <v>8538.4643109999997</v>
      </c>
      <c r="H72">
        <v>1340.7</v>
      </c>
      <c r="I72">
        <v>1.3407</v>
      </c>
      <c r="J72">
        <v>1.3407E-3</v>
      </c>
      <c r="K72">
        <v>2.9557340339999998</v>
      </c>
      <c r="L72">
        <v>1.2E-2</v>
      </c>
      <c r="M72">
        <v>3</v>
      </c>
      <c r="N72">
        <v>48.163361209999998</v>
      </c>
      <c r="O72">
        <v>52.325573592559699</v>
      </c>
      <c r="P72">
        <v>1719.1874784798999</v>
      </c>
      <c r="Q72">
        <v>4131.6690182165303</v>
      </c>
      <c r="R72">
        <v>10948.9228982738</v>
      </c>
      <c r="S72">
        <v>150.93</v>
      </c>
      <c r="T72">
        <v>0.11</v>
      </c>
      <c r="U72">
        <v>0.13</v>
      </c>
    </row>
    <row r="73" spans="1:21" x14ac:dyDescent="0.25">
      <c r="A73" t="s">
        <v>45</v>
      </c>
      <c r="B73" t="s">
        <v>46</v>
      </c>
      <c r="C73">
        <v>2</v>
      </c>
      <c r="D73">
        <v>5</v>
      </c>
      <c r="E73">
        <v>10</v>
      </c>
      <c r="F73">
        <v>3110.5273029999998</v>
      </c>
      <c r="G73">
        <v>8242.8973540000006</v>
      </c>
      <c r="H73">
        <v>1294.2904109999999</v>
      </c>
      <c r="I73">
        <v>1.294290411</v>
      </c>
      <c r="J73">
        <v>1.29429E-3</v>
      </c>
      <c r="K73">
        <v>2.8534185249999999</v>
      </c>
      <c r="L73">
        <v>3.96E-3</v>
      </c>
      <c r="M73">
        <v>3.2</v>
      </c>
      <c r="N73">
        <v>52.872539600000003</v>
      </c>
      <c r="O73" s="2">
        <v>266.14213576925499</v>
      </c>
      <c r="P73" s="2">
        <v>228065.097309423</v>
      </c>
      <c r="Q73" s="2">
        <v>548101.65178904904</v>
      </c>
      <c r="R73" s="2">
        <v>1452469.37724098</v>
      </c>
      <c r="S73" s="2">
        <v>300.78571428571399</v>
      </c>
      <c r="T73" s="2">
        <v>0.24014285714285699</v>
      </c>
      <c r="U73" s="2">
        <v>1</v>
      </c>
    </row>
    <row r="74" spans="1:21" x14ac:dyDescent="0.25">
      <c r="A74" t="s">
        <v>43</v>
      </c>
      <c r="B74" t="s">
        <v>44</v>
      </c>
      <c r="C74">
        <v>2</v>
      </c>
      <c r="D74">
        <v>2</v>
      </c>
      <c r="E74">
        <v>4</v>
      </c>
      <c r="F74">
        <v>347.4885845</v>
      </c>
      <c r="G74">
        <v>920.84474890000001</v>
      </c>
      <c r="H74">
        <v>144.59</v>
      </c>
      <c r="I74">
        <v>0.14459</v>
      </c>
      <c r="J74">
        <v>1.4459E-4</v>
      </c>
      <c r="K74">
        <v>0.31876600599999999</v>
      </c>
      <c r="L74">
        <v>1.44E-2</v>
      </c>
      <c r="M74">
        <v>3</v>
      </c>
      <c r="N74">
        <v>21.5737308</v>
      </c>
      <c r="O74" s="2">
        <v>39.696353761883302</v>
      </c>
      <c r="P74" s="2">
        <v>900.77089226532598</v>
      </c>
      <c r="Q74" s="2">
        <v>2164.7942616326</v>
      </c>
      <c r="R74" s="2">
        <v>5736.7047933263902</v>
      </c>
      <c r="S74" s="2">
        <v>47.633333333333297</v>
      </c>
      <c r="T74" s="2">
        <v>0.44800000000000001</v>
      </c>
      <c r="U74" s="2">
        <v>0</v>
      </c>
    </row>
    <row r="75" spans="1:21" x14ac:dyDescent="0.25">
      <c r="A75" t="s">
        <v>53</v>
      </c>
      <c r="B75" t="s">
        <v>54</v>
      </c>
      <c r="C75">
        <v>2</v>
      </c>
      <c r="D75">
        <v>2</v>
      </c>
      <c r="E75">
        <v>4</v>
      </c>
      <c r="F75">
        <v>1129.488104</v>
      </c>
      <c r="G75">
        <v>2993.143474</v>
      </c>
      <c r="H75">
        <v>469.98000009999998</v>
      </c>
      <c r="I75">
        <v>0.46998000000000001</v>
      </c>
      <c r="J75">
        <v>4.6998E-4</v>
      </c>
      <c r="K75">
        <v>1.036127308</v>
      </c>
      <c r="L75">
        <v>1.2E-2</v>
      </c>
      <c r="M75">
        <v>2.95</v>
      </c>
      <c r="N75">
        <v>36.05077627</v>
      </c>
      <c r="O75">
        <v>20.228703313010801</v>
      </c>
      <c r="P75">
        <v>85.464740484643798</v>
      </c>
      <c r="Q75">
        <v>205.39471397414999</v>
      </c>
      <c r="R75">
        <v>544.29599203149701</v>
      </c>
      <c r="S75">
        <v>41</v>
      </c>
      <c r="T75">
        <v>0.17</v>
      </c>
      <c r="U75">
        <v>0</v>
      </c>
    </row>
    <row r="76" spans="1:21" x14ac:dyDescent="0.25">
      <c r="A76" t="s">
        <v>57</v>
      </c>
      <c r="B76" t="s">
        <v>58</v>
      </c>
      <c r="C76">
        <v>2</v>
      </c>
      <c r="D76">
        <v>2</v>
      </c>
      <c r="E76">
        <v>4</v>
      </c>
      <c r="F76">
        <v>1987.02235</v>
      </c>
      <c r="G76">
        <v>5265.6092280000003</v>
      </c>
      <c r="H76">
        <v>826.79999980000002</v>
      </c>
      <c r="I76">
        <v>0.82679999999999998</v>
      </c>
      <c r="J76">
        <v>8.2680000000000004E-4</v>
      </c>
      <c r="K76">
        <v>1.8227798159999999</v>
      </c>
      <c r="L76">
        <v>4.0000000000000001E-3</v>
      </c>
      <c r="M76">
        <v>3.1</v>
      </c>
      <c r="N76">
        <v>41.2261539</v>
      </c>
      <c r="O76">
        <v>58.181743838189597</v>
      </c>
      <c r="P76">
        <v>2324.0325637394799</v>
      </c>
      <c r="Q76">
        <v>5585.2741257858097</v>
      </c>
      <c r="R76">
        <v>14800.9764333324</v>
      </c>
      <c r="S76">
        <v>72.900000000000006</v>
      </c>
      <c r="T76">
        <v>0.4</v>
      </c>
      <c r="U76">
        <v>0</v>
      </c>
    </row>
    <row r="77" spans="1:21" x14ac:dyDescent="0.25">
      <c r="A77" t="s">
        <v>59</v>
      </c>
      <c r="B77" t="s">
        <v>60</v>
      </c>
      <c r="C77">
        <v>2</v>
      </c>
      <c r="D77">
        <v>2</v>
      </c>
      <c r="E77">
        <v>4</v>
      </c>
      <c r="F77">
        <v>1129.488104</v>
      </c>
      <c r="G77">
        <v>2993.143474</v>
      </c>
      <c r="H77">
        <v>469.98000009999998</v>
      </c>
      <c r="I77">
        <v>0.46998000000000001</v>
      </c>
      <c r="J77">
        <v>4.6998E-4</v>
      </c>
      <c r="K77">
        <v>1.036127308</v>
      </c>
      <c r="L77">
        <v>1.6799999999999999E-2</v>
      </c>
      <c r="M77">
        <v>3.1</v>
      </c>
      <c r="N77">
        <v>27.19205101</v>
      </c>
      <c r="O77">
        <v>60.482334737459503</v>
      </c>
      <c r="P77">
        <v>5602.1892882480797</v>
      </c>
      <c r="Q77">
        <v>13463.5647398416</v>
      </c>
      <c r="R77">
        <v>35678.446560580203</v>
      </c>
      <c r="S77">
        <v>263.2</v>
      </c>
      <c r="T77">
        <v>7.0000000000000007E-2</v>
      </c>
      <c r="U77">
        <v>0.27</v>
      </c>
    </row>
    <row r="78" spans="1:21" x14ac:dyDescent="0.25">
      <c r="A78" t="s">
        <v>61</v>
      </c>
      <c r="B78" t="s">
        <v>62</v>
      </c>
      <c r="C78">
        <v>2</v>
      </c>
      <c r="D78">
        <v>1</v>
      </c>
      <c r="E78">
        <v>2</v>
      </c>
      <c r="F78">
        <v>32.972843070000003</v>
      </c>
      <c r="G78">
        <v>87.378034139999997</v>
      </c>
      <c r="H78">
        <v>13.72</v>
      </c>
      <c r="I78">
        <v>1.372E-2</v>
      </c>
      <c r="J78">
        <v>1.3699999999999999E-5</v>
      </c>
      <c r="K78">
        <v>3.0247386000000001E-2</v>
      </c>
      <c r="L78">
        <v>1.2500000000000001E-2</v>
      </c>
      <c r="M78">
        <v>3</v>
      </c>
      <c r="N78">
        <v>10.315288199999999</v>
      </c>
      <c r="O78">
        <v>12.5106682144588</v>
      </c>
      <c r="P78">
        <v>24.476624933083801</v>
      </c>
      <c r="Q78">
        <v>58.8239003438688</v>
      </c>
      <c r="R78">
        <v>155.883335911252</v>
      </c>
      <c r="S78">
        <v>33.700000000000003</v>
      </c>
      <c r="T78">
        <v>0.32</v>
      </c>
      <c r="U78">
        <v>0.55000000000000004</v>
      </c>
    </row>
    <row r="79" spans="1:21" x14ac:dyDescent="0.25">
      <c r="A79" t="s">
        <v>63</v>
      </c>
      <c r="B79" t="s">
        <v>64</v>
      </c>
      <c r="C79">
        <v>2</v>
      </c>
      <c r="D79">
        <v>2</v>
      </c>
      <c r="E79">
        <v>4</v>
      </c>
      <c r="F79">
        <v>347.4885845</v>
      </c>
      <c r="G79">
        <v>920.84474890000001</v>
      </c>
      <c r="H79">
        <v>144.59</v>
      </c>
      <c r="I79">
        <v>0.14459</v>
      </c>
      <c r="J79">
        <v>1.4459E-4</v>
      </c>
      <c r="K79">
        <v>0.31876600599999999</v>
      </c>
      <c r="L79">
        <v>1.2E-2</v>
      </c>
      <c r="M79">
        <v>3.1</v>
      </c>
      <c r="N79">
        <v>20.722289929999999</v>
      </c>
      <c r="O79">
        <v>36.165543125950101</v>
      </c>
      <c r="P79">
        <v>812.63536807531398</v>
      </c>
      <c r="Q79">
        <v>1952.9809374556901</v>
      </c>
      <c r="R79">
        <v>5175.3994842575903</v>
      </c>
      <c r="S79">
        <v>42.5</v>
      </c>
      <c r="T79">
        <v>0.47</v>
      </c>
      <c r="U79">
        <v>0.05</v>
      </c>
    </row>
    <row r="80" spans="1:21" x14ac:dyDescent="0.25">
      <c r="A80" t="s">
        <v>65</v>
      </c>
      <c r="B80" t="s">
        <v>66</v>
      </c>
      <c r="C80">
        <v>2</v>
      </c>
      <c r="D80">
        <v>3</v>
      </c>
      <c r="E80">
        <v>6</v>
      </c>
      <c r="F80">
        <v>1200</v>
      </c>
      <c r="G80">
        <v>3180</v>
      </c>
      <c r="H80">
        <v>499.32</v>
      </c>
      <c r="I80">
        <v>0.49931999999999999</v>
      </c>
      <c r="J80">
        <v>4.9932000000000004E-4</v>
      </c>
      <c r="K80">
        <v>1.100810858</v>
      </c>
      <c r="L80">
        <v>1.2699999999999999E-2</v>
      </c>
      <c r="M80">
        <v>3.1</v>
      </c>
      <c r="N80">
        <v>30.347369</v>
      </c>
      <c r="O80">
        <v>47.282602925460402</v>
      </c>
      <c r="P80">
        <v>1974.14018262786</v>
      </c>
      <c r="Q80">
        <v>4744.3888070844996</v>
      </c>
      <c r="R80">
        <v>12572.630338773901</v>
      </c>
      <c r="S80">
        <v>52.7</v>
      </c>
      <c r="T80">
        <v>0.35</v>
      </c>
      <c r="U80">
        <v>-0.5</v>
      </c>
    </row>
    <row r="81" spans="1:21" x14ac:dyDescent="0.25">
      <c r="A81" t="s">
        <v>67</v>
      </c>
      <c r="B81" t="s">
        <v>68</v>
      </c>
      <c r="C81">
        <v>2</v>
      </c>
      <c r="D81">
        <v>1</v>
      </c>
      <c r="E81">
        <v>2</v>
      </c>
      <c r="F81">
        <v>31.24</v>
      </c>
      <c r="G81">
        <v>82.79</v>
      </c>
      <c r="H81">
        <v>12.998964000000001</v>
      </c>
      <c r="I81">
        <v>1.2998964E-2</v>
      </c>
      <c r="J81">
        <v>1.2999999999999999E-5</v>
      </c>
      <c r="K81">
        <v>2.8657775999999999E-2</v>
      </c>
      <c r="L81">
        <v>1.29E-2</v>
      </c>
      <c r="M81">
        <v>3.05</v>
      </c>
      <c r="N81">
        <v>9.6537214660000004</v>
      </c>
      <c r="O81">
        <v>25.445946307790098</v>
      </c>
      <c r="P81">
        <v>249.87710172442101</v>
      </c>
      <c r="Q81">
        <v>600.52175372367401</v>
      </c>
      <c r="R81">
        <v>1591.38264736774</v>
      </c>
      <c r="S81">
        <v>40.6</v>
      </c>
      <c r="T81">
        <v>0.27</v>
      </c>
      <c r="U81">
        <v>-1.65</v>
      </c>
    </row>
    <row r="82" spans="1:21" x14ac:dyDescent="0.25">
      <c r="A82" t="s">
        <v>69</v>
      </c>
      <c r="B82" t="s">
        <v>70</v>
      </c>
      <c r="C82">
        <v>2</v>
      </c>
      <c r="D82">
        <v>1</v>
      </c>
      <c r="E82">
        <v>2</v>
      </c>
      <c r="F82">
        <v>120.16342229999999</v>
      </c>
      <c r="G82">
        <v>318.43306899999999</v>
      </c>
      <c r="H82">
        <v>50.000000020000002</v>
      </c>
      <c r="I82">
        <v>0.05</v>
      </c>
      <c r="J82">
        <v>5.0000000000000002E-5</v>
      </c>
      <c r="K82">
        <v>0.110231</v>
      </c>
      <c r="L82">
        <v>0.01</v>
      </c>
      <c r="M82">
        <v>2.9</v>
      </c>
      <c r="N82">
        <v>18.85848923</v>
      </c>
      <c r="O82">
        <v>14.4649922879067</v>
      </c>
      <c r="P82">
        <v>23.169827404021401</v>
      </c>
      <c r="Q82">
        <v>55.683315078157698</v>
      </c>
      <c r="R82">
        <v>147.56078495711799</v>
      </c>
      <c r="S82">
        <v>37.700000000000003</v>
      </c>
      <c r="T82">
        <v>0.24199999999999999</v>
      </c>
      <c r="U82">
        <v>0</v>
      </c>
    </row>
    <row r="83" spans="1:21" x14ac:dyDescent="0.25">
      <c r="A83" s="2" t="s">
        <v>71</v>
      </c>
      <c r="B83" t="s">
        <v>72</v>
      </c>
      <c r="C83">
        <v>2</v>
      </c>
      <c r="D83">
        <v>1</v>
      </c>
      <c r="E83">
        <v>2</v>
      </c>
      <c r="F83">
        <v>3.8692621960000002</v>
      </c>
      <c r="G83">
        <v>10.25354482</v>
      </c>
      <c r="H83">
        <v>1.6099999997556</v>
      </c>
      <c r="I83">
        <v>1.6099999997555999E-3</v>
      </c>
      <c r="J83">
        <v>1.6099999997555999E-6</v>
      </c>
      <c r="K83">
        <v>3.54943819946119E-3</v>
      </c>
      <c r="L83" s="3">
        <v>1.0999999999999999E-2</v>
      </c>
      <c r="M83" s="3">
        <v>3.01</v>
      </c>
      <c r="N83">
        <v>5.2409862486962604</v>
      </c>
      <c r="O83" s="2">
        <v>5.4532752310419399</v>
      </c>
      <c r="P83" s="2">
        <v>1.81439362626141</v>
      </c>
      <c r="Q83" s="2">
        <v>4.3604749489579602</v>
      </c>
      <c r="R83" s="2">
        <v>11.5552586147386</v>
      </c>
      <c r="S83">
        <v>9</v>
      </c>
      <c r="T83">
        <v>0.32</v>
      </c>
      <c r="U83">
        <v>-0.91</v>
      </c>
    </row>
    <row r="84" spans="1:21" x14ac:dyDescent="0.25">
      <c r="A84" s="2" t="s">
        <v>49</v>
      </c>
      <c r="B84" t="s">
        <v>50</v>
      </c>
      <c r="C84">
        <v>2</v>
      </c>
      <c r="D84">
        <v>1</v>
      </c>
      <c r="E84">
        <v>2</v>
      </c>
      <c r="F84">
        <v>347.4885845</v>
      </c>
      <c r="G84">
        <v>920.84474890000001</v>
      </c>
      <c r="H84">
        <v>144.59000001045001</v>
      </c>
      <c r="I84">
        <v>0.14459000001045</v>
      </c>
      <c r="J84">
        <v>1.4459000001045E-4</v>
      </c>
      <c r="K84">
        <v>0.31876600582303799</v>
      </c>
      <c r="L84" s="3">
        <v>1.2E-2</v>
      </c>
      <c r="M84" s="3">
        <v>3.1</v>
      </c>
      <c r="N84">
        <v>20.722289929778999</v>
      </c>
      <c r="O84" s="2">
        <v>19.676791366937699</v>
      </c>
      <c r="P84" s="2">
        <v>123.151446299805</v>
      </c>
      <c r="Q84" s="2">
        <v>295.96598485893901</v>
      </c>
      <c r="R84" s="2">
        <v>784.30985987618999</v>
      </c>
      <c r="S84" s="2">
        <v>54.3</v>
      </c>
      <c r="T84" s="2">
        <v>0.22500000000000001</v>
      </c>
      <c r="U84" s="2">
        <v>0</v>
      </c>
    </row>
    <row r="85" spans="1:21" x14ac:dyDescent="0.25">
      <c r="A85" t="s">
        <v>55</v>
      </c>
      <c r="B85" t="s">
        <v>56</v>
      </c>
      <c r="C85">
        <v>2</v>
      </c>
      <c r="D85">
        <v>1</v>
      </c>
      <c r="E85">
        <v>2</v>
      </c>
      <c r="F85">
        <v>155.0108147</v>
      </c>
      <c r="G85">
        <v>410.778659</v>
      </c>
      <c r="H85">
        <v>64.5</v>
      </c>
      <c r="I85">
        <v>6.4500000000000002E-2</v>
      </c>
      <c r="J85">
        <v>6.4499999999999996E-5</v>
      </c>
      <c r="K85">
        <v>0.14219799</v>
      </c>
      <c r="L85">
        <v>1.2999999999999999E-2</v>
      </c>
      <c r="M85">
        <v>3</v>
      </c>
      <c r="N85">
        <v>17.055801020000001</v>
      </c>
      <c r="O85">
        <v>25.464801199995101</v>
      </c>
      <c r="P85">
        <v>214.66647380591499</v>
      </c>
      <c r="Q85">
        <v>515.90116271548902</v>
      </c>
      <c r="R85">
        <v>1367.1380811960501</v>
      </c>
      <c r="S85">
        <v>152</v>
      </c>
      <c r="T85">
        <v>9.6000000000000002E-2</v>
      </c>
      <c r="U85">
        <v>0.09</v>
      </c>
    </row>
    <row r="86" spans="1:21" x14ac:dyDescent="0.25">
      <c r="A86" t="s">
        <v>75</v>
      </c>
      <c r="B86" t="s">
        <v>76</v>
      </c>
      <c r="C86">
        <v>2</v>
      </c>
      <c r="D86">
        <v>2</v>
      </c>
      <c r="E86">
        <v>4</v>
      </c>
      <c r="F86">
        <v>347.4885845</v>
      </c>
      <c r="G86">
        <v>920.84474890000001</v>
      </c>
      <c r="H86">
        <v>144.59</v>
      </c>
      <c r="I86">
        <v>0.14459</v>
      </c>
      <c r="J86">
        <v>1.4459E-4</v>
      </c>
      <c r="K86">
        <v>0.31876600599999999</v>
      </c>
      <c r="L86">
        <v>2.5000000000000001E-3</v>
      </c>
      <c r="M86">
        <v>3.1</v>
      </c>
      <c r="N86">
        <v>34.371064560000001</v>
      </c>
      <c r="O86">
        <v>42.479007394554699</v>
      </c>
      <c r="P86">
        <v>278.792139555956</v>
      </c>
      <c r="Q86">
        <v>670.01235173265104</v>
      </c>
      <c r="R86">
        <v>1775.5327320915301</v>
      </c>
      <c r="S86">
        <v>122</v>
      </c>
      <c r="T86">
        <v>0.107</v>
      </c>
      <c r="U86">
        <v>0</v>
      </c>
    </row>
    <row r="87" spans="1:21" x14ac:dyDescent="0.25">
      <c r="A87" t="s">
        <v>73</v>
      </c>
      <c r="B87" t="s">
        <v>74</v>
      </c>
      <c r="C87">
        <v>2</v>
      </c>
      <c r="D87">
        <v>2</v>
      </c>
      <c r="E87">
        <v>4</v>
      </c>
      <c r="F87">
        <v>347.4885845</v>
      </c>
      <c r="G87">
        <v>920.84474890000001</v>
      </c>
      <c r="H87">
        <v>144.59</v>
      </c>
      <c r="I87">
        <v>0.14459</v>
      </c>
      <c r="J87">
        <v>1.4459E-4</v>
      </c>
      <c r="K87">
        <v>0.31876600599999999</v>
      </c>
      <c r="L87">
        <v>1.4E-2</v>
      </c>
      <c r="M87">
        <v>2.8</v>
      </c>
      <c r="N87">
        <v>27.137827609999999</v>
      </c>
      <c r="O87">
        <v>36.695900628394902</v>
      </c>
      <c r="P87">
        <v>336.55587698181699</v>
      </c>
      <c r="Q87">
        <v>808.834119158416</v>
      </c>
      <c r="R87">
        <v>2143.4104157697998</v>
      </c>
      <c r="S87">
        <v>43</v>
      </c>
      <c r="T87">
        <v>0.48</v>
      </c>
      <c r="U87">
        <v>0</v>
      </c>
    </row>
    <row r="88" spans="1:21" x14ac:dyDescent="0.25">
      <c r="A88" s="2" t="s">
        <v>51</v>
      </c>
      <c r="B88" t="s">
        <v>52</v>
      </c>
      <c r="C88">
        <v>2</v>
      </c>
      <c r="D88">
        <v>1</v>
      </c>
      <c r="E88">
        <v>2</v>
      </c>
      <c r="F88">
        <v>1129.488104</v>
      </c>
      <c r="G88">
        <v>2993.143474</v>
      </c>
      <c r="H88">
        <v>469.98000007439998</v>
      </c>
      <c r="I88">
        <v>0.4699800000744</v>
      </c>
      <c r="J88">
        <v>4.6998000007440001E-4</v>
      </c>
      <c r="K88">
        <v>1.0361273077640201</v>
      </c>
      <c r="L88" s="3">
        <v>1.24E-2</v>
      </c>
      <c r="M88" s="3">
        <v>3.2</v>
      </c>
      <c r="N88">
        <v>26.9668692028389</v>
      </c>
      <c r="O88" s="2">
        <v>7.6830623947311398</v>
      </c>
      <c r="P88" s="2">
        <v>8.4553509376347797</v>
      </c>
      <c r="Q88" s="2">
        <v>20.3204781005402</v>
      </c>
      <c r="R88" s="2">
        <v>53.8492669664316</v>
      </c>
      <c r="S88">
        <v>20.9</v>
      </c>
      <c r="T88">
        <v>0.19500000000000001</v>
      </c>
      <c r="U88">
        <v>-0.35</v>
      </c>
    </row>
    <row r="89" spans="1:21" x14ac:dyDescent="0.25">
      <c r="A89" t="s">
        <v>85</v>
      </c>
      <c r="B89" t="s">
        <v>86</v>
      </c>
      <c r="C89">
        <v>2</v>
      </c>
      <c r="D89">
        <v>7</v>
      </c>
      <c r="E89">
        <v>14</v>
      </c>
      <c r="F89">
        <v>9019.2820400000001</v>
      </c>
      <c r="G89">
        <v>23901.197400000001</v>
      </c>
      <c r="H89">
        <v>3752.9232569999999</v>
      </c>
      <c r="I89">
        <v>3.752923257</v>
      </c>
      <c r="J89">
        <v>3.752923E-3</v>
      </c>
      <c r="K89">
        <v>8.2737696710000002</v>
      </c>
      <c r="L89">
        <v>5.2399999999999999E-3</v>
      </c>
      <c r="M89">
        <v>3.141</v>
      </c>
      <c r="N89">
        <v>73.125400459999994</v>
      </c>
      <c r="O89" s="2">
        <v>256.84427503747003</v>
      </c>
      <c r="P89" s="2">
        <v>194135.25529926401</v>
      </c>
      <c r="Q89" s="2">
        <v>466559.13313930202</v>
      </c>
      <c r="R89" s="2">
        <v>1236381.7028191499</v>
      </c>
      <c r="S89">
        <v>309.24444444444401</v>
      </c>
      <c r="T89">
        <v>0.13655555555555601</v>
      </c>
      <c r="U89">
        <v>1</v>
      </c>
    </row>
    <row r="90" spans="1:21" x14ac:dyDescent="0.25">
      <c r="A90" t="s">
        <v>77</v>
      </c>
      <c r="B90" t="s">
        <v>78</v>
      </c>
      <c r="C90">
        <v>2</v>
      </c>
      <c r="D90">
        <v>3</v>
      </c>
      <c r="E90">
        <v>6</v>
      </c>
      <c r="F90">
        <v>68782.88609</v>
      </c>
      <c r="G90">
        <v>182274.6482</v>
      </c>
      <c r="H90">
        <v>28620.5589</v>
      </c>
      <c r="I90">
        <v>28.620558899999999</v>
      </c>
      <c r="J90">
        <v>2.8620559E-2</v>
      </c>
      <c r="K90">
        <v>63.097456569999999</v>
      </c>
      <c r="L90">
        <v>3.5000000000000003E-2</v>
      </c>
      <c r="M90">
        <v>2.9</v>
      </c>
      <c r="N90">
        <v>109.3530894</v>
      </c>
      <c r="O90" s="2">
        <v>198.031026442659</v>
      </c>
      <c r="P90" s="2">
        <v>160174.89061800399</v>
      </c>
      <c r="Q90" s="2">
        <v>384943.26031724003</v>
      </c>
      <c r="R90" s="2">
        <v>1020099.63984069</v>
      </c>
      <c r="S90">
        <v>208.40700000000001</v>
      </c>
      <c r="T90">
        <v>0.5</v>
      </c>
      <c r="U90">
        <v>0</v>
      </c>
    </row>
    <row r="91" spans="1:21" x14ac:dyDescent="0.25">
      <c r="A91" t="s">
        <v>79</v>
      </c>
      <c r="B91" t="s">
        <v>80</v>
      </c>
      <c r="C91">
        <v>2</v>
      </c>
      <c r="D91">
        <v>2</v>
      </c>
      <c r="E91">
        <v>4</v>
      </c>
      <c r="F91">
        <v>1129.488104</v>
      </c>
      <c r="G91">
        <v>2993.143474</v>
      </c>
      <c r="H91">
        <v>469.98000009999998</v>
      </c>
      <c r="I91">
        <v>0.46998000000000001</v>
      </c>
      <c r="J91">
        <v>4.6998E-4</v>
      </c>
      <c r="K91">
        <v>1.036127308</v>
      </c>
      <c r="L91">
        <v>3.3999999999999998E-3</v>
      </c>
      <c r="M91">
        <v>3.2850000000000001</v>
      </c>
      <c r="N91">
        <v>26.966869200000001</v>
      </c>
      <c r="O91">
        <v>29.553642157301201</v>
      </c>
      <c r="P91">
        <v>630.05276044964899</v>
      </c>
      <c r="Q91">
        <v>1514.18591792754</v>
      </c>
      <c r="R91">
        <v>4012.59268250798</v>
      </c>
      <c r="S91">
        <v>59.9</v>
      </c>
      <c r="T91">
        <v>0.17</v>
      </c>
      <c r="U91">
        <v>0</v>
      </c>
    </row>
    <row r="92" spans="1:21" x14ac:dyDescent="0.25">
      <c r="A92" t="s">
        <v>81</v>
      </c>
      <c r="B92" t="s">
        <v>82</v>
      </c>
      <c r="C92">
        <v>2</v>
      </c>
      <c r="D92">
        <v>2</v>
      </c>
      <c r="E92">
        <v>4</v>
      </c>
      <c r="F92">
        <v>347.4885845</v>
      </c>
      <c r="G92">
        <v>920.84474890000001</v>
      </c>
      <c r="H92">
        <v>144.59</v>
      </c>
      <c r="I92">
        <v>0.14459</v>
      </c>
      <c r="J92">
        <v>1.4459E-4</v>
      </c>
      <c r="K92">
        <v>0.31876600599999999</v>
      </c>
      <c r="L92">
        <v>1.4999999999999999E-2</v>
      </c>
      <c r="M92">
        <v>3</v>
      </c>
      <c r="N92">
        <v>21.282158150000001</v>
      </c>
      <c r="O92">
        <v>52.298598809247501</v>
      </c>
      <c r="P92">
        <v>2145.6625397832699</v>
      </c>
      <c r="Q92">
        <v>5156.6030756627397</v>
      </c>
      <c r="R92">
        <v>13664.998150506301</v>
      </c>
      <c r="S92">
        <v>106</v>
      </c>
      <c r="T92">
        <v>0.17</v>
      </c>
      <c r="U92">
        <v>0</v>
      </c>
    </row>
    <row r="93" spans="1:21" x14ac:dyDescent="0.25">
      <c r="A93" t="s">
        <v>83</v>
      </c>
      <c r="B93" t="s">
        <v>84</v>
      </c>
      <c r="C93">
        <v>2</v>
      </c>
      <c r="D93">
        <v>7</v>
      </c>
      <c r="E93">
        <v>14</v>
      </c>
      <c r="F93">
        <v>9019.2820400000001</v>
      </c>
      <c r="G93">
        <v>23901.197400000001</v>
      </c>
      <c r="H93">
        <v>3752.9232569999999</v>
      </c>
      <c r="I93">
        <v>3.752923257</v>
      </c>
      <c r="J93">
        <v>3.752923E-3</v>
      </c>
      <c r="K93">
        <v>8.2737696710000002</v>
      </c>
      <c r="L93">
        <v>5.4000000000000003E-3</v>
      </c>
      <c r="M93">
        <v>3</v>
      </c>
      <c r="N93">
        <v>88.577885339999995</v>
      </c>
      <c r="O93">
        <v>224.809568096942</v>
      </c>
      <c r="P93">
        <v>61353.329181622103</v>
      </c>
      <c r="Q93">
        <v>147448.520023124</v>
      </c>
      <c r="R93">
        <v>390738.57806128002</v>
      </c>
      <c r="S93">
        <v>280</v>
      </c>
      <c r="T93">
        <v>0.11600000000000001</v>
      </c>
      <c r="U93">
        <v>0</v>
      </c>
    </row>
    <row r="94" spans="1:21" x14ac:dyDescent="0.25">
      <c r="A94" t="s">
        <v>91</v>
      </c>
      <c r="B94" t="s">
        <v>92</v>
      </c>
      <c r="C94">
        <v>2</v>
      </c>
      <c r="D94">
        <v>2</v>
      </c>
      <c r="E94">
        <v>4</v>
      </c>
      <c r="F94">
        <v>347.4885845</v>
      </c>
      <c r="G94">
        <v>920.84474890000001</v>
      </c>
      <c r="H94">
        <v>144.59</v>
      </c>
      <c r="I94">
        <v>0.14459</v>
      </c>
      <c r="J94">
        <v>1.4459E-4</v>
      </c>
      <c r="K94">
        <v>0.31876600599999999</v>
      </c>
      <c r="L94">
        <v>1.2999999999999999E-2</v>
      </c>
      <c r="M94">
        <v>3</v>
      </c>
      <c r="N94">
        <v>22.321924509999999</v>
      </c>
      <c r="O94">
        <v>32.046481094003497</v>
      </c>
      <c r="P94">
        <v>427.84296656974999</v>
      </c>
      <c r="Q94">
        <v>1028.22150100877</v>
      </c>
      <c r="R94">
        <v>2724.78697767324</v>
      </c>
      <c r="S94">
        <v>60.2</v>
      </c>
      <c r="T94">
        <v>0.19</v>
      </c>
      <c r="U94">
        <v>0</v>
      </c>
    </row>
    <row r="95" spans="1:21" x14ac:dyDescent="0.25">
      <c r="A95" t="s">
        <v>87</v>
      </c>
      <c r="B95" t="s">
        <v>88</v>
      </c>
      <c r="C95">
        <v>2</v>
      </c>
      <c r="D95">
        <v>2</v>
      </c>
      <c r="E95">
        <v>4</v>
      </c>
      <c r="F95">
        <v>347.4885845</v>
      </c>
      <c r="G95">
        <v>920.84474890000001</v>
      </c>
      <c r="H95">
        <v>144.59</v>
      </c>
      <c r="I95">
        <v>0.14459</v>
      </c>
      <c r="J95">
        <v>1.4459E-4</v>
      </c>
      <c r="K95">
        <v>0.31876600599999999</v>
      </c>
      <c r="L95">
        <v>6.0000000000000001E-3</v>
      </c>
      <c r="M95">
        <v>3.1</v>
      </c>
      <c r="N95">
        <v>25.914581269999999</v>
      </c>
      <c r="O95">
        <v>18.785992624935801</v>
      </c>
      <c r="P95">
        <v>53.338046744098101</v>
      </c>
      <c r="Q95">
        <v>128.18564466257601</v>
      </c>
      <c r="R95">
        <v>339.69195835582798</v>
      </c>
      <c r="S95">
        <v>31.4</v>
      </c>
      <c r="T95">
        <v>0.19</v>
      </c>
      <c r="U95">
        <v>-0.8</v>
      </c>
    </row>
    <row r="96" spans="1:21" x14ac:dyDescent="0.25">
      <c r="A96" t="s">
        <v>93</v>
      </c>
      <c r="B96" t="s">
        <v>94</v>
      </c>
      <c r="C96">
        <v>2</v>
      </c>
      <c r="D96">
        <v>9</v>
      </c>
      <c r="E96">
        <v>18</v>
      </c>
      <c r="F96">
        <v>1762470683</v>
      </c>
      <c r="G96">
        <v>4670547309</v>
      </c>
      <c r="H96">
        <v>733364051.20000005</v>
      </c>
      <c r="I96">
        <v>733364.05119999999</v>
      </c>
      <c r="J96">
        <v>733.36405119999995</v>
      </c>
      <c r="K96">
        <v>1616789.0549999999</v>
      </c>
      <c r="L96" s="2">
        <v>1.7000000000000001E-2</v>
      </c>
      <c r="M96">
        <v>3</v>
      </c>
      <c r="N96">
        <v>1542.0432000000001</v>
      </c>
      <c r="O96" s="2">
        <v>1567.35268484675</v>
      </c>
      <c r="P96" s="2">
        <v>65455948.114194199</v>
      </c>
      <c r="Q96" s="2">
        <v>157308214.64598501</v>
      </c>
      <c r="R96" s="2">
        <v>416866768.81185901</v>
      </c>
      <c r="S96">
        <v>1584.96</v>
      </c>
      <c r="T96" s="2">
        <v>0.25</v>
      </c>
      <c r="U96">
        <v>0</v>
      </c>
    </row>
    <row r="97" spans="1:21" x14ac:dyDescent="0.25">
      <c r="A97" t="s">
        <v>109</v>
      </c>
      <c r="B97" t="s">
        <v>110</v>
      </c>
      <c r="C97">
        <v>2</v>
      </c>
      <c r="D97">
        <v>5</v>
      </c>
      <c r="E97">
        <v>10</v>
      </c>
      <c r="F97">
        <v>3110.5273029999998</v>
      </c>
      <c r="G97">
        <v>8242.8973540000006</v>
      </c>
      <c r="H97">
        <v>1294.2904109999999</v>
      </c>
      <c r="I97">
        <v>1.294290411</v>
      </c>
      <c r="J97">
        <v>1.29429E-3</v>
      </c>
      <c r="K97">
        <v>2.8534185249999999</v>
      </c>
      <c r="L97">
        <v>4.3E-3</v>
      </c>
      <c r="M97">
        <v>3.1</v>
      </c>
      <c r="N97">
        <v>58.516518140000002</v>
      </c>
      <c r="O97">
        <v>99.087082098658797</v>
      </c>
      <c r="P97">
        <v>6624.0145574934404</v>
      </c>
      <c r="Q97">
        <v>15919.285165809801</v>
      </c>
      <c r="R97">
        <v>42186.105689395801</v>
      </c>
      <c r="S97">
        <v>186</v>
      </c>
      <c r="T97">
        <v>4.5999999999999999E-2</v>
      </c>
      <c r="U97">
        <v>-6.54</v>
      </c>
    </row>
    <row r="98" spans="1:21" x14ac:dyDescent="0.25">
      <c r="A98" t="s">
        <v>99</v>
      </c>
      <c r="B98" t="s">
        <v>100</v>
      </c>
      <c r="C98">
        <v>2</v>
      </c>
      <c r="D98">
        <v>2</v>
      </c>
      <c r="E98">
        <v>4</v>
      </c>
      <c r="F98">
        <v>347.4885845</v>
      </c>
      <c r="G98">
        <v>920.84474890000001</v>
      </c>
      <c r="H98">
        <v>144.59</v>
      </c>
      <c r="I98">
        <v>0.14459</v>
      </c>
      <c r="J98">
        <v>1.4459E-4</v>
      </c>
      <c r="K98">
        <v>0.31876600599999999</v>
      </c>
      <c r="L98">
        <v>1.4999999999999999E-2</v>
      </c>
      <c r="M98">
        <v>3.1</v>
      </c>
      <c r="N98">
        <v>19.283082140000001</v>
      </c>
      <c r="O98">
        <v>20.919439523699001</v>
      </c>
      <c r="P98">
        <v>186.121437255704</v>
      </c>
      <c r="Q98">
        <v>447.29977711055898</v>
      </c>
      <c r="R98">
        <v>1185.34440934298</v>
      </c>
      <c r="S98">
        <v>42.4</v>
      </c>
      <c r="T98">
        <v>0.17</v>
      </c>
      <c r="U98">
        <v>0</v>
      </c>
    </row>
    <row r="99" spans="1:21" x14ac:dyDescent="0.25">
      <c r="A99" t="s">
        <v>97</v>
      </c>
      <c r="B99" t="s">
        <v>98</v>
      </c>
      <c r="C99">
        <v>2</v>
      </c>
      <c r="D99">
        <v>2</v>
      </c>
      <c r="E99">
        <v>4</v>
      </c>
      <c r="F99">
        <v>23420.529180000001</v>
      </c>
      <c r="G99">
        <v>62064.402329999997</v>
      </c>
      <c r="H99">
        <v>9745.2821920000006</v>
      </c>
      <c r="I99">
        <v>9.7452821919999995</v>
      </c>
      <c r="J99">
        <v>9.7452819999999992E-3</v>
      </c>
      <c r="K99">
        <v>21.484644029999998</v>
      </c>
      <c r="L99" s="2">
        <v>6.5000000000000002E-2</v>
      </c>
      <c r="M99">
        <v>3</v>
      </c>
      <c r="N99">
        <v>78.690349569999995</v>
      </c>
      <c r="O99">
        <v>22.4250251865184</v>
      </c>
      <c r="P99">
        <v>733.01384085176198</v>
      </c>
      <c r="Q99">
        <v>1761.6290335298299</v>
      </c>
      <c r="R99">
        <v>4668.31693885405</v>
      </c>
      <c r="S99">
        <v>23.6</v>
      </c>
      <c r="T99">
        <v>0.75</v>
      </c>
      <c r="U99">
        <v>0</v>
      </c>
    </row>
    <row r="100" spans="1:21" x14ac:dyDescent="0.25">
      <c r="A100" s="2" t="s">
        <v>47</v>
      </c>
      <c r="B100" t="s">
        <v>48</v>
      </c>
      <c r="C100">
        <v>2</v>
      </c>
      <c r="D100">
        <v>1</v>
      </c>
      <c r="E100">
        <v>2</v>
      </c>
      <c r="F100">
        <v>120.16342229999999</v>
      </c>
      <c r="G100">
        <v>318.43306899999999</v>
      </c>
      <c r="H100">
        <v>50.000000019029997</v>
      </c>
      <c r="I100">
        <v>5.0000000019030003E-2</v>
      </c>
      <c r="J100">
        <v>5.000000001903E-5</v>
      </c>
      <c r="K100">
        <v>0.11023100004195401</v>
      </c>
      <c r="L100" s="3">
        <v>1.23E-2</v>
      </c>
      <c r="M100" s="3">
        <v>3.2</v>
      </c>
      <c r="N100">
        <v>13.422480419128</v>
      </c>
      <c r="O100" s="2">
        <v>27.050984042335799</v>
      </c>
      <c r="P100" s="2">
        <v>470.85905826241498</v>
      </c>
      <c r="Q100" s="2">
        <v>1131.6007168046499</v>
      </c>
      <c r="R100" s="2">
        <v>2998.7418995323201</v>
      </c>
      <c r="S100" s="2">
        <v>39.200000000000003</v>
      </c>
      <c r="T100" s="2">
        <v>0.58571428571428596</v>
      </c>
      <c r="U100" s="2">
        <v>0</v>
      </c>
    </row>
    <row r="101" spans="1:21" x14ac:dyDescent="0.25">
      <c r="A101" t="s">
        <v>103</v>
      </c>
      <c r="B101" t="s">
        <v>104</v>
      </c>
      <c r="C101">
        <v>2</v>
      </c>
      <c r="D101">
        <v>1</v>
      </c>
      <c r="E101">
        <v>2</v>
      </c>
      <c r="F101">
        <v>101.2496996</v>
      </c>
      <c r="G101">
        <v>268.31170400000002</v>
      </c>
      <c r="H101">
        <v>42.13</v>
      </c>
      <c r="I101">
        <v>4.2130000000000001E-2</v>
      </c>
      <c r="J101">
        <v>4.21E-5</v>
      </c>
      <c r="K101">
        <v>9.2880641E-2</v>
      </c>
      <c r="L101">
        <v>1.2999999999999999E-2</v>
      </c>
      <c r="M101">
        <v>2.8</v>
      </c>
      <c r="N101">
        <v>17.93919271</v>
      </c>
      <c r="O101">
        <v>19.771968274954599</v>
      </c>
      <c r="P101">
        <v>55.320116515163498</v>
      </c>
      <c r="Q101">
        <v>132.949090399336</v>
      </c>
      <c r="R101">
        <v>352.31508955823898</v>
      </c>
      <c r="S101">
        <v>65.400000000000006</v>
      </c>
      <c r="T101">
        <v>0.18</v>
      </c>
      <c r="U101">
        <v>0</v>
      </c>
    </row>
    <row r="102" spans="1:21" x14ac:dyDescent="0.25">
      <c r="A102" s="2" t="s">
        <v>105</v>
      </c>
      <c r="B102" t="s">
        <v>106</v>
      </c>
      <c r="C102">
        <v>2</v>
      </c>
      <c r="D102">
        <v>3</v>
      </c>
      <c r="E102">
        <v>6</v>
      </c>
      <c r="F102">
        <v>1200</v>
      </c>
      <c r="G102">
        <v>3180</v>
      </c>
      <c r="H102">
        <v>499.32</v>
      </c>
      <c r="I102">
        <v>0.49931999999999999</v>
      </c>
      <c r="J102">
        <v>4.9932000000000004E-4</v>
      </c>
      <c r="K102">
        <v>1.10050128</v>
      </c>
      <c r="L102" s="3">
        <v>1.2699999999999999E-2</v>
      </c>
      <c r="M102" s="3">
        <v>3.1</v>
      </c>
      <c r="N102">
        <v>30.347369004339502</v>
      </c>
      <c r="O102" s="2">
        <v>71.705825304169807</v>
      </c>
      <c r="P102" s="2">
        <v>7178.31448404197</v>
      </c>
      <c r="Q102" s="2">
        <v>17251.416688396999</v>
      </c>
      <c r="R102" s="2">
        <v>45716.254224251898</v>
      </c>
      <c r="S102">
        <v>109.97499999999999</v>
      </c>
      <c r="T102">
        <v>0.14749999999999999</v>
      </c>
      <c r="U102">
        <v>-1.1566666666666701</v>
      </c>
    </row>
    <row r="103" spans="1:21" x14ac:dyDescent="0.25">
      <c r="A103" t="s">
        <v>115</v>
      </c>
      <c r="B103" t="s">
        <v>116</v>
      </c>
      <c r="C103">
        <v>2</v>
      </c>
      <c r="D103">
        <v>7</v>
      </c>
      <c r="E103">
        <v>14</v>
      </c>
      <c r="F103">
        <v>9222421.4670000002</v>
      </c>
      <c r="G103">
        <v>24439416.890000001</v>
      </c>
      <c r="H103">
        <v>3837449.5720000002</v>
      </c>
      <c r="I103">
        <v>3837.449572</v>
      </c>
      <c r="J103">
        <v>3.8374495720000001</v>
      </c>
      <c r="K103">
        <v>8460.1180760000007</v>
      </c>
      <c r="L103" s="2">
        <v>1.4999999999999999E-2</v>
      </c>
      <c r="M103">
        <v>3</v>
      </c>
      <c r="N103">
        <v>726.6872836</v>
      </c>
      <c r="O103" s="2">
        <v>263.57295513348203</v>
      </c>
      <c r="P103" s="2">
        <v>274658.97599979601</v>
      </c>
      <c r="Q103" s="2">
        <v>660079.25017975504</v>
      </c>
      <c r="R103" s="2">
        <v>1749210.01297635</v>
      </c>
      <c r="S103">
        <v>271.77999999999997</v>
      </c>
      <c r="T103">
        <v>0.25</v>
      </c>
      <c r="U103">
        <v>0</v>
      </c>
    </row>
    <row r="104" spans="1:21" x14ac:dyDescent="0.25">
      <c r="A104" t="s">
        <v>107</v>
      </c>
      <c r="B104" t="s">
        <v>108</v>
      </c>
      <c r="C104">
        <v>2</v>
      </c>
      <c r="D104">
        <v>5</v>
      </c>
      <c r="E104">
        <v>10</v>
      </c>
      <c r="F104">
        <v>3110.5273029999998</v>
      </c>
      <c r="G104">
        <v>8242.8973540000006</v>
      </c>
      <c r="H104">
        <v>1294.2904109999999</v>
      </c>
      <c r="I104">
        <v>1.294290411</v>
      </c>
      <c r="J104">
        <v>1.29429E-3</v>
      </c>
      <c r="K104">
        <v>2.8534185249999999</v>
      </c>
      <c r="L104">
        <v>3.5999999999999999E-3</v>
      </c>
      <c r="M104">
        <v>3</v>
      </c>
      <c r="N104">
        <v>71.106572349999993</v>
      </c>
      <c r="O104">
        <v>70.222995872705098</v>
      </c>
      <c r="P104">
        <v>1246.63857523617</v>
      </c>
      <c r="Q104">
        <v>2996.0071502912001</v>
      </c>
      <c r="R104">
        <v>7939.4189482716802</v>
      </c>
      <c r="S104">
        <v>150</v>
      </c>
      <c r="T104">
        <v>4.1000000000000002E-2</v>
      </c>
      <c r="U104">
        <v>-5.4</v>
      </c>
    </row>
    <row r="105" spans="1:21" x14ac:dyDescent="0.25">
      <c r="A105" t="s">
        <v>41</v>
      </c>
      <c r="B105" t="s">
        <v>42</v>
      </c>
      <c r="C105">
        <v>2</v>
      </c>
      <c r="D105">
        <v>4</v>
      </c>
      <c r="E105">
        <v>8</v>
      </c>
      <c r="F105">
        <v>1944.8301750000001</v>
      </c>
      <c r="G105">
        <v>5153.7999630000004</v>
      </c>
      <c r="H105">
        <v>809.24383580000006</v>
      </c>
      <c r="I105">
        <v>0.80924383600000005</v>
      </c>
      <c r="J105">
        <v>8.0924399999999998E-4</v>
      </c>
      <c r="K105">
        <v>1.7840751450000001</v>
      </c>
      <c r="L105">
        <v>1.34E-2</v>
      </c>
      <c r="M105">
        <v>3.1</v>
      </c>
      <c r="N105">
        <v>34.853778869999999</v>
      </c>
      <c r="O105">
        <v>58.346808971640797</v>
      </c>
      <c r="P105">
        <v>3997.2180213995698</v>
      </c>
      <c r="Q105">
        <v>9606.3879389559406</v>
      </c>
      <c r="R105">
        <v>25456.9280382332</v>
      </c>
      <c r="S105">
        <v>91.5</v>
      </c>
      <c r="T105">
        <v>0.12690000000000001</v>
      </c>
      <c r="U105">
        <v>0</v>
      </c>
    </row>
    <row r="106" spans="1:21" x14ac:dyDescent="0.25">
      <c r="A106" t="s">
        <v>111</v>
      </c>
      <c r="B106" t="s">
        <v>112</v>
      </c>
      <c r="C106">
        <v>2</v>
      </c>
      <c r="D106">
        <v>2</v>
      </c>
      <c r="E106">
        <v>4</v>
      </c>
      <c r="F106">
        <v>347.4885845</v>
      </c>
      <c r="G106">
        <v>920.84474890000001</v>
      </c>
      <c r="H106">
        <v>144.59</v>
      </c>
      <c r="I106">
        <v>0.14459</v>
      </c>
      <c r="J106">
        <v>1.4459E-4</v>
      </c>
      <c r="K106">
        <v>0.31876600599999999</v>
      </c>
      <c r="L106">
        <v>1.2200000000000001E-2</v>
      </c>
      <c r="M106">
        <v>2.9</v>
      </c>
      <c r="N106">
        <v>25.39517335</v>
      </c>
      <c r="O106">
        <v>65.835108956368501</v>
      </c>
      <c r="P106">
        <v>2290.2703502839599</v>
      </c>
      <c r="Q106">
        <v>5504.1344635519499</v>
      </c>
      <c r="R106">
        <v>14585.9563284127</v>
      </c>
      <c r="S106">
        <v>98.7</v>
      </c>
      <c r="T106">
        <v>0.158</v>
      </c>
      <c r="U106">
        <v>-2.96</v>
      </c>
    </row>
    <row r="107" spans="1:21" x14ac:dyDescent="0.25">
      <c r="A107" t="s">
        <v>113</v>
      </c>
      <c r="B107" t="s">
        <v>114</v>
      </c>
      <c r="C107">
        <v>2</v>
      </c>
      <c r="D107">
        <v>2</v>
      </c>
      <c r="E107">
        <v>4</v>
      </c>
      <c r="F107">
        <v>1129.488104</v>
      </c>
      <c r="G107">
        <v>2993.143474</v>
      </c>
      <c r="H107">
        <v>469.98000009999998</v>
      </c>
      <c r="I107">
        <v>0.46998000000000001</v>
      </c>
      <c r="J107">
        <v>4.6998E-4</v>
      </c>
      <c r="K107">
        <v>1.036127308</v>
      </c>
      <c r="L107">
        <v>1.2E-2</v>
      </c>
      <c r="M107">
        <v>3.05</v>
      </c>
      <c r="N107">
        <v>32.052967240000001</v>
      </c>
      <c r="O107">
        <v>49.550377128905403</v>
      </c>
      <c r="P107">
        <v>1774.4938030754399</v>
      </c>
      <c r="Q107">
        <v>4264.5849629306304</v>
      </c>
      <c r="R107">
        <v>11301.1501517662</v>
      </c>
      <c r="S107">
        <v>85.9</v>
      </c>
      <c r="T107">
        <v>0.215</v>
      </c>
      <c r="U107">
        <v>0</v>
      </c>
    </row>
    <row r="108" spans="1:21" x14ac:dyDescent="0.25">
      <c r="A108" t="s">
        <v>117</v>
      </c>
      <c r="B108" t="s">
        <v>118</v>
      </c>
      <c r="C108">
        <v>2</v>
      </c>
      <c r="D108">
        <v>2</v>
      </c>
      <c r="E108">
        <v>4</v>
      </c>
      <c r="F108">
        <v>347.4885845</v>
      </c>
      <c r="G108">
        <v>920.84474890000001</v>
      </c>
      <c r="H108">
        <v>144.59</v>
      </c>
      <c r="I108">
        <v>0.14459</v>
      </c>
      <c r="J108">
        <v>1.4459E-4</v>
      </c>
      <c r="K108">
        <v>0.31876600599999999</v>
      </c>
      <c r="L108">
        <v>1.4999999999999999E-2</v>
      </c>
      <c r="M108">
        <v>3</v>
      </c>
      <c r="N108">
        <v>21.282158150000001</v>
      </c>
      <c r="O108">
        <v>24.132572630191198</v>
      </c>
      <c r="P108">
        <v>210.81529906747201</v>
      </c>
      <c r="Q108">
        <v>506.64575599007998</v>
      </c>
      <c r="R108">
        <v>1342.61125337371</v>
      </c>
      <c r="S108">
        <v>73.2</v>
      </c>
      <c r="T108">
        <v>0.1</v>
      </c>
      <c r="U108">
        <v>0</v>
      </c>
    </row>
    <row r="109" spans="1:21" x14ac:dyDescent="0.25">
      <c r="A109" t="s">
        <v>123</v>
      </c>
      <c r="B109" t="s">
        <v>124</v>
      </c>
      <c r="C109">
        <v>2</v>
      </c>
      <c r="D109">
        <v>2</v>
      </c>
      <c r="E109">
        <v>4</v>
      </c>
      <c r="F109">
        <v>347.4885845</v>
      </c>
      <c r="G109">
        <v>920.84474890000001</v>
      </c>
      <c r="H109">
        <v>144.59</v>
      </c>
      <c r="I109">
        <v>0.14459</v>
      </c>
      <c r="J109">
        <v>1.4459E-4</v>
      </c>
      <c r="K109">
        <v>0.31876600599999999</v>
      </c>
      <c r="L109">
        <v>9.4999999999999998E-3</v>
      </c>
      <c r="M109">
        <v>3.1</v>
      </c>
      <c r="N109">
        <v>22.344262090000001</v>
      </c>
      <c r="O109">
        <v>43.093605776775398</v>
      </c>
      <c r="P109">
        <v>1107.6521425180999</v>
      </c>
      <c r="Q109">
        <v>2661.9854422448898</v>
      </c>
      <c r="R109">
        <v>7054.2614219489697</v>
      </c>
      <c r="S109">
        <v>111</v>
      </c>
      <c r="T109">
        <v>0.13</v>
      </c>
      <c r="U109">
        <v>0.22</v>
      </c>
    </row>
    <row r="110" spans="1:21" x14ac:dyDescent="0.25">
      <c r="A110" t="s">
        <v>121</v>
      </c>
      <c r="B110" t="s">
        <v>122</v>
      </c>
      <c r="C110">
        <v>2</v>
      </c>
      <c r="D110">
        <v>7</v>
      </c>
      <c r="E110">
        <v>14</v>
      </c>
      <c r="F110">
        <v>9222421.4670000002</v>
      </c>
      <c r="G110">
        <v>24439416.890000001</v>
      </c>
      <c r="H110">
        <v>3837449.5720000002</v>
      </c>
      <c r="I110">
        <v>3837.449572</v>
      </c>
      <c r="J110">
        <v>3.8374495720000001</v>
      </c>
      <c r="K110">
        <v>8460.1180760000007</v>
      </c>
      <c r="L110" s="2">
        <v>1E-3</v>
      </c>
      <c r="M110">
        <v>3</v>
      </c>
      <c r="N110">
        <v>726.6872836</v>
      </c>
      <c r="O110" s="2">
        <v>2536.7708923392402</v>
      </c>
      <c r="P110" s="2">
        <v>16324644.688155601</v>
      </c>
      <c r="Q110" s="2">
        <v>39232503.456274003</v>
      </c>
      <c r="R110" s="2">
        <v>103966134.159126</v>
      </c>
      <c r="S110">
        <v>2615.7600000000002</v>
      </c>
      <c r="T110">
        <v>0.25</v>
      </c>
      <c r="U110">
        <v>0</v>
      </c>
    </row>
    <row r="111" spans="1:21" x14ac:dyDescent="0.25">
      <c r="A111" t="s">
        <v>119</v>
      </c>
      <c r="B111" t="s">
        <v>120</v>
      </c>
      <c r="C111">
        <v>2</v>
      </c>
      <c r="D111">
        <v>3</v>
      </c>
      <c r="E111">
        <v>6</v>
      </c>
      <c r="F111">
        <v>67705.010320000001</v>
      </c>
      <c r="G111">
        <v>179418.27739999999</v>
      </c>
      <c r="H111">
        <v>28172.054789999998</v>
      </c>
      <c r="I111">
        <v>28.172054790000001</v>
      </c>
      <c r="J111">
        <v>2.8172055000000001E-2</v>
      </c>
      <c r="K111">
        <v>62.108675439999999</v>
      </c>
      <c r="L111">
        <v>2.1399999999999999E-2</v>
      </c>
      <c r="M111">
        <v>2.96</v>
      </c>
      <c r="N111">
        <v>116.779462</v>
      </c>
      <c r="O111" s="2">
        <v>103.919288910812</v>
      </c>
      <c r="P111" s="2">
        <v>19945.0176823855</v>
      </c>
      <c r="Q111" s="2">
        <v>47933.231632745599</v>
      </c>
      <c r="R111" s="2">
        <v>127023.06382677599</v>
      </c>
      <c r="S111">
        <v>133.76666666666699</v>
      </c>
      <c r="T111">
        <v>0.3</v>
      </c>
      <c r="U111">
        <v>1</v>
      </c>
    </row>
    <row r="112" spans="1:21" x14ac:dyDescent="0.25">
      <c r="A112" t="s">
        <v>89</v>
      </c>
      <c r="B112" t="s">
        <v>90</v>
      </c>
      <c r="C112">
        <v>2</v>
      </c>
      <c r="D112">
        <v>8</v>
      </c>
      <c r="E112">
        <v>16</v>
      </c>
      <c r="F112">
        <v>12000</v>
      </c>
      <c r="G112">
        <v>32000</v>
      </c>
      <c r="H112">
        <v>4993.2</v>
      </c>
      <c r="I112">
        <v>4.9931999999999999</v>
      </c>
      <c r="J112">
        <v>4.9931999999999997E-3</v>
      </c>
      <c r="K112">
        <v>11.00810858</v>
      </c>
      <c r="L112" s="2">
        <v>0.05</v>
      </c>
      <c r="M112" s="2">
        <v>3.2</v>
      </c>
      <c r="N112">
        <v>107.3627072</v>
      </c>
      <c r="O112">
        <v>108.832472130813</v>
      </c>
      <c r="P112">
        <v>2578.1339538074799</v>
      </c>
      <c r="Q112">
        <v>6195.9479783885499</v>
      </c>
      <c r="R112">
        <v>16419.262142729702</v>
      </c>
      <c r="S112">
        <v>114.3</v>
      </c>
      <c r="T112">
        <v>0.19</v>
      </c>
      <c r="U112">
        <v>0</v>
      </c>
    </row>
    <row r="113" spans="1:21" x14ac:dyDescent="0.25">
      <c r="A113" t="s">
        <v>125</v>
      </c>
      <c r="B113" t="s">
        <v>126</v>
      </c>
      <c r="C113">
        <v>2</v>
      </c>
      <c r="D113">
        <v>1</v>
      </c>
      <c r="E113">
        <v>2</v>
      </c>
      <c r="F113">
        <v>253.3044941</v>
      </c>
      <c r="G113">
        <v>671.25690940000004</v>
      </c>
      <c r="H113">
        <v>105.4</v>
      </c>
      <c r="I113">
        <v>0.10539999999999999</v>
      </c>
      <c r="J113">
        <v>1.054E-4</v>
      </c>
      <c r="K113">
        <v>0.23236694799999999</v>
      </c>
      <c r="L113">
        <v>1.4999999999999999E-2</v>
      </c>
      <c r="M113">
        <v>2.9</v>
      </c>
      <c r="N113">
        <v>21.206319180000001</v>
      </c>
      <c r="O113">
        <v>24.652617581394502</v>
      </c>
      <c r="P113">
        <v>163.11506433652201</v>
      </c>
      <c r="Q113">
        <v>392.00928703802498</v>
      </c>
      <c r="R113">
        <v>1038.82461065077</v>
      </c>
      <c r="S113">
        <v>136</v>
      </c>
      <c r="T113">
        <v>0.1</v>
      </c>
      <c r="U113">
        <v>0</v>
      </c>
    </row>
    <row r="114" spans="1:21" x14ac:dyDescent="0.25">
      <c r="A114" t="s">
        <v>131</v>
      </c>
      <c r="B114" t="s">
        <v>132</v>
      </c>
      <c r="C114">
        <v>2</v>
      </c>
      <c r="D114">
        <v>2</v>
      </c>
      <c r="E114">
        <v>4</v>
      </c>
      <c r="F114">
        <v>1129.488104</v>
      </c>
      <c r="G114">
        <v>2993.143474</v>
      </c>
      <c r="H114">
        <v>469.98000009999998</v>
      </c>
      <c r="I114">
        <v>0.46998000000000001</v>
      </c>
      <c r="J114">
        <v>4.6998E-4</v>
      </c>
      <c r="K114">
        <v>1.036127308</v>
      </c>
      <c r="L114">
        <v>1.4E-2</v>
      </c>
      <c r="M114">
        <v>2.9</v>
      </c>
      <c r="N114">
        <v>36.364102760000002</v>
      </c>
      <c r="O114">
        <v>25.165666339843</v>
      </c>
      <c r="P114">
        <v>161.61158694284299</v>
      </c>
      <c r="Q114">
        <v>388.39602725989698</v>
      </c>
      <c r="R114">
        <v>1029.24947223873</v>
      </c>
      <c r="S114">
        <v>45.7</v>
      </c>
      <c r="T114">
        <v>0.2</v>
      </c>
      <c r="U114">
        <v>0</v>
      </c>
    </row>
    <row r="115" spans="1:21" x14ac:dyDescent="0.25">
      <c r="A115" t="s">
        <v>133</v>
      </c>
      <c r="B115" t="s">
        <v>134</v>
      </c>
      <c r="C115">
        <v>2</v>
      </c>
      <c r="D115">
        <v>3</v>
      </c>
      <c r="E115">
        <v>6</v>
      </c>
      <c r="F115">
        <v>1200</v>
      </c>
      <c r="G115">
        <v>3180</v>
      </c>
      <c r="H115">
        <v>499.32</v>
      </c>
      <c r="I115">
        <v>0.49931999999999999</v>
      </c>
      <c r="J115">
        <v>4.9932000000000004E-4</v>
      </c>
      <c r="K115">
        <v>1.100810858</v>
      </c>
      <c r="L115">
        <v>1.2699999999999999E-2</v>
      </c>
      <c r="M115">
        <v>3.1</v>
      </c>
      <c r="N115">
        <v>30.347369</v>
      </c>
      <c r="O115">
        <v>51.435473485281001</v>
      </c>
      <c r="P115">
        <v>2562.8206892267699</v>
      </c>
      <c r="Q115">
        <v>6159.1460928305096</v>
      </c>
      <c r="R115">
        <v>16321.7371460008</v>
      </c>
      <c r="S115">
        <v>114</v>
      </c>
      <c r="T115">
        <v>0.1</v>
      </c>
      <c r="U115">
        <v>0</v>
      </c>
    </row>
    <row r="116" spans="1:21" x14ac:dyDescent="0.25">
      <c r="A116" t="s">
        <v>127</v>
      </c>
      <c r="B116" t="s">
        <v>128</v>
      </c>
      <c r="C116">
        <v>2</v>
      </c>
      <c r="D116">
        <v>2</v>
      </c>
      <c r="E116">
        <v>4</v>
      </c>
      <c r="F116">
        <v>1129.488104</v>
      </c>
      <c r="G116">
        <v>2993.143474</v>
      </c>
      <c r="H116">
        <v>469.98000009999998</v>
      </c>
      <c r="I116">
        <v>0.46998000000000001</v>
      </c>
      <c r="J116">
        <v>4.6998E-4</v>
      </c>
      <c r="K116">
        <v>1.036127308</v>
      </c>
      <c r="L116">
        <v>1.4E-2</v>
      </c>
      <c r="M116">
        <v>3</v>
      </c>
      <c r="N116">
        <v>32.258966319999999</v>
      </c>
      <c r="O116">
        <v>44.4771458832234</v>
      </c>
      <c r="P116">
        <v>1231.7959377121299</v>
      </c>
      <c r="Q116">
        <v>2960.3363078878301</v>
      </c>
      <c r="R116">
        <v>7844.8912159027605</v>
      </c>
      <c r="S116">
        <v>62.2</v>
      </c>
      <c r="T116">
        <v>0.31</v>
      </c>
      <c r="U116">
        <v>-0.05</v>
      </c>
    </row>
    <row r="117" spans="1:21" x14ac:dyDescent="0.25">
      <c r="A117" t="s">
        <v>135</v>
      </c>
      <c r="B117" t="s">
        <v>136</v>
      </c>
      <c r="C117">
        <v>2</v>
      </c>
      <c r="D117">
        <v>2</v>
      </c>
      <c r="E117">
        <v>4</v>
      </c>
      <c r="F117">
        <v>1129.488104</v>
      </c>
      <c r="G117">
        <v>2993.143474</v>
      </c>
      <c r="H117">
        <v>469.98000009999998</v>
      </c>
      <c r="I117">
        <v>0.46998000000000001</v>
      </c>
      <c r="J117">
        <v>4.6998E-4</v>
      </c>
      <c r="K117">
        <v>1.036127308</v>
      </c>
      <c r="L117">
        <v>1.2E-2</v>
      </c>
      <c r="M117">
        <v>3</v>
      </c>
      <c r="N117">
        <v>33.959871919999998</v>
      </c>
      <c r="O117">
        <v>19.7830948957881</v>
      </c>
      <c r="P117">
        <v>92.910318473838302</v>
      </c>
      <c r="Q117">
        <v>223.28843661100299</v>
      </c>
      <c r="R117">
        <v>591.71435701915698</v>
      </c>
      <c r="S117">
        <v>60.5</v>
      </c>
      <c r="T117">
        <v>9.9000000000000005E-2</v>
      </c>
      <c r="U117">
        <v>0</v>
      </c>
    </row>
    <row r="118" spans="1:21" x14ac:dyDescent="0.25">
      <c r="A118" t="s">
        <v>129</v>
      </c>
      <c r="B118" t="s">
        <v>130</v>
      </c>
      <c r="C118">
        <v>2</v>
      </c>
      <c r="D118">
        <v>2</v>
      </c>
      <c r="E118">
        <v>4</v>
      </c>
      <c r="F118">
        <v>347.4885845</v>
      </c>
      <c r="G118">
        <v>920.84474890000001</v>
      </c>
      <c r="H118">
        <v>144.59</v>
      </c>
      <c r="I118">
        <v>0.14459</v>
      </c>
      <c r="J118">
        <v>1.4459E-4</v>
      </c>
      <c r="K118">
        <v>0.31876600599999999</v>
      </c>
      <c r="L118">
        <v>1.2500000000000001E-2</v>
      </c>
      <c r="M118">
        <v>2.88</v>
      </c>
      <c r="N118">
        <v>25.753908039999999</v>
      </c>
      <c r="O118">
        <v>24.967290639377001</v>
      </c>
      <c r="P118">
        <v>132.232952044819</v>
      </c>
      <c r="Q118">
        <v>317.79128104979299</v>
      </c>
      <c r="R118">
        <v>842.14689478195305</v>
      </c>
      <c r="S118">
        <v>158</v>
      </c>
      <c r="T118">
        <v>4.2999999999999997E-2</v>
      </c>
      <c r="U118">
        <v>0</v>
      </c>
    </row>
    <row r="119" spans="1:21" x14ac:dyDescent="0.25">
      <c r="A119" t="s">
        <v>137</v>
      </c>
      <c r="B119" t="s">
        <v>138</v>
      </c>
      <c r="C119">
        <v>2</v>
      </c>
      <c r="D119">
        <v>1</v>
      </c>
      <c r="E119">
        <v>2</v>
      </c>
      <c r="F119">
        <v>236.0009613</v>
      </c>
      <c r="G119">
        <v>625.40254749999997</v>
      </c>
      <c r="H119">
        <v>98.2</v>
      </c>
      <c r="I119">
        <v>9.8199999999999996E-2</v>
      </c>
      <c r="J119">
        <v>9.8200000000000002E-5</v>
      </c>
      <c r="K119">
        <v>0.21649368399999999</v>
      </c>
      <c r="L119">
        <v>1.2500000000000001E-2</v>
      </c>
      <c r="M119">
        <v>2.82</v>
      </c>
      <c r="N119">
        <v>24.058974880000001</v>
      </c>
      <c r="O119">
        <v>24.414571110672899</v>
      </c>
      <c r="P119">
        <v>102.348262303053</v>
      </c>
      <c r="Q119">
        <v>245.970349202243</v>
      </c>
      <c r="R119">
        <v>651.82142538594405</v>
      </c>
      <c r="S119">
        <v>50</v>
      </c>
      <c r="T119">
        <v>0.33500000000000002</v>
      </c>
      <c r="U119">
        <v>0</v>
      </c>
    </row>
    <row r="120" spans="1:21" x14ac:dyDescent="0.25">
      <c r="A120" t="s">
        <v>21</v>
      </c>
      <c r="B120" t="s">
        <v>22</v>
      </c>
      <c r="C120">
        <v>3</v>
      </c>
      <c r="D120">
        <v>1</v>
      </c>
      <c r="E120">
        <v>3</v>
      </c>
      <c r="F120">
        <v>123.02331169999999</v>
      </c>
      <c r="G120">
        <v>326.011776</v>
      </c>
      <c r="H120">
        <v>51.19</v>
      </c>
      <c r="I120">
        <v>5.1189999999999999E-2</v>
      </c>
      <c r="J120">
        <v>5.1199999999999998E-5</v>
      </c>
      <c r="K120">
        <v>0.112854498</v>
      </c>
      <c r="L120">
        <v>1.6E-2</v>
      </c>
      <c r="M120">
        <v>3</v>
      </c>
      <c r="N120">
        <v>14.735166550000001</v>
      </c>
      <c r="O120">
        <v>8.2529370351460702</v>
      </c>
      <c r="P120">
        <v>8.9938487101930598</v>
      </c>
      <c r="Q120">
        <v>21.614632805078202</v>
      </c>
      <c r="R120">
        <v>57.278776933457301</v>
      </c>
      <c r="S120">
        <v>13.8</v>
      </c>
      <c r="T120">
        <v>0.21</v>
      </c>
      <c r="U120">
        <v>-1.34</v>
      </c>
    </row>
    <row r="121" spans="1:21" x14ac:dyDescent="0.25">
      <c r="A121" t="s">
        <v>95</v>
      </c>
      <c r="B121" s="2" t="s">
        <v>96</v>
      </c>
      <c r="C121">
        <v>3</v>
      </c>
      <c r="D121">
        <v>2</v>
      </c>
      <c r="E121">
        <v>6</v>
      </c>
      <c r="F121">
        <v>732.42009129999997</v>
      </c>
      <c r="G121">
        <v>1940.9132420000001</v>
      </c>
      <c r="H121">
        <v>304.76</v>
      </c>
      <c r="I121">
        <v>0.30475999999999998</v>
      </c>
      <c r="J121">
        <v>3.0476E-4</v>
      </c>
      <c r="K121">
        <v>0.67187999099999995</v>
      </c>
      <c r="L121">
        <v>0.01</v>
      </c>
      <c r="M121">
        <v>3</v>
      </c>
      <c r="N121">
        <v>28.262336659999999</v>
      </c>
      <c r="O121">
        <v>95.037587179940502</v>
      </c>
      <c r="P121">
        <v>11588.306520557901</v>
      </c>
      <c r="Q121">
        <v>27849.811392833199</v>
      </c>
      <c r="R121">
        <v>73802.000191007901</v>
      </c>
      <c r="S121">
        <v>136</v>
      </c>
      <c r="T121">
        <v>0.2</v>
      </c>
      <c r="U121">
        <v>0</v>
      </c>
    </row>
    <row r="122" spans="1:21" x14ac:dyDescent="0.25">
      <c r="A122" t="s">
        <v>101</v>
      </c>
      <c r="B122" t="s">
        <v>102</v>
      </c>
      <c r="C122">
        <v>3</v>
      </c>
      <c r="D122">
        <v>2</v>
      </c>
      <c r="E122">
        <v>6</v>
      </c>
      <c r="F122">
        <v>732.42009129999997</v>
      </c>
      <c r="G122">
        <v>1940.9132420000001</v>
      </c>
      <c r="H122">
        <v>304.76</v>
      </c>
      <c r="I122">
        <v>0.30475999999999998</v>
      </c>
      <c r="J122">
        <v>3.0476E-4</v>
      </c>
      <c r="K122">
        <v>0.67187999099999995</v>
      </c>
      <c r="L122">
        <v>1.2E-2</v>
      </c>
      <c r="M122">
        <v>3.1</v>
      </c>
      <c r="N122">
        <v>26.35698417</v>
      </c>
      <c r="O122" s="2">
        <v>54.686210356893497</v>
      </c>
      <c r="P122" s="2">
        <v>2928.2119927871399</v>
      </c>
      <c r="Q122" s="2">
        <v>7037.2794827857397</v>
      </c>
      <c r="R122" s="2">
        <v>18648.790629382202</v>
      </c>
      <c r="S122">
        <v>150.03333333333299</v>
      </c>
      <c r="T122">
        <v>0.11333333333333299</v>
      </c>
      <c r="U122">
        <v>2</v>
      </c>
    </row>
    <row r="123" spans="1:21" x14ac:dyDescent="0.25">
      <c r="A123" t="s">
        <v>37</v>
      </c>
      <c r="B123" t="s">
        <v>38</v>
      </c>
      <c r="C123">
        <v>3</v>
      </c>
      <c r="D123">
        <v>9</v>
      </c>
      <c r="E123">
        <v>27</v>
      </c>
      <c r="F123">
        <v>1772157205</v>
      </c>
      <c r="G123">
        <v>4696216593</v>
      </c>
      <c r="H123">
        <v>737394613</v>
      </c>
      <c r="I123">
        <v>737394.61300000001</v>
      </c>
      <c r="J123">
        <v>737.39461300000005</v>
      </c>
      <c r="K123">
        <v>1625674.912</v>
      </c>
      <c r="L123" s="2">
        <v>6.0000000000000001E-3</v>
      </c>
      <c r="M123">
        <v>3</v>
      </c>
      <c r="N123">
        <v>1544.863059</v>
      </c>
      <c r="O123" s="2">
        <v>2097.35722336443</v>
      </c>
      <c r="P123" s="2">
        <v>55356480.285264499</v>
      </c>
      <c r="Q123" s="2">
        <v>133036482.30056401</v>
      </c>
      <c r="R123" s="2">
        <v>352546678.09649402</v>
      </c>
      <c r="S123" s="2">
        <v>2097.36</v>
      </c>
      <c r="T123" s="2">
        <v>0.5</v>
      </c>
      <c r="U123" s="2">
        <v>0</v>
      </c>
    </row>
    <row r="124" spans="1:21" x14ac:dyDescent="0.25">
      <c r="A124" s="2" t="s">
        <v>31</v>
      </c>
      <c r="B124" t="s">
        <v>32</v>
      </c>
      <c r="C124">
        <v>3</v>
      </c>
      <c r="D124">
        <v>1</v>
      </c>
      <c r="E124">
        <v>3</v>
      </c>
      <c r="F124">
        <v>123.02331169999999</v>
      </c>
      <c r="G124">
        <v>326.011776</v>
      </c>
      <c r="H124">
        <v>51.189999998369998</v>
      </c>
      <c r="I124">
        <v>5.1189999998369998E-2</v>
      </c>
      <c r="J124">
        <v>5.118999999837E-5</v>
      </c>
      <c r="K124">
        <v>0.11285449779640599</v>
      </c>
      <c r="L124" s="3">
        <v>1.1599999999999999E-2</v>
      </c>
      <c r="M124" s="3">
        <v>3</v>
      </c>
      <c r="N124">
        <v>16.402462244751302</v>
      </c>
      <c r="O124" s="2">
        <v>27.361751747397399</v>
      </c>
      <c r="P124" s="2">
        <v>237.62366170011001</v>
      </c>
      <c r="Q124" s="2">
        <v>571.07344796950395</v>
      </c>
      <c r="R124" s="2">
        <v>1513.3446371191801</v>
      </c>
      <c r="S124" s="2">
        <v>29.1726666666667</v>
      </c>
      <c r="T124" s="2">
        <v>0.92646666666666699</v>
      </c>
      <c r="U124" s="2">
        <v>0</v>
      </c>
    </row>
    <row r="125" spans="1:21" x14ac:dyDescent="0.25">
      <c r="A125" t="s">
        <v>25</v>
      </c>
      <c r="B125" t="s">
        <v>26</v>
      </c>
      <c r="C125">
        <v>3</v>
      </c>
      <c r="D125">
        <v>3</v>
      </c>
      <c r="E125">
        <v>9</v>
      </c>
      <c r="F125">
        <v>124433.10189999999</v>
      </c>
      <c r="G125">
        <v>329747.71999999997</v>
      </c>
      <c r="H125">
        <v>51776.613700000002</v>
      </c>
      <c r="I125">
        <v>51.776613699999999</v>
      </c>
      <c r="J125">
        <v>5.1776613999999999E-2</v>
      </c>
      <c r="K125">
        <v>114.1477581</v>
      </c>
      <c r="L125">
        <v>2.1399999999999999E-2</v>
      </c>
      <c r="M125">
        <v>2.96</v>
      </c>
      <c r="N125">
        <v>143.43730550000001</v>
      </c>
      <c r="O125">
        <v>171.54177454160001</v>
      </c>
      <c r="P125">
        <v>87932.348526784801</v>
      </c>
      <c r="Q125">
        <v>211325.03851666601</v>
      </c>
      <c r="R125">
        <v>560011.35206916498</v>
      </c>
      <c r="S125">
        <v>358.7</v>
      </c>
      <c r="T125">
        <v>9.1999999999999998E-2</v>
      </c>
      <c r="U125">
        <v>-1.929</v>
      </c>
    </row>
    <row r="126" spans="1:21" x14ac:dyDescent="0.25">
      <c r="A126" t="s">
        <v>33</v>
      </c>
      <c r="B126" t="s">
        <v>34</v>
      </c>
      <c r="C126">
        <v>3</v>
      </c>
      <c r="D126">
        <v>2</v>
      </c>
      <c r="E126">
        <v>6</v>
      </c>
      <c r="F126">
        <v>732.42009129999997</v>
      </c>
      <c r="G126">
        <v>1940.9132420000001</v>
      </c>
      <c r="H126">
        <v>304.76</v>
      </c>
      <c r="I126">
        <v>0.30475999999999998</v>
      </c>
      <c r="J126">
        <v>3.0476E-4</v>
      </c>
      <c r="K126">
        <v>0.67187999099999995</v>
      </c>
      <c r="L126">
        <v>1.4999999999999999E-2</v>
      </c>
      <c r="M126">
        <v>3</v>
      </c>
      <c r="N126">
        <v>27.286986030000001</v>
      </c>
      <c r="O126">
        <v>42.432625990304899</v>
      </c>
      <c r="P126">
        <v>1146.0168080164101</v>
      </c>
      <c r="Q126">
        <v>2754.1860322432399</v>
      </c>
      <c r="R126">
        <v>7298.5929854445803</v>
      </c>
      <c r="S126" s="4">
        <v>58.9</v>
      </c>
      <c r="T126" s="4">
        <v>0.22</v>
      </c>
      <c r="U126" s="4">
        <v>0.20699999999999999</v>
      </c>
    </row>
    <row r="127" spans="1:21" x14ac:dyDescent="0.25">
      <c r="A127" t="s">
        <v>29</v>
      </c>
      <c r="B127" t="s">
        <v>30</v>
      </c>
      <c r="C127">
        <v>3</v>
      </c>
      <c r="D127">
        <v>7</v>
      </c>
      <c r="E127" s="2">
        <v>21</v>
      </c>
      <c r="F127">
        <v>20847.385399999999</v>
      </c>
      <c r="G127">
        <v>55245.121400000004</v>
      </c>
      <c r="H127">
        <v>8674.5970649999999</v>
      </c>
      <c r="I127">
        <v>8.6745970650000004</v>
      </c>
      <c r="J127">
        <v>8.6745969999999992E-3</v>
      </c>
      <c r="K127">
        <v>19.124190179999999</v>
      </c>
      <c r="L127">
        <v>3.2499999999999999E-3</v>
      </c>
      <c r="M127">
        <v>3</v>
      </c>
      <c r="N127">
        <v>138.7145391</v>
      </c>
      <c r="O127">
        <v>276.952429335852</v>
      </c>
      <c r="P127">
        <v>69039.700378839203</v>
      </c>
      <c r="Q127">
        <v>165920.93337860901</v>
      </c>
      <c r="R127">
        <v>439690.47345331399</v>
      </c>
      <c r="S127">
        <v>282</v>
      </c>
      <c r="T127">
        <v>0.18</v>
      </c>
      <c r="U127">
        <v>-1.35</v>
      </c>
    </row>
    <row r="128" spans="1:21" x14ac:dyDescent="0.25">
      <c r="A128" t="s">
        <v>23</v>
      </c>
      <c r="B128" t="s">
        <v>24</v>
      </c>
      <c r="C128">
        <v>3</v>
      </c>
      <c r="D128">
        <v>3</v>
      </c>
      <c r="E128">
        <v>9</v>
      </c>
      <c r="F128">
        <v>124433.10189999999</v>
      </c>
      <c r="G128">
        <v>329747.71999999997</v>
      </c>
      <c r="H128">
        <v>51776.613700000002</v>
      </c>
      <c r="I128">
        <v>51.776613699999999</v>
      </c>
      <c r="J128">
        <v>5.1776613999999999E-2</v>
      </c>
      <c r="K128">
        <v>114.1477581</v>
      </c>
      <c r="L128">
        <v>2.5999999999999999E-2</v>
      </c>
      <c r="M128">
        <v>3</v>
      </c>
      <c r="N128">
        <v>181.035417</v>
      </c>
      <c r="O128">
        <v>158.59251450754499</v>
      </c>
      <c r="P128">
        <v>35790.028072359702</v>
      </c>
      <c r="Q128">
        <v>86013.045115019704</v>
      </c>
      <c r="R128">
        <v>227934.569554802</v>
      </c>
      <c r="S128">
        <v>314.89999999999998</v>
      </c>
      <c r="T128">
        <v>8.8999999999999996E-2</v>
      </c>
      <c r="U128">
        <v>-1.1299999999999999</v>
      </c>
    </row>
    <row r="129" spans="1:21" x14ac:dyDescent="0.25">
      <c r="A129" t="s">
        <v>27</v>
      </c>
      <c r="B129" t="s">
        <v>28</v>
      </c>
      <c r="C129">
        <v>3</v>
      </c>
      <c r="D129">
        <v>1</v>
      </c>
      <c r="E129">
        <v>3</v>
      </c>
      <c r="F129">
        <v>3106.2244649999998</v>
      </c>
      <c r="G129">
        <v>8231.4948330000007</v>
      </c>
      <c r="H129">
        <v>1292.5</v>
      </c>
      <c r="I129">
        <v>1.2925</v>
      </c>
      <c r="J129">
        <v>1.2925E-3</v>
      </c>
      <c r="K129">
        <v>2.84947135</v>
      </c>
      <c r="L129">
        <v>1.0999999999999999E-2</v>
      </c>
      <c r="M129">
        <v>2.9</v>
      </c>
      <c r="N129">
        <v>56.013011069999997</v>
      </c>
      <c r="O129">
        <v>52.218760279428999</v>
      </c>
      <c r="P129">
        <v>1054.6046955131501</v>
      </c>
      <c r="Q129">
        <v>2534.4981867655702</v>
      </c>
      <c r="R129">
        <v>6716.4201949287599</v>
      </c>
      <c r="S129">
        <v>81.53</v>
      </c>
      <c r="T129">
        <v>0.31</v>
      </c>
      <c r="U129">
        <v>-0.3</v>
      </c>
    </row>
    <row r="130" spans="1:21" x14ac:dyDescent="0.25">
      <c r="A130" t="s">
        <v>35</v>
      </c>
      <c r="B130" t="s">
        <v>36</v>
      </c>
      <c r="C130">
        <v>3</v>
      </c>
      <c r="D130">
        <v>1</v>
      </c>
      <c r="E130">
        <v>3</v>
      </c>
      <c r="F130">
        <v>123.02331169999999</v>
      </c>
      <c r="G130">
        <v>326.011776</v>
      </c>
      <c r="H130">
        <v>51.19</v>
      </c>
      <c r="I130">
        <v>5.1189999999999999E-2</v>
      </c>
      <c r="J130">
        <v>5.1199999999999998E-5</v>
      </c>
      <c r="K130">
        <v>0.112854498</v>
      </c>
      <c r="L130">
        <v>2.1000000000000001E-2</v>
      </c>
      <c r="M130">
        <v>3</v>
      </c>
      <c r="N130">
        <v>13.458250619999999</v>
      </c>
      <c r="O130">
        <v>19.520157105761101</v>
      </c>
      <c r="P130">
        <v>156.195752908825</v>
      </c>
      <c r="Q130">
        <v>375.380324222122</v>
      </c>
      <c r="R130">
        <v>994.757859188623</v>
      </c>
      <c r="S130" s="4">
        <v>21.02</v>
      </c>
      <c r="T130" s="4">
        <v>0.86</v>
      </c>
      <c r="U130" s="4">
        <v>-6.9989999999999997E-2</v>
      </c>
    </row>
    <row r="131" spans="1:21" x14ac:dyDescent="0.25">
      <c r="A131" t="s">
        <v>39</v>
      </c>
      <c r="B131" t="s">
        <v>40</v>
      </c>
      <c r="C131">
        <v>3</v>
      </c>
      <c r="D131">
        <v>2</v>
      </c>
      <c r="E131">
        <v>6</v>
      </c>
      <c r="F131">
        <v>7922.1341039999998</v>
      </c>
      <c r="G131">
        <v>20993.65538</v>
      </c>
      <c r="H131">
        <v>3296.400001</v>
      </c>
      <c r="I131">
        <v>3.2964000009999999</v>
      </c>
      <c r="J131">
        <v>3.2964000000000001E-3</v>
      </c>
      <c r="K131">
        <v>7.2673093690000004</v>
      </c>
      <c r="L131">
        <v>1.2E-2</v>
      </c>
      <c r="M131">
        <v>3</v>
      </c>
      <c r="N131">
        <v>65.005916630000002</v>
      </c>
      <c r="O131">
        <v>71.798094245721302</v>
      </c>
      <c r="P131">
        <v>4441.4011070428996</v>
      </c>
      <c r="Q131">
        <v>10673.8791325232</v>
      </c>
      <c r="R131">
        <v>28285.7797011865</v>
      </c>
      <c r="S131">
        <v>150.93</v>
      </c>
      <c r="T131">
        <v>0.11</v>
      </c>
      <c r="U131">
        <v>0.13</v>
      </c>
    </row>
    <row r="132" spans="1:21" x14ac:dyDescent="0.25">
      <c r="A132" t="s">
        <v>45</v>
      </c>
      <c r="B132" t="s">
        <v>46</v>
      </c>
      <c r="C132">
        <v>3</v>
      </c>
      <c r="D132">
        <v>5</v>
      </c>
      <c r="E132">
        <v>15</v>
      </c>
      <c r="F132">
        <v>5086.8830930000004</v>
      </c>
      <c r="G132">
        <v>13480.2402</v>
      </c>
      <c r="H132">
        <v>2116.652055</v>
      </c>
      <c r="I132">
        <v>2.1166520549999999</v>
      </c>
      <c r="J132">
        <v>2.1166520000000001E-3</v>
      </c>
      <c r="K132">
        <v>4.6664134529999997</v>
      </c>
      <c r="L132">
        <v>3.96E-3</v>
      </c>
      <c r="M132">
        <v>3.2</v>
      </c>
      <c r="N132">
        <v>61.657472030000001</v>
      </c>
      <c r="O132" s="2">
        <v>287.52851223592398</v>
      </c>
      <c r="P132" s="2">
        <v>292061.37189564598</v>
      </c>
      <c r="Q132" s="2">
        <v>701901.87910513405</v>
      </c>
      <c r="R132" s="2">
        <v>1860039.9796285999</v>
      </c>
      <c r="S132" s="2">
        <v>300.78571428571399</v>
      </c>
      <c r="T132" s="2">
        <v>0.24014285714285699</v>
      </c>
      <c r="U132" s="2">
        <v>2</v>
      </c>
    </row>
    <row r="133" spans="1:21" x14ac:dyDescent="0.25">
      <c r="A133" t="s">
        <v>43</v>
      </c>
      <c r="B133" t="s">
        <v>44</v>
      </c>
      <c r="C133">
        <v>3</v>
      </c>
      <c r="D133">
        <v>2</v>
      </c>
      <c r="E133">
        <v>6</v>
      </c>
      <c r="F133">
        <v>732.42009129999997</v>
      </c>
      <c r="G133">
        <v>1940.9132420000001</v>
      </c>
      <c r="H133">
        <v>304.76</v>
      </c>
      <c r="I133">
        <v>0.30475999999999998</v>
      </c>
      <c r="J133">
        <v>3.0476E-4</v>
      </c>
      <c r="K133">
        <v>0.67187999099999995</v>
      </c>
      <c r="L133">
        <v>1.44E-2</v>
      </c>
      <c r="M133">
        <v>3</v>
      </c>
      <c r="N133">
        <v>27.66082682</v>
      </c>
      <c r="O133" s="2">
        <v>44.3934646593301</v>
      </c>
      <c r="P133" s="2">
        <v>1259.85224392177</v>
      </c>
      <c r="Q133" s="2">
        <v>3027.7631432871199</v>
      </c>
      <c r="R133" s="2">
        <v>8023.5723297108698</v>
      </c>
      <c r="S133" s="2">
        <v>47.633333333333297</v>
      </c>
      <c r="T133" s="2">
        <v>0.44800000000000001</v>
      </c>
      <c r="U133" s="2">
        <v>0</v>
      </c>
    </row>
    <row r="134" spans="1:21" x14ac:dyDescent="0.25">
      <c r="A134" t="s">
        <v>53</v>
      </c>
      <c r="B134" t="s">
        <v>54</v>
      </c>
      <c r="C134">
        <v>3</v>
      </c>
      <c r="D134">
        <v>2</v>
      </c>
      <c r="E134">
        <v>6</v>
      </c>
      <c r="F134">
        <v>1548.9065129999999</v>
      </c>
      <c r="G134">
        <v>4104.6022599999997</v>
      </c>
      <c r="H134">
        <v>644.50000009999997</v>
      </c>
      <c r="I134">
        <v>0.64449999999999996</v>
      </c>
      <c r="J134">
        <v>6.445E-4</v>
      </c>
      <c r="K134">
        <v>1.4208775899999999</v>
      </c>
      <c r="L134">
        <v>1.2E-2</v>
      </c>
      <c r="M134">
        <v>2.95</v>
      </c>
      <c r="N134">
        <v>40.123975620000003</v>
      </c>
      <c r="O134">
        <v>26.2156074529038</v>
      </c>
      <c r="P134">
        <v>183.62551462282201</v>
      </c>
      <c r="Q134">
        <v>441.30140500558002</v>
      </c>
      <c r="R134">
        <v>1169.44872326479</v>
      </c>
      <c r="S134">
        <v>41</v>
      </c>
      <c r="T134">
        <v>0.17</v>
      </c>
      <c r="U134">
        <v>0</v>
      </c>
    </row>
    <row r="135" spans="1:21" x14ac:dyDescent="0.25">
      <c r="A135" t="s">
        <v>57</v>
      </c>
      <c r="B135" t="s">
        <v>58</v>
      </c>
      <c r="C135">
        <v>3</v>
      </c>
      <c r="D135">
        <v>2</v>
      </c>
      <c r="E135">
        <v>6</v>
      </c>
      <c r="F135">
        <v>3981.7351600000002</v>
      </c>
      <c r="G135">
        <v>10551.598169999999</v>
      </c>
      <c r="H135">
        <v>1656.8</v>
      </c>
      <c r="I135">
        <v>1.6568000000000001</v>
      </c>
      <c r="J135">
        <v>1.6567999999999999E-3</v>
      </c>
      <c r="K135">
        <v>3.652614416</v>
      </c>
      <c r="L135">
        <v>4.0000000000000001E-3</v>
      </c>
      <c r="M135">
        <v>3.1</v>
      </c>
      <c r="N135">
        <v>51.975182889999999</v>
      </c>
      <c r="O135">
        <v>66.286661205201796</v>
      </c>
      <c r="P135">
        <v>3436.8489166374002</v>
      </c>
      <c r="Q135">
        <v>8259.6705518803192</v>
      </c>
      <c r="R135">
        <v>21888.126962482798</v>
      </c>
      <c r="S135">
        <v>72.900000000000006</v>
      </c>
      <c r="T135">
        <v>0.4</v>
      </c>
      <c r="U135">
        <v>0</v>
      </c>
    </row>
    <row r="136" spans="1:21" x14ac:dyDescent="0.25">
      <c r="A136" t="s">
        <v>59</v>
      </c>
      <c r="B136" t="s">
        <v>60</v>
      </c>
      <c r="C136">
        <v>3</v>
      </c>
      <c r="D136">
        <v>2</v>
      </c>
      <c r="E136">
        <v>6</v>
      </c>
      <c r="F136">
        <v>1548.9065129999999</v>
      </c>
      <c r="G136">
        <v>4104.6022599999997</v>
      </c>
      <c r="H136">
        <v>644.50000009999997</v>
      </c>
      <c r="I136">
        <v>0.64449999999999996</v>
      </c>
      <c r="J136">
        <v>6.445E-4</v>
      </c>
      <c r="K136">
        <v>1.4208775899999999</v>
      </c>
      <c r="L136">
        <v>1.6799999999999999E-2</v>
      </c>
      <c r="M136">
        <v>3.1</v>
      </c>
      <c r="N136">
        <v>30.1079939</v>
      </c>
      <c r="O136">
        <v>86.965728243192004</v>
      </c>
      <c r="P136">
        <v>17269.847782593501</v>
      </c>
      <c r="Q136">
        <v>41504.080227333601</v>
      </c>
      <c r="R136">
        <v>109985.812602434</v>
      </c>
      <c r="S136">
        <v>263.2</v>
      </c>
      <c r="T136">
        <v>7.0000000000000007E-2</v>
      </c>
      <c r="U136">
        <v>0.27</v>
      </c>
    </row>
    <row r="137" spans="1:21" x14ac:dyDescent="0.25">
      <c r="A137" t="s">
        <v>61</v>
      </c>
      <c r="B137" t="s">
        <v>62</v>
      </c>
      <c r="C137">
        <v>3</v>
      </c>
      <c r="D137">
        <v>1</v>
      </c>
      <c r="E137">
        <v>3</v>
      </c>
      <c r="F137">
        <v>91.492429720000004</v>
      </c>
      <c r="G137">
        <v>242.45493880000001</v>
      </c>
      <c r="H137">
        <v>38.070000010000001</v>
      </c>
      <c r="I137">
        <v>3.807E-2</v>
      </c>
      <c r="J137">
        <v>3.8099999999999998E-5</v>
      </c>
      <c r="K137">
        <v>8.3929882999999997E-2</v>
      </c>
      <c r="L137">
        <v>1.2500000000000001E-2</v>
      </c>
      <c r="M137">
        <v>3</v>
      </c>
      <c r="N137">
        <v>14.495202539999999</v>
      </c>
      <c r="O137">
        <v>18.313387127694298</v>
      </c>
      <c r="P137">
        <v>76.774331086170307</v>
      </c>
      <c r="Q137">
        <v>184.50932729192601</v>
      </c>
      <c r="R137">
        <v>488.94971732360301</v>
      </c>
      <c r="S137">
        <v>33.700000000000003</v>
      </c>
      <c r="T137">
        <v>0.32</v>
      </c>
      <c r="U137">
        <v>0.55000000000000004</v>
      </c>
    </row>
    <row r="138" spans="1:21" x14ac:dyDescent="0.25">
      <c r="A138" t="s">
        <v>63</v>
      </c>
      <c r="B138" t="s">
        <v>64</v>
      </c>
      <c r="C138">
        <v>3</v>
      </c>
      <c r="D138">
        <v>2</v>
      </c>
      <c r="E138">
        <v>6</v>
      </c>
      <c r="F138">
        <v>732.42009129999997</v>
      </c>
      <c r="G138">
        <v>1940.9132420000001</v>
      </c>
      <c r="H138">
        <v>304.76</v>
      </c>
      <c r="I138">
        <v>0.30475999999999998</v>
      </c>
      <c r="J138">
        <v>3.0476E-4</v>
      </c>
      <c r="K138">
        <v>0.67187999099999995</v>
      </c>
      <c r="L138">
        <v>1.2E-2</v>
      </c>
      <c r="M138">
        <v>3.1</v>
      </c>
      <c r="N138">
        <v>26.35698417</v>
      </c>
      <c r="O138">
        <v>40.025584823118002</v>
      </c>
      <c r="P138">
        <v>1112.8280739437701</v>
      </c>
      <c r="Q138">
        <v>2674.42459491413</v>
      </c>
      <c r="R138">
        <v>7087.2251765224501</v>
      </c>
      <c r="S138">
        <v>42.5</v>
      </c>
      <c r="T138">
        <v>0.47</v>
      </c>
      <c r="U138">
        <v>0.05</v>
      </c>
    </row>
    <row r="139" spans="1:21" x14ac:dyDescent="0.25">
      <c r="A139" t="s">
        <v>65</v>
      </c>
      <c r="B139" t="s">
        <v>66</v>
      </c>
      <c r="C139">
        <v>3</v>
      </c>
      <c r="D139">
        <v>3</v>
      </c>
      <c r="E139">
        <v>9</v>
      </c>
      <c r="F139">
        <v>1800</v>
      </c>
      <c r="G139">
        <v>4770</v>
      </c>
      <c r="H139">
        <v>748.98</v>
      </c>
      <c r="I139">
        <v>0.74897999999999998</v>
      </c>
      <c r="J139">
        <v>7.4898E-4</v>
      </c>
      <c r="K139">
        <v>1.6512162880000001</v>
      </c>
      <c r="L139">
        <v>1.2699999999999999E-2</v>
      </c>
      <c r="M139">
        <v>3.1</v>
      </c>
      <c r="N139">
        <v>34.587938440000002</v>
      </c>
      <c r="O139">
        <v>50.804248261694298</v>
      </c>
      <c r="P139">
        <v>2466.5720882083501</v>
      </c>
      <c r="Q139">
        <v>5927.8348671193098</v>
      </c>
      <c r="R139">
        <v>15708.7623978662</v>
      </c>
      <c r="S139">
        <v>52.7</v>
      </c>
      <c r="T139">
        <v>0.35</v>
      </c>
      <c r="U139">
        <v>-0.5</v>
      </c>
    </row>
    <row r="140" spans="1:21" x14ac:dyDescent="0.25">
      <c r="A140" t="s">
        <v>67</v>
      </c>
      <c r="B140" t="s">
        <v>68</v>
      </c>
      <c r="C140">
        <v>3</v>
      </c>
      <c r="D140">
        <v>1</v>
      </c>
      <c r="E140">
        <v>3</v>
      </c>
      <c r="F140">
        <v>60.65</v>
      </c>
      <c r="G140">
        <v>160.72999999999999</v>
      </c>
      <c r="H140">
        <v>25.236464999999999</v>
      </c>
      <c r="I140">
        <v>2.5236465E-2</v>
      </c>
      <c r="J140">
        <v>2.5199999999999999E-5</v>
      </c>
      <c r="K140">
        <v>5.5636814999999999E-2</v>
      </c>
      <c r="L140">
        <v>1.29E-2</v>
      </c>
      <c r="M140">
        <v>3.05</v>
      </c>
      <c r="N140">
        <v>11.99942031</v>
      </c>
      <c r="O140">
        <v>29.031706155287299</v>
      </c>
      <c r="P140">
        <v>373.55195768406401</v>
      </c>
      <c r="Q140">
        <v>897.74563250195604</v>
      </c>
      <c r="R140">
        <v>2379.0259261301799</v>
      </c>
      <c r="S140">
        <v>40.6</v>
      </c>
      <c r="T140">
        <v>0.27</v>
      </c>
      <c r="U140">
        <v>-1.65</v>
      </c>
    </row>
    <row r="141" spans="1:21" x14ac:dyDescent="0.25">
      <c r="A141" t="s">
        <v>69</v>
      </c>
      <c r="B141" t="s">
        <v>70</v>
      </c>
      <c r="C141">
        <v>3</v>
      </c>
      <c r="D141">
        <v>1</v>
      </c>
      <c r="E141">
        <v>3</v>
      </c>
      <c r="F141">
        <v>192.26147560000001</v>
      </c>
      <c r="G141">
        <v>509.49291040000003</v>
      </c>
      <c r="H141">
        <v>80</v>
      </c>
      <c r="I141">
        <v>0.08</v>
      </c>
      <c r="J141">
        <v>8.0000000000000007E-5</v>
      </c>
      <c r="K141">
        <v>0.17636959999999999</v>
      </c>
      <c r="L141">
        <v>0.01</v>
      </c>
      <c r="M141">
        <v>2.9</v>
      </c>
      <c r="N141">
        <v>22.176504810000001</v>
      </c>
      <c r="O141">
        <v>19.459213660156699</v>
      </c>
      <c r="P141">
        <v>54.759986342720197</v>
      </c>
      <c r="Q141">
        <v>131.602947230762</v>
      </c>
      <c r="R141">
        <v>348.74781016152002</v>
      </c>
      <c r="S141">
        <v>37.700000000000003</v>
      </c>
      <c r="T141">
        <v>0.24199999999999999</v>
      </c>
      <c r="U141">
        <v>0</v>
      </c>
    </row>
    <row r="142" spans="1:21" x14ac:dyDescent="0.25">
      <c r="A142" s="2" t="s">
        <v>71</v>
      </c>
      <c r="B142" t="s">
        <v>72</v>
      </c>
      <c r="C142">
        <v>3</v>
      </c>
      <c r="D142">
        <v>1</v>
      </c>
      <c r="E142">
        <v>3</v>
      </c>
      <c r="F142">
        <v>5.0708964190000003</v>
      </c>
      <c r="G142">
        <v>13.43787551</v>
      </c>
      <c r="H142">
        <v>2.1099999999459</v>
      </c>
      <c r="I142">
        <v>2.1099999999458999E-3</v>
      </c>
      <c r="J142">
        <v>2.1099999999459001E-6</v>
      </c>
      <c r="K142">
        <v>4.6517481998807298E-3</v>
      </c>
      <c r="L142" s="3">
        <v>1.0999999999999999E-2</v>
      </c>
      <c r="M142" s="3">
        <v>3.01</v>
      </c>
      <c r="N142">
        <v>5.7337022923298298</v>
      </c>
      <c r="O142" s="2">
        <v>6.4245492242556903</v>
      </c>
      <c r="P142" s="2">
        <v>2.9716598373956198</v>
      </c>
      <c r="Q142" s="2">
        <v>7.1416963167402496</v>
      </c>
      <c r="R142" s="2">
        <v>18.925495239361702</v>
      </c>
      <c r="S142">
        <v>9</v>
      </c>
      <c r="T142">
        <v>0.32</v>
      </c>
      <c r="U142">
        <v>-0.91</v>
      </c>
    </row>
    <row r="143" spans="1:21" x14ac:dyDescent="0.25">
      <c r="A143" s="2" t="s">
        <v>49</v>
      </c>
      <c r="B143" t="s">
        <v>50</v>
      </c>
      <c r="C143">
        <v>3</v>
      </c>
      <c r="D143">
        <v>1</v>
      </c>
      <c r="E143">
        <v>3</v>
      </c>
      <c r="F143">
        <v>732.42009129999997</v>
      </c>
      <c r="G143">
        <v>1940.9132420000001</v>
      </c>
      <c r="H143">
        <v>304.75999998993001</v>
      </c>
      <c r="I143">
        <v>0.30475999998992997</v>
      </c>
      <c r="J143">
        <v>3.0475999998992999E-4</v>
      </c>
      <c r="K143">
        <v>0.67187999117779895</v>
      </c>
      <c r="L143" s="3">
        <v>1.2E-2</v>
      </c>
      <c r="M143" s="3">
        <v>3.1</v>
      </c>
      <c r="N143">
        <v>26.3569841710204</v>
      </c>
      <c r="O143" s="2">
        <v>26.6528063610101</v>
      </c>
      <c r="P143" s="2">
        <v>315.48910976816597</v>
      </c>
      <c r="Q143" s="2">
        <v>758.20502227389102</v>
      </c>
      <c r="R143" s="2">
        <v>2009.24330902581</v>
      </c>
      <c r="S143" s="2">
        <v>54.3</v>
      </c>
      <c r="T143" s="2">
        <v>0.22500000000000001</v>
      </c>
      <c r="U143" s="2">
        <v>0</v>
      </c>
    </row>
    <row r="144" spans="1:21" x14ac:dyDescent="0.25">
      <c r="A144" t="s">
        <v>55</v>
      </c>
      <c r="B144" t="s">
        <v>56</v>
      </c>
      <c r="C144">
        <v>3</v>
      </c>
      <c r="D144">
        <v>1</v>
      </c>
      <c r="E144">
        <v>3</v>
      </c>
      <c r="F144">
        <v>455.65969719999998</v>
      </c>
      <c r="G144">
        <v>1207.498198</v>
      </c>
      <c r="H144">
        <v>189.6</v>
      </c>
      <c r="I144">
        <v>0.18959999999999999</v>
      </c>
      <c r="J144">
        <v>1.896E-4</v>
      </c>
      <c r="K144">
        <v>0.417995952</v>
      </c>
      <c r="L144">
        <v>1.2999999999999999E-2</v>
      </c>
      <c r="M144">
        <v>3</v>
      </c>
      <c r="N144">
        <v>24.432336070000002</v>
      </c>
      <c r="O144">
        <v>37.047325124095401</v>
      </c>
      <c r="P144">
        <v>661.01896891849594</v>
      </c>
      <c r="Q144">
        <v>1588.6060296046501</v>
      </c>
      <c r="R144">
        <v>4209.8059784523302</v>
      </c>
      <c r="S144">
        <v>152</v>
      </c>
      <c r="T144">
        <v>9.6000000000000002E-2</v>
      </c>
      <c r="U144">
        <v>0.09</v>
      </c>
    </row>
    <row r="145" spans="1:21" x14ac:dyDescent="0.25">
      <c r="A145" t="s">
        <v>75</v>
      </c>
      <c r="B145" t="s">
        <v>76</v>
      </c>
      <c r="C145">
        <v>3</v>
      </c>
      <c r="D145">
        <v>2</v>
      </c>
      <c r="E145">
        <v>6</v>
      </c>
      <c r="F145">
        <v>732.42009129999997</v>
      </c>
      <c r="G145">
        <v>1940.9132420000001</v>
      </c>
      <c r="H145">
        <v>304.76</v>
      </c>
      <c r="I145">
        <v>0.30475999999999998</v>
      </c>
      <c r="J145">
        <v>3.0476E-4</v>
      </c>
      <c r="K145">
        <v>0.67187999099999995</v>
      </c>
      <c r="L145">
        <v>2.5000000000000001E-3</v>
      </c>
      <c r="M145">
        <v>3.1</v>
      </c>
      <c r="N145">
        <v>43.717060600000003</v>
      </c>
      <c r="O145">
        <v>57.798855044593097</v>
      </c>
      <c r="P145">
        <v>724.25189217385002</v>
      </c>
      <c r="Q145">
        <v>1740.57171875475</v>
      </c>
      <c r="R145">
        <v>4612.5150547000803</v>
      </c>
      <c r="S145">
        <v>122</v>
      </c>
      <c r="T145">
        <v>0.107</v>
      </c>
      <c r="U145">
        <v>0</v>
      </c>
    </row>
    <row r="146" spans="1:21" x14ac:dyDescent="0.25">
      <c r="A146" t="s">
        <v>73</v>
      </c>
      <c r="B146" t="s">
        <v>74</v>
      </c>
      <c r="C146">
        <v>3</v>
      </c>
      <c r="D146">
        <v>2</v>
      </c>
      <c r="E146">
        <v>6</v>
      </c>
      <c r="F146">
        <v>732.42009129999997</v>
      </c>
      <c r="G146">
        <v>1940.9132420000001</v>
      </c>
      <c r="H146">
        <v>304.76</v>
      </c>
      <c r="I146">
        <v>0.30475999999999998</v>
      </c>
      <c r="J146">
        <v>3.0476E-4</v>
      </c>
      <c r="K146">
        <v>0.67187999099999995</v>
      </c>
      <c r="L146">
        <v>1.4E-2</v>
      </c>
      <c r="M146">
        <v>2.8</v>
      </c>
      <c r="N146">
        <v>35.418076749999997</v>
      </c>
      <c r="O146">
        <v>40.586205198132298</v>
      </c>
      <c r="P146">
        <v>446.25971797324098</v>
      </c>
      <c r="Q146">
        <v>1072.4818985177601</v>
      </c>
      <c r="R146">
        <v>2842.07703107207</v>
      </c>
      <c r="S146">
        <v>43</v>
      </c>
      <c r="T146">
        <v>0.48</v>
      </c>
      <c r="U146">
        <v>0</v>
      </c>
    </row>
    <row r="147" spans="1:21" x14ac:dyDescent="0.25">
      <c r="A147" s="2" t="s">
        <v>51</v>
      </c>
      <c r="B147" t="s">
        <v>52</v>
      </c>
      <c r="C147">
        <v>3</v>
      </c>
      <c r="D147">
        <v>1</v>
      </c>
      <c r="E147">
        <v>3</v>
      </c>
      <c r="F147">
        <v>1548.9065129999999</v>
      </c>
      <c r="G147">
        <v>4104.6022599999997</v>
      </c>
      <c r="H147">
        <v>644.50000005929996</v>
      </c>
      <c r="I147">
        <v>0.64450000005929997</v>
      </c>
      <c r="J147">
        <v>6.445000000593E-4</v>
      </c>
      <c r="K147">
        <v>1.42087759013073</v>
      </c>
      <c r="L147" s="3">
        <v>1.24E-2</v>
      </c>
      <c r="M147" s="3">
        <v>3.2</v>
      </c>
      <c r="N147">
        <v>29.763766337987398</v>
      </c>
      <c r="O147" s="2">
        <v>10.0246456650209</v>
      </c>
      <c r="P147" s="2">
        <v>19.8080892334971</v>
      </c>
      <c r="Q147" s="2">
        <v>47.604155812297797</v>
      </c>
      <c r="R147" s="2">
        <v>126.151012902589</v>
      </c>
      <c r="S147">
        <v>20.9</v>
      </c>
      <c r="T147">
        <v>0.19500000000000001</v>
      </c>
      <c r="U147">
        <v>-0.35</v>
      </c>
    </row>
    <row r="148" spans="1:21" x14ac:dyDescent="0.25">
      <c r="A148" t="s">
        <v>85</v>
      </c>
      <c r="B148" t="s">
        <v>86</v>
      </c>
      <c r="C148">
        <v>3</v>
      </c>
      <c r="D148">
        <v>7</v>
      </c>
      <c r="E148">
        <v>21</v>
      </c>
      <c r="F148">
        <v>20847.385399999999</v>
      </c>
      <c r="G148">
        <v>55245.121400000004</v>
      </c>
      <c r="H148">
        <v>8674.5970649999999</v>
      </c>
      <c r="I148">
        <v>8.6745970650000004</v>
      </c>
      <c r="J148">
        <v>8.6745969999999992E-3</v>
      </c>
      <c r="K148">
        <v>19.124190179999999</v>
      </c>
      <c r="L148">
        <v>5.2399999999999999E-3</v>
      </c>
      <c r="M148">
        <v>3.141</v>
      </c>
      <c r="N148">
        <v>95.480919940000007</v>
      </c>
      <c r="O148" s="2">
        <v>286.15036021085899</v>
      </c>
      <c r="P148" s="2">
        <v>272579.99151432101</v>
      </c>
      <c r="Q148" s="2">
        <v>655082.89236798999</v>
      </c>
      <c r="R148" s="2">
        <v>1735969.6647751699</v>
      </c>
      <c r="S148">
        <v>309.24444444444401</v>
      </c>
      <c r="T148">
        <v>0.13655555555555601</v>
      </c>
      <c r="U148">
        <v>2</v>
      </c>
    </row>
    <row r="149" spans="1:21" x14ac:dyDescent="0.25">
      <c r="A149" t="s">
        <v>77</v>
      </c>
      <c r="B149" t="s">
        <v>78</v>
      </c>
      <c r="C149">
        <v>3</v>
      </c>
      <c r="D149">
        <v>3</v>
      </c>
      <c r="E149">
        <v>9</v>
      </c>
      <c r="F149">
        <v>123834.1152</v>
      </c>
      <c r="G149">
        <v>328160.40529999998</v>
      </c>
      <c r="H149">
        <v>51527.375330000003</v>
      </c>
      <c r="I149">
        <v>51.527375329999998</v>
      </c>
      <c r="J149">
        <v>5.1527375E-2</v>
      </c>
      <c r="K149">
        <v>113.5982822</v>
      </c>
      <c r="L149">
        <v>3.5000000000000003E-2</v>
      </c>
      <c r="M149">
        <v>2.9</v>
      </c>
      <c r="N149">
        <v>133.93256890000001</v>
      </c>
      <c r="O149" s="2">
        <v>206.09180735845499</v>
      </c>
      <c r="P149" s="2">
        <v>179822.55134623501</v>
      </c>
      <c r="Q149" s="2">
        <v>432161.86336514098</v>
      </c>
      <c r="R149" s="2">
        <v>1145228.9379176199</v>
      </c>
      <c r="S149">
        <v>208.40700000000001</v>
      </c>
      <c r="T149">
        <v>0.5</v>
      </c>
      <c r="U149">
        <v>0</v>
      </c>
    </row>
    <row r="150" spans="1:21" x14ac:dyDescent="0.25">
      <c r="A150" t="s">
        <v>79</v>
      </c>
      <c r="B150" t="s">
        <v>80</v>
      </c>
      <c r="C150">
        <v>3</v>
      </c>
      <c r="D150">
        <v>2</v>
      </c>
      <c r="E150">
        <v>6</v>
      </c>
      <c r="F150">
        <v>1548.9065129999999</v>
      </c>
      <c r="G150">
        <v>4104.6022599999997</v>
      </c>
      <c r="H150">
        <v>644.50000009999997</v>
      </c>
      <c r="I150">
        <v>0.64449999999999996</v>
      </c>
      <c r="J150">
        <v>6.445E-4</v>
      </c>
      <c r="K150">
        <v>1.4208775899999999</v>
      </c>
      <c r="L150">
        <v>3.3999999999999998E-3</v>
      </c>
      <c r="M150">
        <v>3.2850000000000001</v>
      </c>
      <c r="N150">
        <v>29.76376634</v>
      </c>
      <c r="O150">
        <v>38.300363083632597</v>
      </c>
      <c r="P150">
        <v>1444.3449807438301</v>
      </c>
      <c r="Q150">
        <v>3471.1487160390002</v>
      </c>
      <c r="R150">
        <v>9198.5440975033398</v>
      </c>
      <c r="S150">
        <v>59.9</v>
      </c>
      <c r="T150">
        <v>0.17</v>
      </c>
      <c r="U150">
        <v>0</v>
      </c>
    </row>
    <row r="151" spans="1:21" x14ac:dyDescent="0.25">
      <c r="A151" t="s">
        <v>81</v>
      </c>
      <c r="B151" t="s">
        <v>82</v>
      </c>
      <c r="C151">
        <v>3</v>
      </c>
      <c r="D151">
        <v>2</v>
      </c>
      <c r="E151">
        <v>6</v>
      </c>
      <c r="F151">
        <v>732.42009129999997</v>
      </c>
      <c r="G151">
        <v>1940.9132420000001</v>
      </c>
      <c r="H151">
        <v>304.76</v>
      </c>
      <c r="I151">
        <v>0.30475999999999998</v>
      </c>
      <c r="J151">
        <v>3.0476E-4</v>
      </c>
      <c r="K151">
        <v>0.67187999099999995</v>
      </c>
      <c r="L151">
        <v>1.4999999999999999E-2</v>
      </c>
      <c r="M151">
        <v>3</v>
      </c>
      <c r="N151">
        <v>27.286986030000001</v>
      </c>
      <c r="O151">
        <v>67.776936341653695</v>
      </c>
      <c r="P151">
        <v>4670.2170051160701</v>
      </c>
      <c r="Q151">
        <v>11223.7851600963</v>
      </c>
      <c r="R151">
        <v>29743.030674255198</v>
      </c>
      <c r="S151">
        <v>106</v>
      </c>
      <c r="T151">
        <v>0.17</v>
      </c>
      <c r="U151">
        <v>0</v>
      </c>
    </row>
    <row r="152" spans="1:21" x14ac:dyDescent="0.25">
      <c r="A152" t="s">
        <v>83</v>
      </c>
      <c r="B152" t="s">
        <v>84</v>
      </c>
      <c r="C152">
        <v>3</v>
      </c>
      <c r="D152">
        <v>7</v>
      </c>
      <c r="E152">
        <v>21</v>
      </c>
      <c r="F152">
        <v>20847.385399999999</v>
      </c>
      <c r="G152">
        <v>55245.121400000004</v>
      </c>
      <c r="H152">
        <v>8674.5970649999999</v>
      </c>
      <c r="I152">
        <v>8.6745970650000004</v>
      </c>
      <c r="J152">
        <v>8.6745969999999992E-3</v>
      </c>
      <c r="K152">
        <v>19.124190179999999</v>
      </c>
      <c r="L152">
        <v>5.4000000000000003E-3</v>
      </c>
      <c r="M152">
        <v>3</v>
      </c>
      <c r="N152">
        <v>117.11661650000001</v>
      </c>
      <c r="O152">
        <v>255.49714593612001</v>
      </c>
      <c r="P152">
        <v>90064.142671856898</v>
      </c>
      <c r="Q152">
        <v>216448.31211693599</v>
      </c>
      <c r="R152">
        <v>573588.02710987895</v>
      </c>
      <c r="S152">
        <v>280</v>
      </c>
      <c r="T152">
        <v>0.11600000000000001</v>
      </c>
      <c r="U152">
        <v>0</v>
      </c>
    </row>
    <row r="153" spans="1:21" x14ac:dyDescent="0.25">
      <c r="A153" t="s">
        <v>91</v>
      </c>
      <c r="B153" t="s">
        <v>92</v>
      </c>
      <c r="C153">
        <v>3</v>
      </c>
      <c r="D153">
        <v>2</v>
      </c>
      <c r="E153">
        <v>6</v>
      </c>
      <c r="F153">
        <v>732.42009129999997</v>
      </c>
      <c r="G153">
        <v>1940.9132420000001</v>
      </c>
      <c r="H153">
        <v>304.76</v>
      </c>
      <c r="I153">
        <v>0.30475999999999998</v>
      </c>
      <c r="J153">
        <v>3.0476E-4</v>
      </c>
      <c r="K153">
        <v>0.67187999099999995</v>
      </c>
      <c r="L153">
        <v>1.2999999999999999E-2</v>
      </c>
      <c r="M153">
        <v>3</v>
      </c>
      <c r="N153">
        <v>28.620125739999999</v>
      </c>
      <c r="O153">
        <v>40.946894886658498</v>
      </c>
      <c r="P153">
        <v>892.49598935225401</v>
      </c>
      <c r="Q153">
        <v>2144.90744857547</v>
      </c>
      <c r="R153">
        <v>5684.0047387249997</v>
      </c>
      <c r="S153">
        <v>60.2</v>
      </c>
      <c r="T153">
        <v>0.19</v>
      </c>
      <c r="U153">
        <v>0</v>
      </c>
    </row>
    <row r="154" spans="1:21" x14ac:dyDescent="0.25">
      <c r="A154" t="s">
        <v>87</v>
      </c>
      <c r="B154" t="s">
        <v>88</v>
      </c>
      <c r="C154">
        <v>3</v>
      </c>
      <c r="D154">
        <v>2</v>
      </c>
      <c r="E154">
        <v>6</v>
      </c>
      <c r="F154">
        <v>732.42009129999997</v>
      </c>
      <c r="G154">
        <v>1940.9132420000001</v>
      </c>
      <c r="H154">
        <v>304.76</v>
      </c>
      <c r="I154">
        <v>0.30475999999999998</v>
      </c>
      <c r="J154">
        <v>3.0476E-4</v>
      </c>
      <c r="K154">
        <v>0.67187999099999995</v>
      </c>
      <c r="L154">
        <v>6.0000000000000001E-3</v>
      </c>
      <c r="M154">
        <v>3.1</v>
      </c>
      <c r="N154">
        <v>32.961135609999999</v>
      </c>
      <c r="O154">
        <v>22.773767140673499</v>
      </c>
      <c r="P154">
        <v>96.872245124489197</v>
      </c>
      <c r="Q154">
        <v>232.810009912255</v>
      </c>
      <c r="R154">
        <v>616.94652626747495</v>
      </c>
      <c r="S154">
        <v>31.4</v>
      </c>
      <c r="T154">
        <v>0.19</v>
      </c>
      <c r="U154">
        <v>-0.8</v>
      </c>
    </row>
    <row r="155" spans="1:21" x14ac:dyDescent="0.25">
      <c r="A155" t="s">
        <v>93</v>
      </c>
      <c r="B155" t="s">
        <v>94</v>
      </c>
      <c r="C155">
        <v>3</v>
      </c>
      <c r="D155">
        <v>9</v>
      </c>
      <c r="E155">
        <v>27</v>
      </c>
      <c r="F155">
        <v>1772157205</v>
      </c>
      <c r="G155">
        <v>4696216593</v>
      </c>
      <c r="H155">
        <v>737394613</v>
      </c>
      <c r="I155">
        <v>737394.61300000001</v>
      </c>
      <c r="J155">
        <v>737.39461300000005</v>
      </c>
      <c r="K155">
        <v>1625674.912</v>
      </c>
      <c r="L155" s="2">
        <v>1.7000000000000001E-2</v>
      </c>
      <c r="M155">
        <v>3</v>
      </c>
      <c r="N155">
        <v>1544.863059</v>
      </c>
      <c r="O155" s="2">
        <v>1583.10420263623</v>
      </c>
      <c r="P155" s="2">
        <v>67449296.887868494</v>
      </c>
      <c r="Q155" s="2">
        <v>162098766.85380501</v>
      </c>
      <c r="R155" s="2">
        <v>429561732.16258401</v>
      </c>
      <c r="S155">
        <v>1584.96</v>
      </c>
      <c r="T155" s="2">
        <v>0.25</v>
      </c>
      <c r="U155">
        <v>0</v>
      </c>
    </row>
    <row r="156" spans="1:21" x14ac:dyDescent="0.25">
      <c r="A156" t="s">
        <v>109</v>
      </c>
      <c r="B156" t="s">
        <v>110</v>
      </c>
      <c r="C156">
        <v>3</v>
      </c>
      <c r="D156">
        <v>5</v>
      </c>
      <c r="E156">
        <v>15</v>
      </c>
      <c r="F156">
        <v>5086.8830930000004</v>
      </c>
      <c r="G156">
        <v>13480.2402</v>
      </c>
      <c r="H156">
        <v>2116.652055</v>
      </c>
      <c r="I156">
        <v>2.1166520549999999</v>
      </c>
      <c r="J156">
        <v>2.1166520000000001E-3</v>
      </c>
      <c r="K156">
        <v>4.6664134529999997</v>
      </c>
      <c r="L156">
        <v>4.3E-3</v>
      </c>
      <c r="M156">
        <v>3.1</v>
      </c>
      <c r="N156">
        <v>68.578412069999999</v>
      </c>
      <c r="O156">
        <v>116.944766235771</v>
      </c>
      <c r="P156">
        <v>11071.5622159796</v>
      </c>
      <c r="Q156">
        <v>26607.936111462499</v>
      </c>
      <c r="R156">
        <v>70511.030695375695</v>
      </c>
      <c r="S156">
        <v>186</v>
      </c>
      <c r="T156">
        <v>4.5999999999999999E-2</v>
      </c>
      <c r="U156">
        <v>-6.54</v>
      </c>
    </row>
    <row r="157" spans="1:21" x14ac:dyDescent="0.25">
      <c r="A157" t="s">
        <v>99</v>
      </c>
      <c r="B157" t="s">
        <v>100</v>
      </c>
      <c r="C157">
        <v>3</v>
      </c>
      <c r="D157">
        <v>2</v>
      </c>
      <c r="E157">
        <v>6</v>
      </c>
      <c r="F157">
        <v>732.42009129999997</v>
      </c>
      <c r="G157">
        <v>1940.9132420000001</v>
      </c>
      <c r="H157">
        <v>304.76</v>
      </c>
      <c r="I157">
        <v>0.30475999999999998</v>
      </c>
      <c r="J157">
        <v>3.0476E-4</v>
      </c>
      <c r="K157">
        <v>0.67187999099999995</v>
      </c>
      <c r="L157">
        <v>1.4999999999999999E-2</v>
      </c>
      <c r="M157">
        <v>3.1</v>
      </c>
      <c r="N157">
        <v>24.526434699999999</v>
      </c>
      <c r="O157">
        <v>27.110774536661499</v>
      </c>
      <c r="P157">
        <v>415.74901347532898</v>
      </c>
      <c r="Q157">
        <v>999.15648516060696</v>
      </c>
      <c r="R157">
        <v>2647.7646856756101</v>
      </c>
      <c r="S157">
        <v>42.4</v>
      </c>
      <c r="T157">
        <v>0.17</v>
      </c>
      <c r="U157">
        <v>0</v>
      </c>
    </row>
    <row r="158" spans="1:21" x14ac:dyDescent="0.25">
      <c r="A158" t="s">
        <v>97</v>
      </c>
      <c r="B158" t="s">
        <v>98</v>
      </c>
      <c r="C158">
        <v>3</v>
      </c>
      <c r="D158">
        <v>2</v>
      </c>
      <c r="E158">
        <v>6</v>
      </c>
      <c r="F158">
        <v>26457.496719999999</v>
      </c>
      <c r="G158">
        <v>70112.366299999994</v>
      </c>
      <c r="H158">
        <v>11008.964389999999</v>
      </c>
      <c r="I158">
        <v>11.008964389999999</v>
      </c>
      <c r="J158">
        <v>1.1008964E-2</v>
      </c>
      <c r="K158">
        <v>24.27058306</v>
      </c>
      <c r="L158" s="2">
        <v>6.5000000000000002E-2</v>
      </c>
      <c r="M158">
        <v>3</v>
      </c>
      <c r="N158">
        <v>81.954377719999997</v>
      </c>
      <c r="O158">
        <v>23.337827681697501</v>
      </c>
      <c r="P158">
        <v>826.21798263751305</v>
      </c>
      <c r="Q158">
        <v>1985.62360643478</v>
      </c>
      <c r="R158">
        <v>5261.9025570521699</v>
      </c>
      <c r="S158">
        <v>23.6</v>
      </c>
      <c r="T158">
        <v>0.75</v>
      </c>
      <c r="U158">
        <v>0</v>
      </c>
    </row>
    <row r="159" spans="1:21" x14ac:dyDescent="0.25">
      <c r="A159" s="2" t="s">
        <v>47</v>
      </c>
      <c r="B159" t="s">
        <v>48</v>
      </c>
      <c r="C159">
        <v>3</v>
      </c>
      <c r="D159">
        <v>1</v>
      </c>
      <c r="E159">
        <v>3</v>
      </c>
      <c r="F159">
        <v>192.26147560000001</v>
      </c>
      <c r="G159">
        <v>509.49291040000003</v>
      </c>
      <c r="H159">
        <v>79.999999997160003</v>
      </c>
      <c r="I159">
        <v>7.9999999997159996E-2</v>
      </c>
      <c r="J159">
        <v>7.9999999997160007E-5</v>
      </c>
      <c r="K159">
        <v>0.176369599993739</v>
      </c>
      <c r="L159" s="3">
        <v>1.23E-2</v>
      </c>
      <c r="M159" s="3">
        <v>3.2</v>
      </c>
      <c r="N159">
        <v>15.546057640091</v>
      </c>
      <c r="O159" s="2">
        <v>32.4365447599749</v>
      </c>
      <c r="P159" s="2">
        <v>841.813304763318</v>
      </c>
      <c r="Q159" s="2">
        <v>2023.10335199067</v>
      </c>
      <c r="R159" s="2">
        <v>5361.2238827752699</v>
      </c>
      <c r="S159" s="2">
        <v>39.200000000000003</v>
      </c>
      <c r="T159" s="2">
        <v>0.58571428571428596</v>
      </c>
      <c r="U159" s="2">
        <v>0</v>
      </c>
    </row>
    <row r="160" spans="1:21" x14ac:dyDescent="0.25">
      <c r="A160" t="s">
        <v>103</v>
      </c>
      <c r="B160" t="s">
        <v>104</v>
      </c>
      <c r="C160">
        <v>3</v>
      </c>
      <c r="D160">
        <v>1</v>
      </c>
      <c r="E160">
        <v>3</v>
      </c>
      <c r="F160">
        <v>233.91011779999999</v>
      </c>
      <c r="G160">
        <v>619.86181209999995</v>
      </c>
      <c r="H160">
        <v>97.33000002</v>
      </c>
      <c r="I160">
        <v>9.733E-2</v>
      </c>
      <c r="J160">
        <v>9.7299999999999993E-5</v>
      </c>
      <c r="K160">
        <v>0.214575665</v>
      </c>
      <c r="L160">
        <v>1.2999999999999999E-2</v>
      </c>
      <c r="M160">
        <v>2.8</v>
      </c>
      <c r="N160">
        <v>24.192445729999999</v>
      </c>
      <c r="O160">
        <v>27.288264294741101</v>
      </c>
      <c r="P160">
        <v>136.356519656892</v>
      </c>
      <c r="Q160">
        <v>327.70132097306498</v>
      </c>
      <c r="R160">
        <v>868.40850057862201</v>
      </c>
      <c r="S160">
        <v>65.400000000000006</v>
      </c>
      <c r="T160">
        <v>0.18</v>
      </c>
      <c r="U160">
        <v>0</v>
      </c>
    </row>
    <row r="161" spans="1:21" x14ac:dyDescent="0.25">
      <c r="A161" s="2" t="s">
        <v>105</v>
      </c>
      <c r="B161" t="s">
        <v>106</v>
      </c>
      <c r="C161">
        <v>3</v>
      </c>
      <c r="D161">
        <v>3</v>
      </c>
      <c r="E161">
        <v>9</v>
      </c>
      <c r="F161">
        <v>1800</v>
      </c>
      <c r="G161">
        <v>4770</v>
      </c>
      <c r="H161">
        <v>748.98</v>
      </c>
      <c r="I161">
        <v>0.74897999999999998</v>
      </c>
      <c r="J161">
        <v>7.4898E-4</v>
      </c>
      <c r="K161">
        <v>1.65075192</v>
      </c>
      <c r="L161" s="3">
        <v>1.2699999999999999E-2</v>
      </c>
      <c r="M161" s="3">
        <v>3.1</v>
      </c>
      <c r="N161">
        <v>34.587938444619503</v>
      </c>
      <c r="O161" s="2">
        <v>85.389797589938695</v>
      </c>
      <c r="P161" s="2">
        <v>12335.6566189309</v>
      </c>
      <c r="Q161" s="2">
        <v>29645.894301684599</v>
      </c>
      <c r="R161" s="2">
        <v>78561.619899464102</v>
      </c>
      <c r="S161">
        <v>109.97499999999999</v>
      </c>
      <c r="T161">
        <v>0.14749999999999999</v>
      </c>
      <c r="U161">
        <v>-1.1566666666666701</v>
      </c>
    </row>
    <row r="162" spans="1:21" x14ac:dyDescent="0.25">
      <c r="A162" t="s">
        <v>115</v>
      </c>
      <c r="B162" t="s">
        <v>116</v>
      </c>
      <c r="C162">
        <v>3</v>
      </c>
      <c r="D162">
        <v>7</v>
      </c>
      <c r="E162">
        <v>21</v>
      </c>
      <c r="F162">
        <v>9235805.5920000002</v>
      </c>
      <c r="G162">
        <v>24474884.82</v>
      </c>
      <c r="H162">
        <v>3843018.7069999999</v>
      </c>
      <c r="I162">
        <v>3843.0187070000002</v>
      </c>
      <c r="J162">
        <v>3.8430187070000001</v>
      </c>
      <c r="K162">
        <v>8472.3959009999999</v>
      </c>
      <c r="L162" s="2">
        <v>1.4999999999999999E-2</v>
      </c>
      <c r="M162">
        <v>3</v>
      </c>
      <c r="N162">
        <v>727.03865089999999</v>
      </c>
      <c r="O162" s="2">
        <v>270.35382944947099</v>
      </c>
      <c r="P162" s="2">
        <v>296407.25929609803</v>
      </c>
      <c r="Q162" s="2">
        <v>712346.21316053404</v>
      </c>
      <c r="R162" s="2">
        <v>1887717.4648754201</v>
      </c>
      <c r="S162">
        <v>271.77999999999997</v>
      </c>
      <c r="T162">
        <v>0.25</v>
      </c>
      <c r="U162">
        <v>0</v>
      </c>
    </row>
    <row r="163" spans="1:21" x14ac:dyDescent="0.25">
      <c r="A163" t="s">
        <v>107</v>
      </c>
      <c r="B163" t="s">
        <v>108</v>
      </c>
      <c r="C163">
        <v>3</v>
      </c>
      <c r="D163">
        <v>5</v>
      </c>
      <c r="E163">
        <v>15</v>
      </c>
      <c r="F163">
        <v>5086.8830930000004</v>
      </c>
      <c r="G163">
        <v>13480.2402</v>
      </c>
      <c r="H163">
        <v>2116.652055</v>
      </c>
      <c r="I163">
        <v>2.1166520549999999</v>
      </c>
      <c r="J163">
        <v>2.1166520000000001E-3</v>
      </c>
      <c r="K163">
        <v>4.6664134529999997</v>
      </c>
      <c r="L163">
        <v>3.5999999999999999E-3</v>
      </c>
      <c r="M163">
        <v>3</v>
      </c>
      <c r="N163">
        <v>83.775235480000006</v>
      </c>
      <c r="O163">
        <v>85.009877676356894</v>
      </c>
      <c r="P163">
        <v>2211.6208446574701</v>
      </c>
      <c r="Q163">
        <v>5315.1185884582401</v>
      </c>
      <c r="R163">
        <v>14085.064259414299</v>
      </c>
      <c r="S163">
        <v>150</v>
      </c>
      <c r="T163">
        <v>4.1000000000000002E-2</v>
      </c>
      <c r="U163">
        <v>-5.4</v>
      </c>
    </row>
    <row r="164" spans="1:21" x14ac:dyDescent="0.25">
      <c r="A164" t="s">
        <v>41</v>
      </c>
      <c r="B164" t="s">
        <v>42</v>
      </c>
      <c r="C164">
        <v>3</v>
      </c>
      <c r="D164">
        <v>4</v>
      </c>
      <c r="E164">
        <v>12</v>
      </c>
      <c r="F164">
        <v>4816.6635390000001</v>
      </c>
      <c r="G164">
        <v>12764.158380000001</v>
      </c>
      <c r="H164">
        <v>2004.2136989999999</v>
      </c>
      <c r="I164">
        <v>2.0042136990000001</v>
      </c>
      <c r="J164">
        <v>2.0042139999999998E-3</v>
      </c>
      <c r="K164">
        <v>4.4185296039999997</v>
      </c>
      <c r="L164">
        <v>1.34E-2</v>
      </c>
      <c r="M164">
        <v>3.1</v>
      </c>
      <c r="N164">
        <v>46.698504929999999</v>
      </c>
      <c r="O164">
        <v>71.543817954896397</v>
      </c>
      <c r="P164">
        <v>7521.0477792886604</v>
      </c>
      <c r="Q164">
        <v>18075.0968019434</v>
      </c>
      <c r="R164">
        <v>47899.0065251501</v>
      </c>
      <c r="S164">
        <v>91.5</v>
      </c>
      <c r="T164">
        <v>0.12690000000000001</v>
      </c>
      <c r="U164">
        <v>0</v>
      </c>
    </row>
    <row r="165" spans="1:21" x14ac:dyDescent="0.25">
      <c r="A165" t="s">
        <v>111</v>
      </c>
      <c r="B165" t="s">
        <v>112</v>
      </c>
      <c r="C165">
        <v>3</v>
      </c>
      <c r="D165">
        <v>2</v>
      </c>
      <c r="E165">
        <v>6</v>
      </c>
      <c r="F165">
        <v>732.42009129999997</v>
      </c>
      <c r="G165">
        <v>1940.9132420000001</v>
      </c>
      <c r="H165">
        <v>304.76</v>
      </c>
      <c r="I165">
        <v>0.30475999999999998</v>
      </c>
      <c r="J165">
        <v>3.0476E-4</v>
      </c>
      <c r="K165">
        <v>0.67187999099999995</v>
      </c>
      <c r="L165">
        <v>1.2200000000000001E-2</v>
      </c>
      <c r="M165">
        <v>2.9</v>
      </c>
      <c r="N165">
        <v>32.84075627</v>
      </c>
      <c r="O165">
        <v>74.739540605911202</v>
      </c>
      <c r="P165">
        <v>3308.68986036151</v>
      </c>
      <c r="Q165">
        <v>7951.6699359805498</v>
      </c>
      <c r="R165">
        <v>21071.925330348498</v>
      </c>
      <c r="S165">
        <v>98.7</v>
      </c>
      <c r="T165">
        <v>0.158</v>
      </c>
      <c r="U165">
        <v>-2.96</v>
      </c>
    </row>
    <row r="166" spans="1:21" x14ac:dyDescent="0.25">
      <c r="A166" t="s">
        <v>113</v>
      </c>
      <c r="B166" t="s">
        <v>114</v>
      </c>
      <c r="C166">
        <v>3</v>
      </c>
      <c r="D166">
        <v>2</v>
      </c>
      <c r="E166">
        <v>6</v>
      </c>
      <c r="F166">
        <v>1548.9065129999999</v>
      </c>
      <c r="G166">
        <v>4104.6022599999997</v>
      </c>
      <c r="H166">
        <v>644.50000009999997</v>
      </c>
      <c r="I166">
        <v>0.64449999999999996</v>
      </c>
      <c r="J166">
        <v>6.445E-4</v>
      </c>
      <c r="K166">
        <v>1.4208775899999999</v>
      </c>
      <c r="L166">
        <v>1.2E-2</v>
      </c>
      <c r="M166">
        <v>3.05</v>
      </c>
      <c r="N166">
        <v>35.549486860000002</v>
      </c>
      <c r="O166">
        <v>62.2542397325903</v>
      </c>
      <c r="P166">
        <v>3559.5614441202201</v>
      </c>
      <c r="Q166">
        <v>8554.5816969964508</v>
      </c>
      <c r="R166">
        <v>22669.6414970406</v>
      </c>
      <c r="S166">
        <v>85.9</v>
      </c>
      <c r="T166">
        <v>0.215</v>
      </c>
      <c r="U166">
        <v>0</v>
      </c>
    </row>
    <row r="167" spans="1:21" x14ac:dyDescent="0.25">
      <c r="A167" t="s">
        <v>117</v>
      </c>
      <c r="B167" t="s">
        <v>118</v>
      </c>
      <c r="C167">
        <v>3</v>
      </c>
      <c r="D167">
        <v>2</v>
      </c>
      <c r="E167">
        <v>6</v>
      </c>
      <c r="F167">
        <v>732.42009129999997</v>
      </c>
      <c r="G167">
        <v>1940.9132420000001</v>
      </c>
      <c r="H167">
        <v>304.76</v>
      </c>
      <c r="I167">
        <v>0.30475999999999998</v>
      </c>
      <c r="J167">
        <v>3.0476E-4</v>
      </c>
      <c r="K167">
        <v>0.67187999099999995</v>
      </c>
      <c r="L167">
        <v>1.4999999999999999E-2</v>
      </c>
      <c r="M167">
        <v>3</v>
      </c>
      <c r="N167">
        <v>27.286986030000001</v>
      </c>
      <c r="O167">
        <v>33.026988237917301</v>
      </c>
      <c r="P167">
        <v>540.378640515999</v>
      </c>
      <c r="Q167">
        <v>1298.6749351502001</v>
      </c>
      <c r="R167">
        <v>3441.4885781480398</v>
      </c>
      <c r="S167">
        <v>73.2</v>
      </c>
      <c r="T167">
        <v>0.1</v>
      </c>
      <c r="U167">
        <v>0</v>
      </c>
    </row>
    <row r="168" spans="1:21" x14ac:dyDescent="0.25">
      <c r="A168" t="s">
        <v>123</v>
      </c>
      <c r="B168" t="s">
        <v>124</v>
      </c>
      <c r="C168">
        <v>3</v>
      </c>
      <c r="D168">
        <v>2</v>
      </c>
      <c r="E168">
        <v>6</v>
      </c>
      <c r="F168">
        <v>732.42009129999997</v>
      </c>
      <c r="G168">
        <v>1940.9132420000001</v>
      </c>
      <c r="H168">
        <v>304.76</v>
      </c>
      <c r="I168">
        <v>0.30475999999999998</v>
      </c>
      <c r="J168">
        <v>3.0476E-4</v>
      </c>
      <c r="K168">
        <v>0.67187999099999995</v>
      </c>
      <c r="L168">
        <v>9.4999999999999998E-3</v>
      </c>
      <c r="M168">
        <v>3.1</v>
      </c>
      <c r="N168">
        <v>28.419994330000002</v>
      </c>
      <c r="O168">
        <v>58.6406670479805</v>
      </c>
      <c r="P168">
        <v>2878.3274599697502</v>
      </c>
      <c r="Q168">
        <v>6917.3935591678601</v>
      </c>
      <c r="R168">
        <v>18331.092931794799</v>
      </c>
      <c r="S168">
        <v>111</v>
      </c>
      <c r="T168">
        <v>0.13</v>
      </c>
      <c r="U168">
        <v>0.22</v>
      </c>
    </row>
    <row r="169" spans="1:21" x14ac:dyDescent="0.25">
      <c r="A169" t="s">
        <v>121</v>
      </c>
      <c r="B169" t="s">
        <v>122</v>
      </c>
      <c r="C169">
        <v>3</v>
      </c>
      <c r="D169">
        <v>7</v>
      </c>
      <c r="E169">
        <v>21</v>
      </c>
      <c r="F169">
        <v>9235805.5920000002</v>
      </c>
      <c r="G169">
        <v>24474884.82</v>
      </c>
      <c r="H169">
        <v>3843018.7069999999</v>
      </c>
      <c r="I169">
        <v>3843.0187070000002</v>
      </c>
      <c r="J169">
        <v>3.8430187070000001</v>
      </c>
      <c r="K169">
        <v>8472.3959009999999</v>
      </c>
      <c r="L169" s="2">
        <v>1E-3</v>
      </c>
      <c r="M169">
        <v>3</v>
      </c>
      <c r="N169">
        <v>727.03865089999999</v>
      </c>
      <c r="O169" s="2">
        <v>2602.0337512721599</v>
      </c>
      <c r="P169" s="2">
        <v>17617276.7461363</v>
      </c>
      <c r="Q169" s="2">
        <v>42339045.292324699</v>
      </c>
      <c r="R169" s="2">
        <v>112198470.02466001</v>
      </c>
      <c r="S169">
        <v>2615.7600000000002</v>
      </c>
      <c r="T169">
        <v>0.25</v>
      </c>
      <c r="U169">
        <v>0</v>
      </c>
    </row>
    <row r="170" spans="1:21" x14ac:dyDescent="0.25">
      <c r="A170" t="s">
        <v>119</v>
      </c>
      <c r="B170" t="s">
        <v>120</v>
      </c>
      <c r="C170">
        <v>3</v>
      </c>
      <c r="D170">
        <v>3</v>
      </c>
      <c r="E170">
        <v>9</v>
      </c>
      <c r="F170">
        <v>124433.10189999999</v>
      </c>
      <c r="G170">
        <v>329747.71999999997</v>
      </c>
      <c r="H170">
        <v>51776.613700000002</v>
      </c>
      <c r="I170">
        <v>51.776613699999999</v>
      </c>
      <c r="J170">
        <v>5.1776613999999999E-2</v>
      </c>
      <c r="K170">
        <v>114.1477581</v>
      </c>
      <c r="L170">
        <v>2.1399999999999999E-2</v>
      </c>
      <c r="M170">
        <v>2.96</v>
      </c>
      <c r="N170">
        <v>143.43730550000001</v>
      </c>
      <c r="O170" s="2">
        <v>117.386078447359</v>
      </c>
      <c r="P170" s="2">
        <v>28607.4331888491</v>
      </c>
      <c r="Q170" s="2">
        <v>68751.341477647395</v>
      </c>
      <c r="R170" s="2">
        <v>182191.054915766</v>
      </c>
      <c r="S170">
        <v>133.76666666666699</v>
      </c>
      <c r="T170">
        <v>0.3</v>
      </c>
      <c r="U170">
        <v>2</v>
      </c>
    </row>
    <row r="171" spans="1:21" x14ac:dyDescent="0.25">
      <c r="A171" t="s">
        <v>89</v>
      </c>
      <c r="B171" t="s">
        <v>90</v>
      </c>
      <c r="C171">
        <v>3</v>
      </c>
      <c r="D171">
        <v>8</v>
      </c>
      <c r="E171">
        <v>24</v>
      </c>
      <c r="F171">
        <v>23420.529180000001</v>
      </c>
      <c r="G171">
        <v>62064.402329999997</v>
      </c>
      <c r="H171">
        <v>9745.2821920000006</v>
      </c>
      <c r="I171">
        <v>9.7452821919999995</v>
      </c>
      <c r="J171">
        <v>9.7452819999999992E-3</v>
      </c>
      <c r="K171">
        <v>21.484644029999998</v>
      </c>
      <c r="L171" s="2">
        <v>0.05</v>
      </c>
      <c r="M171" s="2">
        <v>3.2</v>
      </c>
      <c r="N171">
        <v>134.1311675</v>
      </c>
      <c r="O171">
        <v>113.104186662766</v>
      </c>
      <c r="P171">
        <v>2893.7835188385902</v>
      </c>
      <c r="Q171">
        <v>6954.53861773275</v>
      </c>
      <c r="R171">
        <v>18429.5273369918</v>
      </c>
      <c r="S171">
        <v>114.3</v>
      </c>
      <c r="T171">
        <v>0.19</v>
      </c>
      <c r="U171">
        <v>0</v>
      </c>
    </row>
    <row r="172" spans="1:21" x14ac:dyDescent="0.25">
      <c r="A172" t="s">
        <v>125</v>
      </c>
      <c r="B172" t="s">
        <v>126</v>
      </c>
      <c r="C172">
        <v>3</v>
      </c>
      <c r="D172">
        <v>1</v>
      </c>
      <c r="E172">
        <v>3</v>
      </c>
      <c r="F172">
        <v>789.95433809999997</v>
      </c>
      <c r="G172">
        <v>2093.3789959999999</v>
      </c>
      <c r="H172">
        <v>328.70000010000001</v>
      </c>
      <c r="I172">
        <v>0.32869999999999999</v>
      </c>
      <c r="J172">
        <v>3.2870000000000002E-4</v>
      </c>
      <c r="K172">
        <v>0.72465859399999999</v>
      </c>
      <c r="L172">
        <v>1.4999999999999999E-2</v>
      </c>
      <c r="M172">
        <v>2.9</v>
      </c>
      <c r="N172">
        <v>31.390339699999998</v>
      </c>
      <c r="O172">
        <v>35.248721987286402</v>
      </c>
      <c r="P172">
        <v>460.05213204372899</v>
      </c>
      <c r="Q172">
        <v>1105.6287720349201</v>
      </c>
      <c r="R172">
        <v>2929.9162458925298</v>
      </c>
      <c r="S172">
        <v>136</v>
      </c>
      <c r="T172">
        <v>0.1</v>
      </c>
      <c r="U172">
        <v>0</v>
      </c>
    </row>
    <row r="173" spans="1:21" x14ac:dyDescent="0.25">
      <c r="A173" t="s">
        <v>131</v>
      </c>
      <c r="B173" t="s">
        <v>132</v>
      </c>
      <c r="C173">
        <v>3</v>
      </c>
      <c r="D173">
        <v>2</v>
      </c>
      <c r="E173">
        <v>6</v>
      </c>
      <c r="F173">
        <v>1548.9065129999999</v>
      </c>
      <c r="G173">
        <v>4104.6022599999997</v>
      </c>
      <c r="H173">
        <v>644.50000009999997</v>
      </c>
      <c r="I173">
        <v>0.64449999999999996</v>
      </c>
      <c r="J173">
        <v>6.445E-4</v>
      </c>
      <c r="K173">
        <v>1.4208775899999999</v>
      </c>
      <c r="L173">
        <v>1.4E-2</v>
      </c>
      <c r="M173">
        <v>2.9</v>
      </c>
      <c r="N173">
        <v>40.547469309999997</v>
      </c>
      <c r="O173">
        <v>31.9354245156124</v>
      </c>
      <c r="P173">
        <v>322.49192680133098</v>
      </c>
      <c r="Q173">
        <v>775.03467147640299</v>
      </c>
      <c r="R173">
        <v>2053.84187941247</v>
      </c>
      <c r="S173">
        <v>45.7</v>
      </c>
      <c r="T173">
        <v>0.2</v>
      </c>
      <c r="U173">
        <v>0</v>
      </c>
    </row>
    <row r="174" spans="1:21" x14ac:dyDescent="0.25">
      <c r="A174" t="s">
        <v>133</v>
      </c>
      <c r="B174" t="s">
        <v>134</v>
      </c>
      <c r="C174">
        <v>3</v>
      </c>
      <c r="D174">
        <v>3</v>
      </c>
      <c r="E174">
        <v>9</v>
      </c>
      <c r="F174">
        <v>1800</v>
      </c>
      <c r="G174">
        <v>4770</v>
      </c>
      <c r="H174">
        <v>748.98</v>
      </c>
      <c r="I174">
        <v>0.74897999999999998</v>
      </c>
      <c r="J174">
        <v>7.4898E-4</v>
      </c>
      <c r="K174">
        <v>1.6512162880000001</v>
      </c>
      <c r="L174">
        <v>1.2699999999999999E-2</v>
      </c>
      <c r="M174">
        <v>3.1</v>
      </c>
      <c r="N174">
        <v>34.587938440000002</v>
      </c>
      <c r="O174">
        <v>67.651058789571707</v>
      </c>
      <c r="P174">
        <v>5993.1476155814598</v>
      </c>
      <c r="Q174">
        <v>14403.1425512652</v>
      </c>
      <c r="R174">
        <v>38168.327760852902</v>
      </c>
      <c r="S174">
        <v>114</v>
      </c>
      <c r="T174">
        <v>0.1</v>
      </c>
      <c r="U174">
        <v>0</v>
      </c>
    </row>
    <row r="175" spans="1:21" x14ac:dyDescent="0.25">
      <c r="A175" t="s">
        <v>127</v>
      </c>
      <c r="B175" t="s">
        <v>128</v>
      </c>
      <c r="C175">
        <v>3</v>
      </c>
      <c r="D175">
        <v>2</v>
      </c>
      <c r="E175">
        <v>6</v>
      </c>
      <c r="F175">
        <v>1548.9065129999999</v>
      </c>
      <c r="G175">
        <v>4104.6022599999997</v>
      </c>
      <c r="H175">
        <v>644.50000009999997</v>
      </c>
      <c r="I175">
        <v>0.64449999999999996</v>
      </c>
      <c r="J175">
        <v>6.445E-4</v>
      </c>
      <c r="K175">
        <v>1.4208775899999999</v>
      </c>
      <c r="L175">
        <v>1.4E-2</v>
      </c>
      <c r="M175">
        <v>3</v>
      </c>
      <c r="N175">
        <v>35.839749210000001</v>
      </c>
      <c r="O175">
        <v>52.666089209578203</v>
      </c>
      <c r="P175">
        <v>2045.13154257155</v>
      </c>
      <c r="Q175">
        <v>4915.0001023108598</v>
      </c>
      <c r="R175">
        <v>13024.750271123799</v>
      </c>
      <c r="S175">
        <v>62.2</v>
      </c>
      <c r="T175">
        <v>0.31</v>
      </c>
      <c r="U175">
        <v>-0.05</v>
      </c>
    </row>
    <row r="176" spans="1:21" x14ac:dyDescent="0.25">
      <c r="A176" t="s">
        <v>135</v>
      </c>
      <c r="B176" t="s">
        <v>136</v>
      </c>
      <c r="C176">
        <v>3</v>
      </c>
      <c r="D176">
        <v>2</v>
      </c>
      <c r="E176">
        <v>6</v>
      </c>
      <c r="F176">
        <v>1548.9065129999999</v>
      </c>
      <c r="G176">
        <v>4104.6022599999997</v>
      </c>
      <c r="H176">
        <v>644.50000009999997</v>
      </c>
      <c r="I176">
        <v>0.64449999999999996</v>
      </c>
      <c r="J176">
        <v>6.445E-4</v>
      </c>
      <c r="K176">
        <v>1.4208775899999999</v>
      </c>
      <c r="L176">
        <v>1.2E-2</v>
      </c>
      <c r="M176">
        <v>3</v>
      </c>
      <c r="N176">
        <v>37.729457320000002</v>
      </c>
      <c r="O176">
        <v>27.097078539430701</v>
      </c>
      <c r="P176">
        <v>238.75290053153901</v>
      </c>
      <c r="Q176">
        <v>573.78731202004099</v>
      </c>
      <c r="R176">
        <v>1520.5363768531099</v>
      </c>
      <c r="S176">
        <v>60.5</v>
      </c>
      <c r="T176">
        <v>9.9000000000000005E-2</v>
      </c>
      <c r="U176">
        <v>0</v>
      </c>
    </row>
    <row r="177" spans="1:21" x14ac:dyDescent="0.25">
      <c r="A177" t="s">
        <v>129</v>
      </c>
      <c r="B177" t="s">
        <v>130</v>
      </c>
      <c r="C177">
        <v>3</v>
      </c>
      <c r="D177">
        <v>2</v>
      </c>
      <c r="E177">
        <v>6</v>
      </c>
      <c r="F177">
        <v>732.42009129999997</v>
      </c>
      <c r="G177">
        <v>1940.9132420000001</v>
      </c>
      <c r="H177">
        <v>304.76</v>
      </c>
      <c r="I177">
        <v>0.30475999999999998</v>
      </c>
      <c r="J177">
        <v>3.0476E-4</v>
      </c>
      <c r="K177">
        <v>0.67187999099999995</v>
      </c>
      <c r="L177">
        <v>1.2500000000000001E-2</v>
      </c>
      <c r="M177">
        <v>2.88</v>
      </c>
      <c r="N177">
        <v>33.364186400000001</v>
      </c>
      <c r="O177">
        <v>35.929953327105402</v>
      </c>
      <c r="P177">
        <v>377.24646058580998</v>
      </c>
      <c r="Q177">
        <v>906.624514745998</v>
      </c>
      <c r="R177">
        <v>2402.55496407689</v>
      </c>
      <c r="S177">
        <v>158</v>
      </c>
      <c r="T177">
        <v>4.2999999999999997E-2</v>
      </c>
      <c r="U177">
        <v>0</v>
      </c>
    </row>
    <row r="178" spans="1:21" x14ac:dyDescent="0.25">
      <c r="A178" t="s">
        <v>137</v>
      </c>
      <c r="B178" t="s">
        <v>138</v>
      </c>
      <c r="C178">
        <v>3</v>
      </c>
      <c r="D178">
        <v>1</v>
      </c>
      <c r="E178">
        <v>3</v>
      </c>
      <c r="F178">
        <v>518.3850036</v>
      </c>
      <c r="G178">
        <v>1373.7202600000001</v>
      </c>
      <c r="H178">
        <v>215.7</v>
      </c>
      <c r="I178">
        <v>0.2157</v>
      </c>
      <c r="J178">
        <v>2.1570000000000001E-4</v>
      </c>
      <c r="K178">
        <v>0.47553653400000001</v>
      </c>
      <c r="L178">
        <v>1.2500000000000001E-2</v>
      </c>
      <c r="M178">
        <v>2.82</v>
      </c>
      <c r="N178">
        <v>31.802483779999999</v>
      </c>
      <c r="O178">
        <v>31.697768259799201</v>
      </c>
      <c r="P178">
        <v>213.70314200022801</v>
      </c>
      <c r="Q178">
        <v>513.58601778473405</v>
      </c>
      <c r="R178">
        <v>1361.00294712954</v>
      </c>
      <c r="S178">
        <v>50</v>
      </c>
      <c r="T178">
        <v>0.33500000000000002</v>
      </c>
      <c r="U178">
        <v>0</v>
      </c>
    </row>
    <row r="179" spans="1:21" x14ac:dyDescent="0.25">
      <c r="A179" t="s">
        <v>21</v>
      </c>
      <c r="B179" t="s">
        <v>22</v>
      </c>
      <c r="C179">
        <v>4</v>
      </c>
      <c r="D179">
        <v>1</v>
      </c>
      <c r="E179">
        <v>4</v>
      </c>
      <c r="F179">
        <v>164.56380680000001</v>
      </c>
      <c r="G179">
        <v>436.094088</v>
      </c>
      <c r="H179">
        <v>68.475000010000002</v>
      </c>
      <c r="I179">
        <v>6.8474999999999994E-2</v>
      </c>
      <c r="J179">
        <v>6.8499999999999998E-5</v>
      </c>
      <c r="K179">
        <v>0.15096135499999999</v>
      </c>
      <c r="L179">
        <v>1.6E-2</v>
      </c>
      <c r="M179">
        <v>3</v>
      </c>
      <c r="N179">
        <v>16.235687599999999</v>
      </c>
      <c r="O179">
        <v>9.3036381492847298</v>
      </c>
      <c r="P179">
        <v>12.8848217588975</v>
      </c>
      <c r="Q179">
        <v>30.9656855537071</v>
      </c>
      <c r="R179">
        <v>82.059066717323901</v>
      </c>
      <c r="S179">
        <v>13.8</v>
      </c>
      <c r="T179">
        <v>0.21</v>
      </c>
      <c r="U179">
        <v>-1.34</v>
      </c>
    </row>
    <row r="180" spans="1:21" x14ac:dyDescent="0.25">
      <c r="A180" t="s">
        <v>95</v>
      </c>
      <c r="B180" s="2" t="s">
        <v>96</v>
      </c>
      <c r="C180">
        <v>4</v>
      </c>
      <c r="D180">
        <v>2</v>
      </c>
      <c r="E180">
        <v>8</v>
      </c>
      <c r="F180">
        <v>1115.2006730000001</v>
      </c>
      <c r="G180">
        <v>2955.281782</v>
      </c>
      <c r="H180">
        <v>464.03500000000003</v>
      </c>
      <c r="I180">
        <v>0.46403499999999998</v>
      </c>
      <c r="J180">
        <v>4.6403500000000001E-4</v>
      </c>
      <c r="K180">
        <v>1.023020842</v>
      </c>
      <c r="L180">
        <v>0.01</v>
      </c>
      <c r="M180">
        <v>3</v>
      </c>
      <c r="N180">
        <v>32.51414389</v>
      </c>
      <c r="O180">
        <v>108.542073552727</v>
      </c>
      <c r="P180">
        <v>17263.470632569901</v>
      </c>
      <c r="Q180">
        <v>41488.754223912299</v>
      </c>
      <c r="R180">
        <v>109945.198693367</v>
      </c>
      <c r="S180">
        <v>136</v>
      </c>
      <c r="T180">
        <v>0.2</v>
      </c>
      <c r="U180">
        <v>0</v>
      </c>
    </row>
    <row r="181" spans="1:21" x14ac:dyDescent="0.25">
      <c r="A181" t="s">
        <v>101</v>
      </c>
      <c r="B181" t="s">
        <v>102</v>
      </c>
      <c r="C181">
        <v>4</v>
      </c>
      <c r="D181">
        <v>2</v>
      </c>
      <c r="E181">
        <v>8</v>
      </c>
      <c r="F181">
        <v>1115.2006730000001</v>
      </c>
      <c r="G181">
        <v>2955.281782</v>
      </c>
      <c r="H181">
        <v>464.03500000000003</v>
      </c>
      <c r="I181">
        <v>0.46403499999999998</v>
      </c>
      <c r="J181">
        <v>4.6403500000000001E-4</v>
      </c>
      <c r="K181">
        <v>1.023020842</v>
      </c>
      <c r="L181">
        <v>1.2E-2</v>
      </c>
      <c r="M181">
        <v>3.1</v>
      </c>
      <c r="N181">
        <v>30.185377429999999</v>
      </c>
      <c r="O181" s="2">
        <v>64.902369224822905</v>
      </c>
      <c r="P181" s="2">
        <v>4979.5368821648699</v>
      </c>
      <c r="Q181" s="2">
        <v>11967.163860045401</v>
      </c>
      <c r="R181" s="2">
        <v>31712.9842291202</v>
      </c>
      <c r="S181">
        <v>150.03333333333299</v>
      </c>
      <c r="T181">
        <v>0.11333333333333299</v>
      </c>
      <c r="U181">
        <v>3</v>
      </c>
    </row>
    <row r="182" spans="1:21" x14ac:dyDescent="0.25">
      <c r="A182" t="s">
        <v>37</v>
      </c>
      <c r="B182" t="s">
        <v>38</v>
      </c>
      <c r="C182">
        <v>4</v>
      </c>
      <c r="D182">
        <v>9</v>
      </c>
      <c r="E182">
        <v>36</v>
      </c>
      <c r="F182">
        <v>1772515152</v>
      </c>
      <c r="G182">
        <v>4697165152</v>
      </c>
      <c r="H182">
        <v>737543554.70000005</v>
      </c>
      <c r="I182">
        <v>737543.55469999998</v>
      </c>
      <c r="J182">
        <v>737.54355469999996</v>
      </c>
      <c r="K182">
        <v>1626003.2720000001</v>
      </c>
      <c r="L182" s="2">
        <v>6.0000000000000001E-3</v>
      </c>
      <c r="M182">
        <v>3</v>
      </c>
      <c r="N182">
        <v>1544.9670639999999</v>
      </c>
      <c r="O182" s="2">
        <v>2097.35996915436</v>
      </c>
      <c r="P182" s="2">
        <v>55356697.698107503</v>
      </c>
      <c r="Q182" s="2">
        <v>133037004.801989</v>
      </c>
      <c r="R182" s="2">
        <v>352548062.72526997</v>
      </c>
      <c r="S182" s="2">
        <v>2097.36</v>
      </c>
      <c r="T182" s="2">
        <v>0.5</v>
      </c>
      <c r="U182" s="2">
        <v>0</v>
      </c>
    </row>
    <row r="183" spans="1:21" x14ac:dyDescent="0.25">
      <c r="A183" s="2" t="s">
        <v>31</v>
      </c>
      <c r="B183" t="s">
        <v>32</v>
      </c>
      <c r="C183">
        <v>4</v>
      </c>
      <c r="D183">
        <v>1</v>
      </c>
      <c r="E183">
        <v>4</v>
      </c>
      <c r="F183">
        <v>164.56380680000001</v>
      </c>
      <c r="G183">
        <v>436.094088</v>
      </c>
      <c r="H183">
        <v>68.475000009479999</v>
      </c>
      <c r="I183">
        <v>6.8475000009479994E-2</v>
      </c>
      <c r="J183">
        <v>6.8475000009480004E-5</v>
      </c>
      <c r="K183">
        <v>0.15096135452090001</v>
      </c>
      <c r="L183" s="3">
        <v>1.1599999999999999E-2</v>
      </c>
      <c r="M183" s="3">
        <v>3</v>
      </c>
      <c r="N183">
        <v>18.072768429706201</v>
      </c>
      <c r="O183" s="2">
        <v>28.455634422780999</v>
      </c>
      <c r="P183" s="2">
        <v>267.27775043602998</v>
      </c>
      <c r="Q183" s="2">
        <v>642.34018369629803</v>
      </c>
      <c r="R183" s="2">
        <v>1702.20148679519</v>
      </c>
      <c r="S183" s="2">
        <v>29.1726666666667</v>
      </c>
      <c r="T183" s="2">
        <v>0.92646666666666699</v>
      </c>
      <c r="U183" s="2">
        <v>0</v>
      </c>
    </row>
    <row r="184" spans="1:21" x14ac:dyDescent="0.25">
      <c r="A184" t="s">
        <v>25</v>
      </c>
      <c r="B184" t="s">
        <v>26</v>
      </c>
      <c r="C184">
        <v>4</v>
      </c>
      <c r="D184">
        <v>3</v>
      </c>
      <c r="E184">
        <v>12</v>
      </c>
      <c r="F184">
        <v>157775.1923</v>
      </c>
      <c r="G184">
        <v>418104.2597</v>
      </c>
      <c r="H184">
        <v>65650.257519999999</v>
      </c>
      <c r="I184">
        <v>65.650257519999997</v>
      </c>
      <c r="J184">
        <v>6.5650258000000003E-2</v>
      </c>
      <c r="K184">
        <v>144.73387070000001</v>
      </c>
      <c r="L184">
        <v>2.1399999999999999E-2</v>
      </c>
      <c r="M184">
        <v>2.96</v>
      </c>
      <c r="N184">
        <v>155.41543279999999</v>
      </c>
      <c r="O184">
        <v>216.681918423838</v>
      </c>
      <c r="P184">
        <v>175569.42327319901</v>
      </c>
      <c r="Q184">
        <v>421940.45487430599</v>
      </c>
      <c r="R184">
        <v>1118142.2054169099</v>
      </c>
      <c r="S184">
        <v>358.7</v>
      </c>
      <c r="T184">
        <v>9.1999999999999998E-2</v>
      </c>
      <c r="U184">
        <v>-1.929</v>
      </c>
    </row>
    <row r="185" spans="1:21" x14ac:dyDescent="0.25">
      <c r="A185" t="s">
        <v>33</v>
      </c>
      <c r="B185" t="s">
        <v>34</v>
      </c>
      <c r="C185">
        <v>4</v>
      </c>
      <c r="D185">
        <v>2</v>
      </c>
      <c r="E185">
        <v>8</v>
      </c>
      <c r="F185">
        <v>1115.2006730000001</v>
      </c>
      <c r="G185">
        <v>2955.281782</v>
      </c>
      <c r="H185">
        <v>464.03500000000003</v>
      </c>
      <c r="I185">
        <v>0.46403499999999998</v>
      </c>
      <c r="J185">
        <v>4.6403500000000001E-4</v>
      </c>
      <c r="K185">
        <v>1.023020842</v>
      </c>
      <c r="L185">
        <v>1.4999999999999999E-2</v>
      </c>
      <c r="M185">
        <v>3</v>
      </c>
      <c r="N185">
        <v>31.392060780000001</v>
      </c>
      <c r="O185">
        <v>48.294411378158401</v>
      </c>
      <c r="P185">
        <v>1689.5921790812799</v>
      </c>
      <c r="Q185">
        <v>4060.5435690489899</v>
      </c>
      <c r="R185">
        <v>10760.440457979799</v>
      </c>
      <c r="S185" s="4">
        <v>58.9</v>
      </c>
      <c r="T185" s="4">
        <v>0.22</v>
      </c>
      <c r="U185" s="4">
        <v>0.20699999999999999</v>
      </c>
    </row>
    <row r="186" spans="1:21" x14ac:dyDescent="0.25">
      <c r="A186" t="s">
        <v>29</v>
      </c>
      <c r="B186" t="s">
        <v>30</v>
      </c>
      <c r="C186">
        <v>4</v>
      </c>
      <c r="D186">
        <v>7</v>
      </c>
      <c r="E186" s="2">
        <v>28</v>
      </c>
      <c r="F186">
        <v>32899.059300000001</v>
      </c>
      <c r="G186">
        <v>87183.557100000005</v>
      </c>
      <c r="H186">
        <v>13689.298570000001</v>
      </c>
      <c r="I186">
        <v>13.68929857</v>
      </c>
      <c r="J186">
        <v>1.3689299E-2</v>
      </c>
      <c r="K186">
        <v>30.179701420000001</v>
      </c>
      <c r="L186">
        <v>3.2499999999999999E-3</v>
      </c>
      <c r="M186">
        <v>3</v>
      </c>
      <c r="N186">
        <v>161.49755250000001</v>
      </c>
      <c r="O186">
        <v>280.56823625707199</v>
      </c>
      <c r="P186">
        <v>71779.2418875851</v>
      </c>
      <c r="Q186">
        <v>172504.78704057899</v>
      </c>
      <c r="R186">
        <v>457137.68565753498</v>
      </c>
      <c r="S186">
        <v>282</v>
      </c>
      <c r="T186">
        <v>0.18</v>
      </c>
      <c r="U186">
        <v>-1.35</v>
      </c>
    </row>
    <row r="187" spans="1:21" x14ac:dyDescent="0.25">
      <c r="A187" t="s">
        <v>23</v>
      </c>
      <c r="B187" t="s">
        <v>24</v>
      </c>
      <c r="C187">
        <v>4</v>
      </c>
      <c r="D187">
        <v>3</v>
      </c>
      <c r="E187">
        <v>12</v>
      </c>
      <c r="F187">
        <v>157775.1923</v>
      </c>
      <c r="G187">
        <v>418104.2597</v>
      </c>
      <c r="H187">
        <v>65650.257519999999</v>
      </c>
      <c r="I187">
        <v>65.650257519999997</v>
      </c>
      <c r="J187">
        <v>6.5650258000000003E-2</v>
      </c>
      <c r="K187">
        <v>144.73387070000001</v>
      </c>
      <c r="L187">
        <v>2.5999999999999999E-2</v>
      </c>
      <c r="M187">
        <v>3</v>
      </c>
      <c r="N187">
        <v>197.1142183</v>
      </c>
      <c r="O187">
        <v>195.219567489963</v>
      </c>
      <c r="P187">
        <v>63904.800593289401</v>
      </c>
      <c r="Q187">
        <v>153580.39075532201</v>
      </c>
      <c r="R187">
        <v>406988.03550160298</v>
      </c>
      <c r="S187">
        <v>314.89999999999998</v>
      </c>
      <c r="T187">
        <v>8.8999999999999996E-2</v>
      </c>
      <c r="U187">
        <v>-1.1299999999999999</v>
      </c>
    </row>
    <row r="188" spans="1:21" x14ac:dyDescent="0.25">
      <c r="A188" t="s">
        <v>27</v>
      </c>
      <c r="B188" t="s">
        <v>28</v>
      </c>
      <c r="C188">
        <v>4</v>
      </c>
      <c r="D188">
        <v>1</v>
      </c>
      <c r="E188">
        <v>4</v>
      </c>
      <c r="F188">
        <v>5996.8757509999996</v>
      </c>
      <c r="G188">
        <v>15891.720740000001</v>
      </c>
      <c r="H188">
        <v>2495.3000000000002</v>
      </c>
      <c r="I188">
        <v>2.4952999999999999</v>
      </c>
      <c r="J188">
        <v>2.4953000000000002E-3</v>
      </c>
      <c r="K188">
        <v>5.5011882859999996</v>
      </c>
      <c r="L188">
        <v>1.0999999999999999E-2</v>
      </c>
      <c r="M188">
        <v>2.9</v>
      </c>
      <c r="N188">
        <v>70.275424290000004</v>
      </c>
      <c r="O188">
        <v>60.031760443786702</v>
      </c>
      <c r="P188">
        <v>1580.14817967457</v>
      </c>
      <c r="Q188">
        <v>3797.5202587709</v>
      </c>
      <c r="R188">
        <v>10063.4286857429</v>
      </c>
      <c r="S188">
        <v>81.53</v>
      </c>
      <c r="T188">
        <v>0.31</v>
      </c>
      <c r="U188">
        <v>-0.3</v>
      </c>
    </row>
    <row r="189" spans="1:21" x14ac:dyDescent="0.25">
      <c r="A189" t="s">
        <v>35</v>
      </c>
      <c r="B189" t="s">
        <v>36</v>
      </c>
      <c r="C189">
        <v>4</v>
      </c>
      <c r="D189">
        <v>1</v>
      </c>
      <c r="E189">
        <v>4</v>
      </c>
      <c r="F189">
        <v>164.56380680000001</v>
      </c>
      <c r="G189">
        <v>436.094088</v>
      </c>
      <c r="H189">
        <v>68.475000010000002</v>
      </c>
      <c r="I189">
        <v>6.8474999999999994E-2</v>
      </c>
      <c r="J189">
        <v>6.8499999999999998E-5</v>
      </c>
      <c r="K189">
        <v>0.15096135499999999</v>
      </c>
      <c r="L189">
        <v>2.1000000000000001E-2</v>
      </c>
      <c r="M189">
        <v>3</v>
      </c>
      <c r="N189">
        <v>14.82873994</v>
      </c>
      <c r="O189">
        <v>20.385323357724399</v>
      </c>
      <c r="P189">
        <v>177.89842738929701</v>
      </c>
      <c r="Q189">
        <v>427.53767697499899</v>
      </c>
      <c r="R189">
        <v>1132.9748439837499</v>
      </c>
      <c r="S189" s="4">
        <v>21.02</v>
      </c>
      <c r="T189" s="4">
        <v>0.86</v>
      </c>
      <c r="U189" s="4">
        <v>-6.9989999999999997E-2</v>
      </c>
    </row>
    <row r="190" spans="1:21" x14ac:dyDescent="0.25">
      <c r="A190" t="s">
        <v>39</v>
      </c>
      <c r="B190" t="s">
        <v>40</v>
      </c>
      <c r="C190">
        <v>4</v>
      </c>
      <c r="D190">
        <v>2</v>
      </c>
      <c r="E190">
        <v>8</v>
      </c>
      <c r="F190">
        <v>14625.69094</v>
      </c>
      <c r="G190">
        <v>38758.080979999999</v>
      </c>
      <c r="H190">
        <v>6085.75</v>
      </c>
      <c r="I190">
        <v>6.08575</v>
      </c>
      <c r="J190">
        <v>6.08575E-3</v>
      </c>
      <c r="K190">
        <v>13.416766170000001</v>
      </c>
      <c r="L190">
        <v>1.2E-2</v>
      </c>
      <c r="M190">
        <v>3</v>
      </c>
      <c r="N190">
        <v>79.746375599999993</v>
      </c>
      <c r="O190">
        <v>87.425158113596197</v>
      </c>
      <c r="P190">
        <v>8018.4518441494702</v>
      </c>
      <c r="Q190">
        <v>19270.492295480599</v>
      </c>
      <c r="R190">
        <v>51066.804583023499</v>
      </c>
      <c r="S190">
        <v>150.93</v>
      </c>
      <c r="T190">
        <v>0.11</v>
      </c>
      <c r="U190">
        <v>0.13</v>
      </c>
    </row>
    <row r="191" spans="1:21" x14ac:dyDescent="0.25">
      <c r="A191" t="s">
        <v>45</v>
      </c>
      <c r="B191" t="s">
        <v>46</v>
      </c>
      <c r="C191">
        <v>4</v>
      </c>
      <c r="D191">
        <v>5</v>
      </c>
      <c r="E191">
        <v>20</v>
      </c>
      <c r="F191">
        <v>6322.386939</v>
      </c>
      <c r="G191">
        <v>16754.325390000002</v>
      </c>
      <c r="H191">
        <v>2630.7452050000002</v>
      </c>
      <c r="I191">
        <v>2.6307452050000002</v>
      </c>
      <c r="J191">
        <v>2.6307449999999999E-3</v>
      </c>
      <c r="K191">
        <v>5.7997934950000003</v>
      </c>
      <c r="L191">
        <v>3.96E-3</v>
      </c>
      <c r="M191">
        <v>3.2</v>
      </c>
      <c r="N191">
        <v>65.99254474</v>
      </c>
      <c r="O191" s="2">
        <v>295.71252572623899</v>
      </c>
      <c r="P191" s="2">
        <v>319505.46579705598</v>
      </c>
      <c r="Q191" s="2">
        <v>767857.40398235095</v>
      </c>
      <c r="R191" s="2">
        <v>2034822.1205532299</v>
      </c>
      <c r="S191" s="2">
        <v>300.78571428571399</v>
      </c>
      <c r="T191" s="2">
        <v>0.24014285714285699</v>
      </c>
      <c r="U191" s="2">
        <v>3</v>
      </c>
    </row>
    <row r="192" spans="1:21" x14ac:dyDescent="0.25">
      <c r="A192" t="s">
        <v>43</v>
      </c>
      <c r="B192" t="s">
        <v>44</v>
      </c>
      <c r="C192">
        <v>4</v>
      </c>
      <c r="D192">
        <v>2</v>
      </c>
      <c r="E192">
        <v>8</v>
      </c>
      <c r="F192">
        <v>1115.2006730000001</v>
      </c>
      <c r="G192">
        <v>2955.281782</v>
      </c>
      <c r="H192">
        <v>464.03500000000003</v>
      </c>
      <c r="I192">
        <v>0.46403499999999998</v>
      </c>
      <c r="J192">
        <v>4.6403500000000001E-4</v>
      </c>
      <c r="K192">
        <v>1.023020842</v>
      </c>
      <c r="L192">
        <v>1.44E-2</v>
      </c>
      <c r="M192">
        <v>3</v>
      </c>
      <c r="N192">
        <v>31.822142450000001</v>
      </c>
      <c r="O192" s="2">
        <v>46.310821547799101</v>
      </c>
      <c r="P192" s="2">
        <v>1430.2433865410001</v>
      </c>
      <c r="Q192" s="2">
        <v>3437.2587996659399</v>
      </c>
      <c r="R192" s="2">
        <v>9108.7358191147505</v>
      </c>
      <c r="S192" s="2">
        <v>47.633333333333297</v>
      </c>
      <c r="T192" s="2">
        <v>0.44800000000000001</v>
      </c>
      <c r="U192" s="2">
        <v>0</v>
      </c>
    </row>
    <row r="193" spans="1:21" x14ac:dyDescent="0.25">
      <c r="A193" t="s">
        <v>53</v>
      </c>
      <c r="B193" t="s">
        <v>54</v>
      </c>
      <c r="C193">
        <v>4</v>
      </c>
      <c r="D193">
        <v>2</v>
      </c>
      <c r="E193">
        <v>8</v>
      </c>
      <c r="F193">
        <v>2095.4578219999999</v>
      </c>
      <c r="G193">
        <v>5552.9632300000003</v>
      </c>
      <c r="H193">
        <v>871.91999969999995</v>
      </c>
      <c r="I193">
        <v>0.87192000000000003</v>
      </c>
      <c r="J193">
        <v>8.7191999999999999E-4</v>
      </c>
      <c r="K193">
        <v>1.92225227</v>
      </c>
      <c r="L193">
        <v>1.2E-2</v>
      </c>
      <c r="M193">
        <v>2.95</v>
      </c>
      <c r="N193">
        <v>44.45255659</v>
      </c>
      <c r="O193">
        <v>30.476908144904201</v>
      </c>
      <c r="P193">
        <v>286.34883404136099</v>
      </c>
      <c r="Q193">
        <v>688.17311713857498</v>
      </c>
      <c r="R193">
        <v>1823.65876041722</v>
      </c>
      <c r="S193">
        <v>41</v>
      </c>
      <c r="T193">
        <v>0.17</v>
      </c>
      <c r="U193">
        <v>0</v>
      </c>
    </row>
    <row r="194" spans="1:21" x14ac:dyDescent="0.25">
      <c r="A194" t="s">
        <v>57</v>
      </c>
      <c r="B194" t="s">
        <v>58</v>
      </c>
      <c r="C194">
        <v>4</v>
      </c>
      <c r="D194">
        <v>2</v>
      </c>
      <c r="E194">
        <v>8</v>
      </c>
      <c r="F194">
        <v>5681.3266039999999</v>
      </c>
      <c r="G194">
        <v>15055.5155</v>
      </c>
      <c r="H194">
        <v>2364</v>
      </c>
      <c r="I194">
        <v>2.3639999999999999</v>
      </c>
      <c r="J194">
        <v>2.3640000000000002E-3</v>
      </c>
      <c r="K194">
        <v>5.2117216800000001</v>
      </c>
      <c r="L194">
        <v>4.0000000000000001E-3</v>
      </c>
      <c r="M194">
        <v>3.1</v>
      </c>
      <c r="N194">
        <v>58.513375859999996</v>
      </c>
      <c r="O194">
        <v>69.928435329977106</v>
      </c>
      <c r="P194">
        <v>4034.99907909485</v>
      </c>
      <c r="Q194">
        <v>9697.1859627369704</v>
      </c>
      <c r="R194">
        <v>25697.542801252999</v>
      </c>
      <c r="S194">
        <v>72.900000000000006</v>
      </c>
      <c r="T194">
        <v>0.4</v>
      </c>
      <c r="U194">
        <v>0</v>
      </c>
    </row>
    <row r="195" spans="1:21" x14ac:dyDescent="0.25">
      <c r="A195" t="s">
        <v>59</v>
      </c>
      <c r="B195" t="s">
        <v>60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61</v>
      </c>
      <c r="B196" t="s">
        <v>62</v>
      </c>
      <c r="C196">
        <v>4</v>
      </c>
      <c r="D196">
        <v>1</v>
      </c>
      <c r="E196">
        <v>4</v>
      </c>
      <c r="F196">
        <v>197.62076429999999</v>
      </c>
      <c r="G196">
        <v>523.6950253</v>
      </c>
      <c r="H196">
        <v>82.230000029999999</v>
      </c>
      <c r="I196">
        <v>8.2229999999999998E-2</v>
      </c>
      <c r="J196">
        <v>8.2200000000000006E-5</v>
      </c>
      <c r="K196">
        <v>0.181285903</v>
      </c>
      <c r="L196">
        <v>1.2500000000000001E-2</v>
      </c>
      <c r="M196">
        <v>3</v>
      </c>
      <c r="N196">
        <v>18.73728916</v>
      </c>
      <c r="O196">
        <v>22.527025878949601</v>
      </c>
      <c r="P196">
        <v>142.89649844085301</v>
      </c>
      <c r="Q196">
        <v>343.418645616086</v>
      </c>
      <c r="R196">
        <v>910.05941088262796</v>
      </c>
      <c r="S196">
        <v>33.700000000000003</v>
      </c>
      <c r="T196">
        <v>0.32</v>
      </c>
      <c r="U196">
        <v>0.55000000000000004</v>
      </c>
    </row>
    <row r="197" spans="1:21" x14ac:dyDescent="0.25">
      <c r="A197" t="s">
        <v>63</v>
      </c>
      <c r="B197" t="s">
        <v>64</v>
      </c>
      <c r="C197">
        <v>4</v>
      </c>
      <c r="D197">
        <v>2</v>
      </c>
      <c r="E197">
        <v>8</v>
      </c>
      <c r="F197">
        <v>1115.2006730000001</v>
      </c>
      <c r="G197">
        <v>2955.281782</v>
      </c>
      <c r="H197">
        <v>464.03500000000003</v>
      </c>
      <c r="I197">
        <v>0.46403499999999998</v>
      </c>
      <c r="J197">
        <v>4.6403500000000001E-4</v>
      </c>
      <c r="K197">
        <v>1.023020842</v>
      </c>
      <c r="L197">
        <v>1.2E-2</v>
      </c>
      <c r="M197">
        <v>3.1</v>
      </c>
      <c r="N197">
        <v>30.185377429999999</v>
      </c>
      <c r="O197">
        <v>41.533424555676298</v>
      </c>
      <c r="P197">
        <v>1247.9990208489401</v>
      </c>
      <c r="Q197">
        <v>2999.27666630363</v>
      </c>
      <c r="R197">
        <v>7948.0831657046101</v>
      </c>
      <c r="S197">
        <v>42.5</v>
      </c>
      <c r="T197">
        <v>0.47</v>
      </c>
      <c r="U197">
        <v>0.05</v>
      </c>
    </row>
    <row r="198" spans="1:21" x14ac:dyDescent="0.25">
      <c r="A198" t="s">
        <v>65</v>
      </c>
      <c r="B198" t="s">
        <v>66</v>
      </c>
      <c r="C198">
        <v>4</v>
      </c>
      <c r="D198">
        <v>3</v>
      </c>
      <c r="E198">
        <v>12</v>
      </c>
      <c r="F198">
        <v>3129.99</v>
      </c>
      <c r="G198">
        <v>8294.48</v>
      </c>
      <c r="H198">
        <v>1302.388839</v>
      </c>
      <c r="I198">
        <v>1.302388839</v>
      </c>
      <c r="J198">
        <v>1.3023889999999999E-3</v>
      </c>
      <c r="K198">
        <v>2.8712724820000002</v>
      </c>
      <c r="L198">
        <v>1.2699999999999999E-2</v>
      </c>
      <c r="M198">
        <v>3.1</v>
      </c>
      <c r="N198">
        <v>41.345787909999999</v>
      </c>
      <c r="O198">
        <v>52.036604903823701</v>
      </c>
      <c r="P198">
        <v>2656.8159932613798</v>
      </c>
      <c r="Q198">
        <v>6385.0420410030802</v>
      </c>
      <c r="R198">
        <v>16920.361408658198</v>
      </c>
      <c r="S198">
        <v>52.7</v>
      </c>
      <c r="T198">
        <v>0.35</v>
      </c>
      <c r="U198">
        <v>-0.5</v>
      </c>
    </row>
    <row r="199" spans="1:21" x14ac:dyDescent="0.25">
      <c r="A199" t="s">
        <v>67</v>
      </c>
      <c r="B199" t="s">
        <v>68</v>
      </c>
      <c r="C199">
        <v>4</v>
      </c>
      <c r="D199">
        <v>1</v>
      </c>
      <c r="E199">
        <v>4</v>
      </c>
      <c r="F199">
        <v>230.06</v>
      </c>
      <c r="G199">
        <v>609.66999999999996</v>
      </c>
      <c r="H199">
        <v>95.727965999999995</v>
      </c>
      <c r="I199">
        <v>9.5727965999999998E-2</v>
      </c>
      <c r="J199">
        <v>9.5699999999999995E-5</v>
      </c>
      <c r="K199">
        <v>0.21104378800000001</v>
      </c>
      <c r="L199">
        <v>1.29E-2</v>
      </c>
      <c r="M199">
        <v>3.05</v>
      </c>
      <c r="N199">
        <v>18.578032220000001</v>
      </c>
      <c r="O199">
        <v>31.769001694483102</v>
      </c>
      <c r="P199">
        <v>491.70043460235098</v>
      </c>
      <c r="Q199">
        <v>1181.6881389145699</v>
      </c>
      <c r="R199">
        <v>3131.4735681236002</v>
      </c>
      <c r="S199">
        <v>40.6</v>
      </c>
      <c r="T199">
        <v>0.27</v>
      </c>
      <c r="U199">
        <v>-1.65</v>
      </c>
    </row>
    <row r="200" spans="1:21" x14ac:dyDescent="0.25">
      <c r="A200" t="s">
        <v>69</v>
      </c>
      <c r="B200" t="s">
        <v>70</v>
      </c>
      <c r="C200">
        <v>4</v>
      </c>
      <c r="D200">
        <v>1</v>
      </c>
      <c r="E200">
        <v>4</v>
      </c>
      <c r="F200">
        <v>242.73011299999999</v>
      </c>
      <c r="G200">
        <v>643.23479940000004</v>
      </c>
      <c r="H200">
        <v>101</v>
      </c>
      <c r="I200">
        <v>0.10100000000000001</v>
      </c>
      <c r="J200">
        <v>1.01E-4</v>
      </c>
      <c r="K200">
        <v>0.22266662000000001</v>
      </c>
      <c r="L200">
        <v>0.01</v>
      </c>
      <c r="M200">
        <v>2.9</v>
      </c>
      <c r="N200">
        <v>24.032584270000001</v>
      </c>
      <c r="O200">
        <v>23.379958000502999</v>
      </c>
      <c r="P200">
        <v>93.249563450422599</v>
      </c>
      <c r="Q200">
        <v>224.10373335838199</v>
      </c>
      <c r="R200">
        <v>593.87489339971205</v>
      </c>
      <c r="S200">
        <v>37.700000000000003</v>
      </c>
      <c r="T200">
        <v>0.24199999999999999</v>
      </c>
      <c r="U200">
        <v>0</v>
      </c>
    </row>
    <row r="201" spans="1:21" x14ac:dyDescent="0.25">
      <c r="A201" s="2" t="s">
        <v>71</v>
      </c>
      <c r="B201" t="s">
        <v>72</v>
      </c>
      <c r="C201">
        <v>4</v>
      </c>
      <c r="D201">
        <v>1</v>
      </c>
      <c r="E201">
        <v>4</v>
      </c>
      <c r="F201">
        <v>5.0829127610000002</v>
      </c>
      <c r="G201">
        <v>13.469718820000001</v>
      </c>
      <c r="H201">
        <v>2.1149999998520999</v>
      </c>
      <c r="I201">
        <v>2.1149999998521002E-3</v>
      </c>
      <c r="J201">
        <v>2.1149999998521001E-6</v>
      </c>
      <c r="K201">
        <v>4.6627712996739398E-3</v>
      </c>
      <c r="L201" s="3">
        <v>1.0999999999999999E-2</v>
      </c>
      <c r="M201" s="3">
        <v>3.01</v>
      </c>
      <c r="N201">
        <v>5.7382126697745797</v>
      </c>
      <c r="O201" s="2">
        <v>7.1298388991625803</v>
      </c>
      <c r="P201" s="2">
        <v>4.0659556123430098</v>
      </c>
      <c r="Q201" s="2">
        <v>9.7715828222615002</v>
      </c>
      <c r="R201" s="2">
        <v>25.894694478992999</v>
      </c>
      <c r="S201">
        <v>9</v>
      </c>
      <c r="T201">
        <v>0.32</v>
      </c>
      <c r="U201">
        <v>-0.91</v>
      </c>
    </row>
    <row r="202" spans="1:21" x14ac:dyDescent="0.25">
      <c r="A202" s="2" t="s">
        <v>49</v>
      </c>
      <c r="B202" t="s">
        <v>50</v>
      </c>
      <c r="C202">
        <v>4</v>
      </c>
      <c r="D202">
        <v>1</v>
      </c>
      <c r="E202">
        <v>4</v>
      </c>
      <c r="F202">
        <v>1115.2006730000001</v>
      </c>
      <c r="G202">
        <v>2955.281782</v>
      </c>
      <c r="H202">
        <v>464.03500003530002</v>
      </c>
      <c r="I202">
        <v>0.46403500003530002</v>
      </c>
      <c r="J202">
        <v>4.6403500003530001E-4</v>
      </c>
      <c r="K202">
        <v>1.0230208417778199</v>
      </c>
      <c r="L202" s="3">
        <v>1.2E-2</v>
      </c>
      <c r="M202" s="3">
        <v>3.1</v>
      </c>
      <c r="N202">
        <v>30.185377428940999</v>
      </c>
      <c r="O202" s="2">
        <v>32.223267476085503</v>
      </c>
      <c r="P202" s="2">
        <v>568.20746158456905</v>
      </c>
      <c r="Q202" s="2">
        <v>1365.55506268822</v>
      </c>
      <c r="R202" s="2">
        <v>3618.7209161237902</v>
      </c>
      <c r="S202" s="2">
        <v>54.3</v>
      </c>
      <c r="T202" s="2">
        <v>0.22500000000000001</v>
      </c>
      <c r="U202" s="2">
        <v>0</v>
      </c>
    </row>
    <row r="203" spans="1:21" x14ac:dyDescent="0.25">
      <c r="A203" t="s">
        <v>55</v>
      </c>
      <c r="B203" t="s">
        <v>56</v>
      </c>
      <c r="C203">
        <v>4</v>
      </c>
      <c r="D203">
        <v>1</v>
      </c>
      <c r="E203">
        <v>4</v>
      </c>
      <c r="F203">
        <v>1113.4342710000001</v>
      </c>
      <c r="G203">
        <v>2950.600817</v>
      </c>
      <c r="H203">
        <v>463.3000002</v>
      </c>
      <c r="I203">
        <v>0.46329999999999999</v>
      </c>
      <c r="J203">
        <v>4.6329999999999999E-4</v>
      </c>
      <c r="K203">
        <v>1.0214004459999999</v>
      </c>
      <c r="L203">
        <v>1.2999999999999999E-2</v>
      </c>
      <c r="M203">
        <v>3</v>
      </c>
      <c r="N203">
        <v>32.908365789999998</v>
      </c>
      <c r="O203">
        <v>47.569631324395502</v>
      </c>
      <c r="P203">
        <v>1399.3704826257199</v>
      </c>
      <c r="Q203">
        <v>3363.0629238781898</v>
      </c>
      <c r="R203">
        <v>8912.1167482772107</v>
      </c>
      <c r="S203">
        <v>152</v>
      </c>
      <c r="T203">
        <v>9.6000000000000002E-2</v>
      </c>
      <c r="U203">
        <v>0.09</v>
      </c>
    </row>
    <row r="204" spans="1:21" x14ac:dyDescent="0.25">
      <c r="A204" t="s">
        <v>75</v>
      </c>
      <c r="B204" t="s">
        <v>76</v>
      </c>
      <c r="C204">
        <v>4</v>
      </c>
      <c r="D204">
        <v>2</v>
      </c>
      <c r="E204">
        <v>8</v>
      </c>
      <c r="F204">
        <v>1115.2006730000001</v>
      </c>
      <c r="G204">
        <v>2955.281782</v>
      </c>
      <c r="H204">
        <v>464.03500000000003</v>
      </c>
      <c r="I204">
        <v>0.46403499999999998</v>
      </c>
      <c r="J204">
        <v>4.6403500000000001E-4</v>
      </c>
      <c r="K204">
        <v>1.023020842</v>
      </c>
      <c r="L204">
        <v>2.5000000000000001E-3</v>
      </c>
      <c r="M204">
        <v>3.1</v>
      </c>
      <c r="N204">
        <v>50.067032159999997</v>
      </c>
      <c r="O204">
        <v>70.167309303645197</v>
      </c>
      <c r="P204">
        <v>1321.16773813174</v>
      </c>
      <c r="Q204">
        <v>3175.12073571675</v>
      </c>
      <c r="R204">
        <v>8414.0699496493799</v>
      </c>
      <c r="S204">
        <v>122</v>
      </c>
      <c r="T204">
        <v>0.107</v>
      </c>
      <c r="U204">
        <v>0</v>
      </c>
    </row>
    <row r="205" spans="1:21" x14ac:dyDescent="0.25">
      <c r="A205" t="s">
        <v>73</v>
      </c>
      <c r="B205" t="s">
        <v>74</v>
      </c>
      <c r="C205">
        <v>4</v>
      </c>
      <c r="D205">
        <v>2</v>
      </c>
      <c r="E205">
        <v>8</v>
      </c>
      <c r="F205">
        <v>1115.2006730000001</v>
      </c>
      <c r="G205">
        <v>2955.281782</v>
      </c>
      <c r="H205">
        <v>464.03500000000003</v>
      </c>
      <c r="I205">
        <v>0.46403499999999998</v>
      </c>
      <c r="J205">
        <v>4.6403500000000001E-4</v>
      </c>
      <c r="K205">
        <v>1.023020842</v>
      </c>
      <c r="L205">
        <v>1.4E-2</v>
      </c>
      <c r="M205">
        <v>2.8</v>
      </c>
      <c r="N205">
        <v>41.156333680000003</v>
      </c>
      <c r="O205">
        <v>42.075775142161099</v>
      </c>
      <c r="P205">
        <v>493.64868805058802</v>
      </c>
      <c r="Q205">
        <v>1186.3703149497401</v>
      </c>
      <c r="R205">
        <v>3143.8813346168199</v>
      </c>
      <c r="S205">
        <v>43</v>
      </c>
      <c r="T205">
        <v>0.48</v>
      </c>
      <c r="U205">
        <v>0</v>
      </c>
    </row>
    <row r="206" spans="1:21" x14ac:dyDescent="0.25">
      <c r="A206" s="2" t="s">
        <v>51</v>
      </c>
      <c r="B206" t="s">
        <v>52</v>
      </c>
      <c r="C206">
        <v>4</v>
      </c>
      <c r="D206">
        <v>1</v>
      </c>
      <c r="E206">
        <v>4</v>
      </c>
      <c r="F206">
        <v>2095.4578219999999</v>
      </c>
      <c r="G206">
        <v>5552.9632300000003</v>
      </c>
      <c r="H206">
        <v>871.91999973420002</v>
      </c>
      <c r="I206">
        <v>0.87191999973419998</v>
      </c>
      <c r="J206">
        <v>8.7191999973420002E-4</v>
      </c>
      <c r="K206">
        <v>1.9222522698140101</v>
      </c>
      <c r="L206" s="3">
        <v>1.24E-2</v>
      </c>
      <c r="M206" s="3">
        <v>3.2</v>
      </c>
      <c r="N206">
        <v>32.711817394436999</v>
      </c>
      <c r="O206" s="2">
        <v>11.951381534539401</v>
      </c>
      <c r="P206" s="2">
        <v>34.7663934151836</v>
      </c>
      <c r="Q206" s="2">
        <v>83.552976244132694</v>
      </c>
      <c r="R206" s="2">
        <v>221.41538704695199</v>
      </c>
      <c r="S206">
        <v>20.9</v>
      </c>
      <c r="T206">
        <v>0.19500000000000001</v>
      </c>
      <c r="U206">
        <v>-0.35</v>
      </c>
    </row>
    <row r="207" spans="1:21" x14ac:dyDescent="0.25">
      <c r="A207" t="s">
        <v>85</v>
      </c>
      <c r="B207" t="s">
        <v>86</v>
      </c>
      <c r="C207">
        <v>4</v>
      </c>
      <c r="D207">
        <v>7</v>
      </c>
      <c r="E207">
        <v>28</v>
      </c>
      <c r="F207">
        <v>32899.059300000001</v>
      </c>
      <c r="G207">
        <v>87183.557100000005</v>
      </c>
      <c r="H207">
        <v>13689.298570000001</v>
      </c>
      <c r="I207">
        <v>13.68929857</v>
      </c>
      <c r="J207">
        <v>1.3689299E-2</v>
      </c>
      <c r="K207">
        <v>30.179701420000001</v>
      </c>
      <c r="L207">
        <v>5.2399999999999999E-3</v>
      </c>
      <c r="M207">
        <v>3.141</v>
      </c>
      <c r="N207">
        <v>110.4068024</v>
      </c>
      <c r="O207" s="2">
        <v>299.06629554485397</v>
      </c>
      <c r="P207" s="2">
        <v>313124.40229506698</v>
      </c>
      <c r="Q207" s="2">
        <v>752521.99542193499</v>
      </c>
      <c r="R207" s="2">
        <v>1994183.28786813</v>
      </c>
      <c r="S207">
        <v>309.24444444444401</v>
      </c>
      <c r="T207">
        <v>0.13655555555555601</v>
      </c>
      <c r="U207">
        <v>3</v>
      </c>
    </row>
    <row r="208" spans="1:21" x14ac:dyDescent="0.25">
      <c r="A208" t="s">
        <v>77</v>
      </c>
      <c r="B208" t="s">
        <v>78</v>
      </c>
      <c r="C208">
        <v>4</v>
      </c>
      <c r="D208">
        <v>3</v>
      </c>
      <c r="E208">
        <v>12</v>
      </c>
      <c r="F208">
        <v>155824.3573</v>
      </c>
      <c r="G208">
        <v>412934.54680000001</v>
      </c>
      <c r="H208">
        <v>64838.515070000001</v>
      </c>
      <c r="I208">
        <v>64.83851507</v>
      </c>
      <c r="J208">
        <v>6.4838514999999999E-2</v>
      </c>
      <c r="K208">
        <v>142.9442871</v>
      </c>
      <c r="L208">
        <v>3.5000000000000003E-2</v>
      </c>
      <c r="M208">
        <v>2.9</v>
      </c>
      <c r="N208">
        <v>144.9767238</v>
      </c>
      <c r="O208" s="2">
        <v>207.89041069511799</v>
      </c>
      <c r="P208" s="2">
        <v>184411.487200932</v>
      </c>
      <c r="Q208" s="2">
        <v>443190.308101253</v>
      </c>
      <c r="R208" s="2">
        <v>1174454.3164683201</v>
      </c>
      <c r="S208">
        <v>208.40700000000001</v>
      </c>
      <c r="T208">
        <v>0.5</v>
      </c>
      <c r="U208">
        <v>0</v>
      </c>
    </row>
    <row r="209" spans="1:21" x14ac:dyDescent="0.25">
      <c r="A209" t="s">
        <v>79</v>
      </c>
      <c r="B209" t="s">
        <v>80</v>
      </c>
      <c r="C209">
        <v>4</v>
      </c>
      <c r="D209">
        <v>2</v>
      </c>
      <c r="E209">
        <v>8</v>
      </c>
      <c r="F209">
        <v>2095.4578219999999</v>
      </c>
      <c r="G209">
        <v>5552.9632300000003</v>
      </c>
      <c r="H209">
        <v>871.91999969999995</v>
      </c>
      <c r="I209">
        <v>0.87192000000000003</v>
      </c>
      <c r="J209">
        <v>8.7191999999999999E-4</v>
      </c>
      <c r="K209">
        <v>1.92225227</v>
      </c>
      <c r="L209">
        <v>3.3999999999999998E-3</v>
      </c>
      <c r="M209">
        <v>3.2850000000000001</v>
      </c>
      <c r="N209">
        <v>32.71181739</v>
      </c>
      <c r="O209">
        <v>44.526019460481997</v>
      </c>
      <c r="P209">
        <v>2338.7622478785102</v>
      </c>
      <c r="Q209">
        <v>5620.6735108832199</v>
      </c>
      <c r="R209">
        <v>14894.784803840501</v>
      </c>
      <c r="S209">
        <v>59.9</v>
      </c>
      <c r="T209">
        <v>0.17</v>
      </c>
      <c r="U209">
        <v>0</v>
      </c>
    </row>
    <row r="210" spans="1:21" x14ac:dyDescent="0.25">
      <c r="A210" t="s">
        <v>81</v>
      </c>
      <c r="B210" t="s">
        <v>82</v>
      </c>
      <c r="C210">
        <v>4</v>
      </c>
      <c r="D210">
        <v>2</v>
      </c>
      <c r="E210">
        <v>8</v>
      </c>
      <c r="F210">
        <v>1115.2006730000001</v>
      </c>
      <c r="G210">
        <v>2955.281782</v>
      </c>
      <c r="H210">
        <v>464.03500000000003</v>
      </c>
      <c r="I210">
        <v>0.46403499999999998</v>
      </c>
      <c r="J210">
        <v>4.6403500000000001E-4</v>
      </c>
      <c r="K210">
        <v>1.023020842</v>
      </c>
      <c r="L210">
        <v>1.4999999999999999E-2</v>
      </c>
      <c r="M210">
        <v>3</v>
      </c>
      <c r="N210">
        <v>31.392060780000001</v>
      </c>
      <c r="O210">
        <v>78.793957642923104</v>
      </c>
      <c r="P210">
        <v>7337.8698250436901</v>
      </c>
      <c r="Q210">
        <v>17634.8710046712</v>
      </c>
      <c r="R210">
        <v>46732.408162378699</v>
      </c>
      <c r="S210">
        <v>106</v>
      </c>
      <c r="T210">
        <v>0.17</v>
      </c>
      <c r="U210">
        <v>0</v>
      </c>
    </row>
    <row r="211" spans="1:21" x14ac:dyDescent="0.25">
      <c r="A211" t="s">
        <v>83</v>
      </c>
      <c r="B211" t="s">
        <v>84</v>
      </c>
      <c r="C211">
        <v>4</v>
      </c>
      <c r="D211">
        <v>7</v>
      </c>
      <c r="E211">
        <v>28</v>
      </c>
      <c r="F211">
        <v>32899.059300000001</v>
      </c>
      <c r="G211">
        <v>87183.557100000005</v>
      </c>
      <c r="H211">
        <v>13689.298570000001</v>
      </c>
      <c r="I211">
        <v>13.68929857</v>
      </c>
      <c r="J211">
        <v>1.3689299E-2</v>
      </c>
      <c r="K211">
        <v>30.179701420000001</v>
      </c>
      <c r="L211">
        <v>5.4000000000000003E-3</v>
      </c>
      <c r="M211">
        <v>3</v>
      </c>
      <c r="N211">
        <v>136.35230329999999</v>
      </c>
      <c r="O211">
        <v>269.12148652269298</v>
      </c>
      <c r="P211">
        <v>105254.065283895</v>
      </c>
      <c r="Q211">
        <v>252953.773813735</v>
      </c>
      <c r="R211">
        <v>670327.50060639798</v>
      </c>
      <c r="S211">
        <v>280</v>
      </c>
      <c r="T211">
        <v>0.11600000000000001</v>
      </c>
      <c r="U211">
        <v>0</v>
      </c>
    </row>
    <row r="212" spans="1:21" x14ac:dyDescent="0.25">
      <c r="A212" t="s">
        <v>91</v>
      </c>
      <c r="B212" t="s">
        <v>92</v>
      </c>
      <c r="C212">
        <v>4</v>
      </c>
      <c r="D212">
        <v>2</v>
      </c>
      <c r="E212">
        <v>8</v>
      </c>
      <c r="F212">
        <v>1115.2006730000001</v>
      </c>
      <c r="G212">
        <v>2955.281782</v>
      </c>
      <c r="H212">
        <v>464.03500000000003</v>
      </c>
      <c r="I212">
        <v>0.46403499999999998</v>
      </c>
      <c r="J212">
        <v>4.6403500000000001E-4</v>
      </c>
      <c r="K212">
        <v>1.023020842</v>
      </c>
      <c r="L212">
        <v>1.2999999999999999E-2</v>
      </c>
      <c r="M212">
        <v>3</v>
      </c>
      <c r="N212">
        <v>32.925759030000002</v>
      </c>
      <c r="O212">
        <v>47.033544405476697</v>
      </c>
      <c r="P212">
        <v>1352.59094710825</v>
      </c>
      <c r="Q212">
        <v>3250.6391422933202</v>
      </c>
      <c r="R212">
        <v>8614.1937270773105</v>
      </c>
      <c r="S212">
        <v>60.2</v>
      </c>
      <c r="T212">
        <v>0.19</v>
      </c>
      <c r="U212">
        <v>0</v>
      </c>
    </row>
    <row r="213" spans="1:21" x14ac:dyDescent="0.25">
      <c r="A213" t="s">
        <v>87</v>
      </c>
      <c r="B213" t="s">
        <v>88</v>
      </c>
      <c r="C213">
        <v>4</v>
      </c>
      <c r="D213">
        <v>2</v>
      </c>
      <c r="E213">
        <v>8</v>
      </c>
      <c r="F213">
        <v>1115.2006730000001</v>
      </c>
      <c r="G213">
        <v>2955.281782</v>
      </c>
      <c r="H213">
        <v>464.03500000000003</v>
      </c>
      <c r="I213">
        <v>0.46403499999999998</v>
      </c>
      <c r="J213">
        <v>4.6403500000000001E-4</v>
      </c>
      <c r="K213">
        <v>1.023020842</v>
      </c>
      <c r="L213">
        <v>6.0000000000000001E-3</v>
      </c>
      <c r="M213">
        <v>3.1</v>
      </c>
      <c r="N213">
        <v>37.748792209999998</v>
      </c>
      <c r="O213">
        <v>25.500852240627101</v>
      </c>
      <c r="P213">
        <v>137.553233642766</v>
      </c>
      <c r="Q213">
        <v>330.57734593310698</v>
      </c>
      <c r="R213">
        <v>876.02996672273298</v>
      </c>
      <c r="S213">
        <v>31.4</v>
      </c>
      <c r="T213">
        <v>0.19</v>
      </c>
      <c r="U213">
        <v>-0.8</v>
      </c>
    </row>
    <row r="214" spans="1:21" x14ac:dyDescent="0.25">
      <c r="A214" t="s">
        <v>93</v>
      </c>
      <c r="B214" t="s">
        <v>94</v>
      </c>
      <c r="C214">
        <v>4</v>
      </c>
      <c r="D214">
        <v>9</v>
      </c>
      <c r="E214">
        <v>36</v>
      </c>
      <c r="F214">
        <v>1772515152</v>
      </c>
      <c r="G214">
        <v>4697165152</v>
      </c>
      <c r="H214">
        <v>737543554.70000005</v>
      </c>
      <c r="I214">
        <v>737543.55469999998</v>
      </c>
      <c r="J214">
        <v>737.54355469999996</v>
      </c>
      <c r="K214">
        <v>1626003.2720000001</v>
      </c>
      <c r="L214" s="2">
        <v>1.7000000000000001E-2</v>
      </c>
      <c r="M214">
        <v>3</v>
      </c>
      <c r="N214">
        <v>1544.9670639999999</v>
      </c>
      <c r="O214" s="2">
        <v>1584.7644003969101</v>
      </c>
      <c r="P214" s="2">
        <v>67661721.271844104</v>
      </c>
      <c r="Q214" s="2">
        <v>162609279.67278099</v>
      </c>
      <c r="R214" s="2">
        <v>430914591.13286901</v>
      </c>
      <c r="S214">
        <v>1584.96</v>
      </c>
      <c r="T214" s="2">
        <v>0.25</v>
      </c>
      <c r="U214">
        <v>0</v>
      </c>
    </row>
    <row r="215" spans="1:21" x14ac:dyDescent="0.25">
      <c r="A215" t="s">
        <v>109</v>
      </c>
      <c r="B215" t="s">
        <v>110</v>
      </c>
      <c r="C215">
        <v>4</v>
      </c>
      <c r="D215">
        <v>5</v>
      </c>
      <c r="E215">
        <v>20</v>
      </c>
      <c r="F215">
        <v>6322.386939</v>
      </c>
      <c r="G215">
        <v>16754.325390000002</v>
      </c>
      <c r="H215">
        <v>2630.7452050000002</v>
      </c>
      <c r="I215">
        <v>2.6307452050000002</v>
      </c>
      <c r="J215">
        <v>2.6307449999999999E-3</v>
      </c>
      <c r="K215">
        <v>5.7997934950000003</v>
      </c>
      <c r="L215">
        <v>4.3E-3</v>
      </c>
      <c r="M215">
        <v>3.1</v>
      </c>
      <c r="N215">
        <v>73.561147309999996</v>
      </c>
      <c r="O215">
        <v>131.13329634559699</v>
      </c>
      <c r="P215">
        <v>15789.8748752376</v>
      </c>
      <c r="Q215">
        <v>37947.308039504001</v>
      </c>
      <c r="R215">
        <v>100560.366304686</v>
      </c>
      <c r="S215">
        <v>186</v>
      </c>
      <c r="T215">
        <v>4.5999999999999999E-2</v>
      </c>
      <c r="U215">
        <v>-6.54</v>
      </c>
    </row>
    <row r="216" spans="1:21" x14ac:dyDescent="0.25">
      <c r="A216" t="s">
        <v>99</v>
      </c>
      <c r="B216" t="s">
        <v>100</v>
      </c>
      <c r="C216">
        <v>4</v>
      </c>
      <c r="D216">
        <v>2</v>
      </c>
      <c r="E216">
        <v>8</v>
      </c>
      <c r="F216">
        <v>1115.2006730000001</v>
      </c>
      <c r="G216">
        <v>2955.281782</v>
      </c>
      <c r="H216">
        <v>464.03500000000003</v>
      </c>
      <c r="I216">
        <v>0.46403499999999998</v>
      </c>
      <c r="J216">
        <v>4.6403500000000001E-4</v>
      </c>
      <c r="K216">
        <v>1.023020842</v>
      </c>
      <c r="L216">
        <v>1.4999999999999999E-2</v>
      </c>
      <c r="M216">
        <v>3.1</v>
      </c>
      <c r="N216">
        <v>28.088937770000001</v>
      </c>
      <c r="O216">
        <v>31.517583057169201</v>
      </c>
      <c r="P216">
        <v>663.14006515420897</v>
      </c>
      <c r="Q216">
        <v>1593.7035932569299</v>
      </c>
      <c r="R216">
        <v>4223.3145221308696</v>
      </c>
      <c r="S216">
        <v>42.4</v>
      </c>
      <c r="T216">
        <v>0.17</v>
      </c>
      <c r="U216">
        <v>0</v>
      </c>
    </row>
    <row r="217" spans="1:21" x14ac:dyDescent="0.25">
      <c r="A217" t="s">
        <v>97</v>
      </c>
      <c r="B217" t="s">
        <v>98</v>
      </c>
      <c r="C217">
        <v>4</v>
      </c>
      <c r="D217">
        <v>2</v>
      </c>
      <c r="E217">
        <v>8</v>
      </c>
      <c r="F217">
        <v>27051.979729999999</v>
      </c>
      <c r="G217">
        <v>71687.746289999995</v>
      </c>
      <c r="H217">
        <v>11256.32877</v>
      </c>
      <c r="I217">
        <v>11.25632877</v>
      </c>
      <c r="J217">
        <v>1.1256329000000001E-2</v>
      </c>
      <c r="K217">
        <v>24.815927519999999</v>
      </c>
      <c r="L217" s="2">
        <v>6.5000000000000002E-2</v>
      </c>
      <c r="M217">
        <v>3</v>
      </c>
      <c r="N217">
        <v>82.563657669999998</v>
      </c>
      <c r="O217">
        <v>23.541501448630701</v>
      </c>
      <c r="P217">
        <v>848.03901153410004</v>
      </c>
      <c r="Q217">
        <v>2038.0653966212501</v>
      </c>
      <c r="R217">
        <v>5400.8733010463002</v>
      </c>
      <c r="S217">
        <v>23.6</v>
      </c>
      <c r="T217">
        <v>0.75</v>
      </c>
      <c r="U217">
        <v>0</v>
      </c>
    </row>
    <row r="218" spans="1:21" x14ac:dyDescent="0.25">
      <c r="A218" s="2" t="s">
        <v>47</v>
      </c>
      <c r="B218" t="s">
        <v>48</v>
      </c>
      <c r="C218">
        <v>4</v>
      </c>
      <c r="D218">
        <v>1</v>
      </c>
      <c r="E218">
        <v>4</v>
      </c>
      <c r="F218">
        <v>242.73011299999999</v>
      </c>
      <c r="G218">
        <v>643.23479940000004</v>
      </c>
      <c r="H218">
        <v>101.0000000193</v>
      </c>
      <c r="I218">
        <v>0.1010000000193</v>
      </c>
      <c r="J218">
        <v>1.0100000001929999E-4</v>
      </c>
      <c r="K218">
        <v>0.222666620042549</v>
      </c>
      <c r="L218" s="3">
        <v>1.23E-2</v>
      </c>
      <c r="M218" s="3">
        <v>3.2</v>
      </c>
      <c r="N218">
        <v>16.720724143912001</v>
      </c>
      <c r="O218" s="2">
        <v>35.434729879092401</v>
      </c>
      <c r="P218" s="2">
        <v>1117.06466933811</v>
      </c>
      <c r="Q218" s="2">
        <v>2684.6062709399298</v>
      </c>
      <c r="R218" s="2">
        <v>7114.2066179908197</v>
      </c>
      <c r="S218" s="2">
        <v>39.200000000000003</v>
      </c>
      <c r="T218" s="2">
        <v>0.58571428571428596</v>
      </c>
      <c r="U218" s="2">
        <v>0</v>
      </c>
    </row>
    <row r="219" spans="1:21" x14ac:dyDescent="0.25">
      <c r="A219" t="s">
        <v>103</v>
      </c>
      <c r="B219" t="s">
        <v>104</v>
      </c>
      <c r="C219">
        <v>4</v>
      </c>
      <c r="D219">
        <v>1</v>
      </c>
      <c r="E219">
        <v>4</v>
      </c>
      <c r="F219">
        <v>444.0038452</v>
      </c>
      <c r="G219">
        <v>1176.6101900000001</v>
      </c>
      <c r="H219">
        <v>184.75</v>
      </c>
      <c r="I219">
        <v>0.18475</v>
      </c>
      <c r="J219">
        <v>1.8474999999999999E-4</v>
      </c>
      <c r="K219">
        <v>0.40730354499999999</v>
      </c>
      <c r="L219">
        <v>1.2999999999999999E-2</v>
      </c>
      <c r="M219">
        <v>2.8</v>
      </c>
      <c r="N219">
        <v>30.414879859999999</v>
      </c>
      <c r="O219">
        <v>33.566402460217901</v>
      </c>
      <c r="P219">
        <v>243.48756422706001</v>
      </c>
      <c r="Q219">
        <v>585.165979877577</v>
      </c>
      <c r="R219">
        <v>1550.6898466755799</v>
      </c>
      <c r="S219">
        <v>65.400000000000006</v>
      </c>
      <c r="T219">
        <v>0.18</v>
      </c>
      <c r="U219">
        <v>0</v>
      </c>
    </row>
    <row r="220" spans="1:21" x14ac:dyDescent="0.25">
      <c r="A220" s="2" t="s">
        <v>105</v>
      </c>
      <c r="B220" t="s">
        <v>106</v>
      </c>
      <c r="C220">
        <v>4</v>
      </c>
      <c r="D220">
        <v>3</v>
      </c>
      <c r="E220">
        <v>12</v>
      </c>
      <c r="F220">
        <v>3129.99</v>
      </c>
      <c r="G220">
        <v>8294.48</v>
      </c>
      <c r="H220">
        <v>1302.388839</v>
      </c>
      <c r="I220">
        <v>1.302388839</v>
      </c>
      <c r="J220">
        <v>1.3023888389999999E-3</v>
      </c>
      <c r="K220">
        <v>2.870465001156</v>
      </c>
      <c r="L220" s="3">
        <v>1.2699999999999999E-2</v>
      </c>
      <c r="M220" s="3">
        <v>3.1</v>
      </c>
      <c r="N220">
        <v>41.345787911509902</v>
      </c>
      <c r="O220" s="2">
        <v>94.180769203338897</v>
      </c>
      <c r="P220" s="2">
        <v>16714.2403759017</v>
      </c>
      <c r="Q220" s="2">
        <v>40168.806478975501</v>
      </c>
      <c r="R220" s="2">
        <v>106447.33716928501</v>
      </c>
      <c r="S220">
        <v>109.97499999999999</v>
      </c>
      <c r="T220">
        <v>0.14749999999999999</v>
      </c>
      <c r="U220">
        <v>-1.1566666666666701</v>
      </c>
    </row>
    <row r="221" spans="1:21" x14ac:dyDescent="0.25">
      <c r="A221" t="s">
        <v>115</v>
      </c>
      <c r="B221" t="s">
        <v>116</v>
      </c>
      <c r="C221">
        <v>4</v>
      </c>
      <c r="D221">
        <v>7</v>
      </c>
      <c r="E221">
        <v>28</v>
      </c>
      <c r="F221">
        <v>9236050.2909999993</v>
      </c>
      <c r="G221">
        <v>24475533.27</v>
      </c>
      <c r="H221">
        <v>3843120.5260000001</v>
      </c>
      <c r="I221">
        <v>3843.1205260000002</v>
      </c>
      <c r="J221">
        <v>3.8431205259999999</v>
      </c>
      <c r="K221">
        <v>8472.6203740000001</v>
      </c>
      <c r="L221" s="2">
        <v>1.4999999999999999E-2</v>
      </c>
      <c r="M221">
        <v>3</v>
      </c>
      <c r="N221">
        <v>727.04507169999999</v>
      </c>
      <c r="O221" s="2">
        <v>271.53216871940202</v>
      </c>
      <c r="P221" s="2">
        <v>300299.85605939402</v>
      </c>
      <c r="Q221" s="2">
        <v>721701.16813120502</v>
      </c>
      <c r="R221" s="2">
        <v>1912508.0955476901</v>
      </c>
      <c r="S221">
        <v>271.77999999999997</v>
      </c>
      <c r="T221">
        <v>0.25</v>
      </c>
      <c r="U221">
        <v>0</v>
      </c>
    </row>
    <row r="222" spans="1:21" x14ac:dyDescent="0.25">
      <c r="A222" t="s">
        <v>107</v>
      </c>
      <c r="B222" t="s">
        <v>108</v>
      </c>
      <c r="C222">
        <v>4</v>
      </c>
      <c r="D222">
        <v>5</v>
      </c>
      <c r="E222">
        <v>20</v>
      </c>
      <c r="F222">
        <v>6322.386939</v>
      </c>
      <c r="G222">
        <v>16754.325390000002</v>
      </c>
      <c r="H222">
        <v>2630.7452050000002</v>
      </c>
      <c r="I222">
        <v>2.6307452050000002</v>
      </c>
      <c r="J222">
        <v>2.6307449999999999E-3</v>
      </c>
      <c r="K222">
        <v>5.7997934950000003</v>
      </c>
      <c r="L222">
        <v>3.5999999999999999E-3</v>
      </c>
      <c r="M222">
        <v>3</v>
      </c>
      <c r="N222">
        <v>90.072474830000004</v>
      </c>
      <c r="O222">
        <v>97.055971255794603</v>
      </c>
      <c r="P222">
        <v>3291.3137248274502</v>
      </c>
      <c r="Q222">
        <v>7909.9104177540203</v>
      </c>
      <c r="R222">
        <v>20961.262607048098</v>
      </c>
      <c r="S222">
        <v>150</v>
      </c>
      <c r="T222">
        <v>4.1000000000000002E-2</v>
      </c>
      <c r="U222">
        <v>-5.4</v>
      </c>
    </row>
    <row r="223" spans="1:21" x14ac:dyDescent="0.25">
      <c r="A223" t="s">
        <v>41</v>
      </c>
      <c r="B223" t="s">
        <v>42</v>
      </c>
      <c r="C223">
        <v>4</v>
      </c>
      <c r="D223">
        <v>4</v>
      </c>
      <c r="E223">
        <v>16</v>
      </c>
      <c r="F223">
        <v>8564.4586230000004</v>
      </c>
      <c r="G223">
        <v>22695.815350000001</v>
      </c>
      <c r="H223">
        <v>3563.671233</v>
      </c>
      <c r="I223">
        <v>3.563671233</v>
      </c>
      <c r="J223">
        <v>3.563671E-3</v>
      </c>
      <c r="K223">
        <v>7.8565408740000002</v>
      </c>
      <c r="L223">
        <v>1.34E-2</v>
      </c>
      <c r="M223">
        <v>3.1</v>
      </c>
      <c r="N223">
        <v>56.22548003</v>
      </c>
      <c r="O223">
        <v>79.487605733739102</v>
      </c>
      <c r="P223">
        <v>10423.9660199672</v>
      </c>
      <c r="Q223">
        <v>25051.588608428799</v>
      </c>
      <c r="R223">
        <v>66386.709812336398</v>
      </c>
      <c r="S223">
        <v>91.5</v>
      </c>
      <c r="T223">
        <v>0.12690000000000001</v>
      </c>
      <c r="U223">
        <v>0</v>
      </c>
    </row>
    <row r="224" spans="1:21" x14ac:dyDescent="0.25">
      <c r="A224" t="s">
        <v>111</v>
      </c>
      <c r="B224" t="s">
        <v>112</v>
      </c>
      <c r="C224">
        <v>4</v>
      </c>
      <c r="D224">
        <v>2</v>
      </c>
      <c r="E224">
        <v>8</v>
      </c>
      <c r="F224">
        <v>1115.2006730000001</v>
      </c>
      <c r="G224">
        <v>2955.281782</v>
      </c>
      <c r="H224">
        <v>464.03500000000003</v>
      </c>
      <c r="I224">
        <v>0.46403499999999998</v>
      </c>
      <c r="J224">
        <v>4.6403500000000001E-4</v>
      </c>
      <c r="K224">
        <v>1.023020842</v>
      </c>
      <c r="L224">
        <v>1.2200000000000001E-2</v>
      </c>
      <c r="M224">
        <v>2.9</v>
      </c>
      <c r="N224">
        <v>37.964368059999998</v>
      </c>
      <c r="O224">
        <v>81.231400648381907</v>
      </c>
      <c r="P224">
        <v>4212.6876703371199</v>
      </c>
      <c r="Q224">
        <v>10124.219347121199</v>
      </c>
      <c r="R224">
        <v>26829.1812698711</v>
      </c>
      <c r="S224">
        <v>98.7</v>
      </c>
      <c r="T224">
        <v>0.158</v>
      </c>
      <c r="U224">
        <v>-2.96</v>
      </c>
    </row>
    <row r="225" spans="1:21" x14ac:dyDescent="0.25">
      <c r="A225" t="s">
        <v>113</v>
      </c>
      <c r="B225" t="s">
        <v>114</v>
      </c>
      <c r="C225">
        <v>4</v>
      </c>
      <c r="D225">
        <v>2</v>
      </c>
      <c r="E225">
        <v>8</v>
      </c>
      <c r="F225">
        <v>2095.4578219999999</v>
      </c>
      <c r="G225">
        <v>5552.9632300000003</v>
      </c>
      <c r="H225">
        <v>871.91999969999995</v>
      </c>
      <c r="I225">
        <v>0.87192000000000003</v>
      </c>
      <c r="J225">
        <v>8.7191999999999999E-4</v>
      </c>
      <c r="K225">
        <v>1.92225227</v>
      </c>
      <c r="L225">
        <v>1.2E-2</v>
      </c>
      <c r="M225">
        <v>3.05</v>
      </c>
      <c r="N225">
        <v>39.252501789999997</v>
      </c>
      <c r="O225">
        <v>70.518217894402696</v>
      </c>
      <c r="P225">
        <v>5205.95365859713</v>
      </c>
      <c r="Q225">
        <v>12511.3041542829</v>
      </c>
      <c r="R225">
        <v>33154.956008849796</v>
      </c>
      <c r="S225">
        <v>85.9</v>
      </c>
      <c r="T225">
        <v>0.215</v>
      </c>
      <c r="U225">
        <v>0</v>
      </c>
    </row>
    <row r="226" spans="1:21" x14ac:dyDescent="0.25">
      <c r="A226" t="s">
        <v>117</v>
      </c>
      <c r="B226" t="s">
        <v>118</v>
      </c>
      <c r="C226">
        <v>4</v>
      </c>
      <c r="D226">
        <v>2</v>
      </c>
      <c r="E226">
        <v>8</v>
      </c>
      <c r="F226">
        <v>1115.2006730000001</v>
      </c>
      <c r="G226">
        <v>2955.281782</v>
      </c>
      <c r="H226">
        <v>464.03500000000003</v>
      </c>
      <c r="I226">
        <v>0.46403499999999998</v>
      </c>
      <c r="J226">
        <v>4.6403500000000001E-4</v>
      </c>
      <c r="K226">
        <v>1.023020842</v>
      </c>
      <c r="L226">
        <v>1.4999999999999999E-2</v>
      </c>
      <c r="M226">
        <v>3</v>
      </c>
      <c r="N226">
        <v>31.392060780000001</v>
      </c>
      <c r="O226">
        <v>40.309119826619401</v>
      </c>
      <c r="P226">
        <v>982.42906970705906</v>
      </c>
      <c r="Q226">
        <v>2361.0407827614999</v>
      </c>
      <c r="R226">
        <v>6256.7580743179697</v>
      </c>
      <c r="S226">
        <v>73.2</v>
      </c>
      <c r="T226">
        <v>0.1</v>
      </c>
      <c r="U226">
        <v>0</v>
      </c>
    </row>
    <row r="227" spans="1:21" x14ac:dyDescent="0.25">
      <c r="A227" t="s">
        <v>123</v>
      </c>
      <c r="B227" t="s">
        <v>124</v>
      </c>
      <c r="C227">
        <v>4</v>
      </c>
      <c r="D227">
        <v>2</v>
      </c>
      <c r="E227">
        <v>8</v>
      </c>
      <c r="F227">
        <v>1115.2006730000001</v>
      </c>
      <c r="G227">
        <v>2955.281782</v>
      </c>
      <c r="H227">
        <v>464.03500000000003</v>
      </c>
      <c r="I227">
        <v>0.46403499999999998</v>
      </c>
      <c r="J227">
        <v>4.6403500000000001E-4</v>
      </c>
      <c r="K227">
        <v>1.023020842</v>
      </c>
      <c r="L227">
        <v>9.4999999999999998E-3</v>
      </c>
      <c r="M227">
        <v>3.1</v>
      </c>
      <c r="N227">
        <v>32.548043049999997</v>
      </c>
      <c r="O227">
        <v>70.628253295728499</v>
      </c>
      <c r="P227">
        <v>5123.38331347024</v>
      </c>
      <c r="Q227">
        <v>12312.865449339701</v>
      </c>
      <c r="R227">
        <v>32629.093440750101</v>
      </c>
      <c r="S227">
        <v>111</v>
      </c>
      <c r="T227">
        <v>0.13</v>
      </c>
      <c r="U227">
        <v>0.22</v>
      </c>
    </row>
    <row r="228" spans="1:21" x14ac:dyDescent="0.25">
      <c r="A228" t="s">
        <v>121</v>
      </c>
      <c r="B228" t="s">
        <v>122</v>
      </c>
      <c r="C228">
        <v>4</v>
      </c>
      <c r="D228">
        <v>7</v>
      </c>
      <c r="E228">
        <v>28</v>
      </c>
      <c r="F228">
        <v>9236050.2909999993</v>
      </c>
      <c r="G228">
        <v>24475533.27</v>
      </c>
      <c r="H228">
        <v>3843120.5260000001</v>
      </c>
      <c r="I228">
        <v>3843.1205260000002</v>
      </c>
      <c r="J228">
        <v>3.8431205259999999</v>
      </c>
      <c r="K228">
        <v>8472.6203740000001</v>
      </c>
      <c r="L228" s="2">
        <v>1E-3</v>
      </c>
      <c r="M228">
        <v>3</v>
      </c>
      <c r="N228">
        <v>727.04507169999999</v>
      </c>
      <c r="O228" s="2">
        <v>2613.3747356297799</v>
      </c>
      <c r="P228" s="2">
        <v>17848637.322806899</v>
      </c>
      <c r="Q228" s="2">
        <v>42895066.8656739</v>
      </c>
      <c r="R228" s="2">
        <v>113671927.19403601</v>
      </c>
      <c r="S228">
        <v>2615.7600000000002</v>
      </c>
      <c r="T228">
        <v>0.25</v>
      </c>
      <c r="U228">
        <v>0</v>
      </c>
    </row>
    <row r="229" spans="1:21" x14ac:dyDescent="0.25">
      <c r="A229" t="s">
        <v>119</v>
      </c>
      <c r="B229" t="s">
        <v>120</v>
      </c>
      <c r="C229">
        <v>4</v>
      </c>
      <c r="D229">
        <v>3</v>
      </c>
      <c r="E229">
        <v>12</v>
      </c>
      <c r="F229">
        <v>157775.1923</v>
      </c>
      <c r="G229">
        <v>418104.2597</v>
      </c>
      <c r="H229">
        <v>65650.257519999999</v>
      </c>
      <c r="I229">
        <v>65.650257519999997</v>
      </c>
      <c r="J229">
        <v>6.5650258000000003E-2</v>
      </c>
      <c r="K229">
        <v>144.73387070000001</v>
      </c>
      <c r="L229">
        <v>2.1399999999999999E-2</v>
      </c>
      <c r="M229">
        <v>2.96</v>
      </c>
      <c r="N229">
        <v>155.41543279999999</v>
      </c>
      <c r="O229" s="2">
        <v>124.776809245846</v>
      </c>
      <c r="P229" s="2">
        <v>34274.4145864491</v>
      </c>
      <c r="Q229" s="2">
        <v>82370.619049385103</v>
      </c>
      <c r="R229" s="2">
        <v>218282.14048087099</v>
      </c>
      <c r="S229">
        <v>133.76666666666699</v>
      </c>
      <c r="T229">
        <v>0.3</v>
      </c>
      <c r="U229">
        <v>3</v>
      </c>
    </row>
    <row r="230" spans="1:21" x14ac:dyDescent="0.25">
      <c r="A230" t="s">
        <v>89</v>
      </c>
      <c r="B230" t="s">
        <v>90</v>
      </c>
      <c r="C230">
        <v>4</v>
      </c>
      <c r="D230">
        <v>8</v>
      </c>
      <c r="E230">
        <v>32</v>
      </c>
      <c r="F230">
        <v>31200</v>
      </c>
      <c r="G230">
        <v>83000</v>
      </c>
      <c r="H230">
        <v>12982.32</v>
      </c>
      <c r="I230">
        <v>12.98232</v>
      </c>
      <c r="J230">
        <v>1.298232E-2</v>
      </c>
      <c r="K230">
        <v>28.621082319999999</v>
      </c>
      <c r="L230" s="2">
        <v>0.05</v>
      </c>
      <c r="M230" s="2">
        <v>3.2</v>
      </c>
      <c r="N230">
        <v>147.5685182</v>
      </c>
      <c r="O230">
        <v>114.038461408571</v>
      </c>
      <c r="P230">
        <v>2966.0880787360102</v>
      </c>
      <c r="Q230">
        <v>7128.3058849699801</v>
      </c>
      <c r="R230">
        <v>18890.010595170399</v>
      </c>
      <c r="S230">
        <v>114.3</v>
      </c>
      <c r="T230">
        <v>0.19</v>
      </c>
      <c r="U230">
        <v>0</v>
      </c>
    </row>
    <row r="231" spans="1:21" x14ac:dyDescent="0.25">
      <c r="A231" t="s">
        <v>125</v>
      </c>
      <c r="B231" t="s">
        <v>126</v>
      </c>
      <c r="C231">
        <v>4</v>
      </c>
      <c r="D231">
        <v>1</v>
      </c>
      <c r="E231">
        <v>4</v>
      </c>
      <c r="F231">
        <v>1839.701994</v>
      </c>
      <c r="G231">
        <v>4875.2102850000001</v>
      </c>
      <c r="H231">
        <v>765.49999969999999</v>
      </c>
      <c r="I231">
        <v>0.76549999999999996</v>
      </c>
      <c r="J231">
        <v>7.6550000000000001E-4</v>
      </c>
      <c r="K231">
        <v>1.6876366089999999</v>
      </c>
      <c r="L231">
        <v>1.4999999999999999E-2</v>
      </c>
      <c r="M231">
        <v>2.9</v>
      </c>
      <c r="N231">
        <v>42.014375139999999</v>
      </c>
      <c r="O231">
        <v>44.836473739153099</v>
      </c>
      <c r="P231">
        <v>924.32023765543704</v>
      </c>
      <c r="Q231">
        <v>2221.3896603110702</v>
      </c>
      <c r="R231">
        <v>5886.6825998243403</v>
      </c>
      <c r="S231">
        <v>136</v>
      </c>
      <c r="T231">
        <v>0.1</v>
      </c>
      <c r="U231">
        <v>0</v>
      </c>
    </row>
    <row r="232" spans="1:21" x14ac:dyDescent="0.25">
      <c r="A232" t="s">
        <v>131</v>
      </c>
      <c r="B232" t="s">
        <v>132</v>
      </c>
      <c r="C232">
        <v>4</v>
      </c>
      <c r="D232">
        <v>2</v>
      </c>
      <c r="E232">
        <v>8</v>
      </c>
      <c r="F232">
        <v>2095.4578219999999</v>
      </c>
      <c r="G232">
        <v>5552.9632300000003</v>
      </c>
      <c r="H232">
        <v>871.91999969999995</v>
      </c>
      <c r="I232">
        <v>0.87192000000000003</v>
      </c>
      <c r="J232">
        <v>8.7191999999999999E-4</v>
      </c>
      <c r="K232">
        <v>1.92225227</v>
      </c>
      <c r="L232">
        <v>1.4E-2</v>
      </c>
      <c r="M232">
        <v>2.9</v>
      </c>
      <c r="N232">
        <v>45.001154579999998</v>
      </c>
      <c r="O232">
        <v>36.473329127644298</v>
      </c>
      <c r="P232">
        <v>474.085543126929</v>
      </c>
      <c r="Q232">
        <v>1139.35482606808</v>
      </c>
      <c r="R232">
        <v>3019.2902890804098</v>
      </c>
      <c r="S232">
        <v>45.7</v>
      </c>
      <c r="T232">
        <v>0.2</v>
      </c>
      <c r="U232">
        <v>0</v>
      </c>
    </row>
    <row r="233" spans="1:21" x14ac:dyDescent="0.25">
      <c r="A233" t="s">
        <v>133</v>
      </c>
      <c r="B233" t="s">
        <v>134</v>
      </c>
      <c r="C233">
        <v>4</v>
      </c>
      <c r="D233">
        <v>3</v>
      </c>
      <c r="E233">
        <v>12</v>
      </c>
      <c r="F233">
        <v>3129.99</v>
      </c>
      <c r="G233">
        <v>8294.48</v>
      </c>
      <c r="H233">
        <v>1302.388839</v>
      </c>
      <c r="I233">
        <v>1.302388839</v>
      </c>
      <c r="J233">
        <v>1.3023889999999999E-3</v>
      </c>
      <c r="K233">
        <v>2.8712724820000002</v>
      </c>
      <c r="L233">
        <v>1.2699999999999999E-2</v>
      </c>
      <c r="M233">
        <v>3.1</v>
      </c>
      <c r="N233">
        <v>41.345787909999999</v>
      </c>
      <c r="O233">
        <v>79.663859842009003</v>
      </c>
      <c r="P233">
        <v>9947.4986753603207</v>
      </c>
      <c r="Q233">
        <v>23906.509674021399</v>
      </c>
      <c r="R233">
        <v>63352.250636156801</v>
      </c>
      <c r="S233">
        <v>114</v>
      </c>
      <c r="T233">
        <v>0.1</v>
      </c>
      <c r="U233">
        <v>0</v>
      </c>
    </row>
    <row r="234" spans="1:21" x14ac:dyDescent="0.25">
      <c r="A234" t="s">
        <v>127</v>
      </c>
      <c r="B234" t="s">
        <v>128</v>
      </c>
      <c r="C234">
        <v>4</v>
      </c>
      <c r="D234">
        <v>2</v>
      </c>
      <c r="E234">
        <v>8</v>
      </c>
      <c r="F234">
        <v>2095.4578219999999</v>
      </c>
      <c r="G234">
        <v>5552.9632300000003</v>
      </c>
      <c r="H234">
        <v>871.91999969999995</v>
      </c>
      <c r="I234">
        <v>0.87192000000000003</v>
      </c>
      <c r="J234">
        <v>8.7191999999999999E-4</v>
      </c>
      <c r="K234">
        <v>1.92225227</v>
      </c>
      <c r="L234">
        <v>1.4E-2</v>
      </c>
      <c r="M234">
        <v>3</v>
      </c>
      <c r="N234">
        <v>39.638407790000002</v>
      </c>
      <c r="O234">
        <v>57.071285721768703</v>
      </c>
      <c r="P234">
        <v>2602.4416775725899</v>
      </c>
      <c r="Q234">
        <v>6254.3659638851004</v>
      </c>
      <c r="R234">
        <v>16574.069804295501</v>
      </c>
      <c r="S234">
        <v>62.2</v>
      </c>
      <c r="T234">
        <v>0.31</v>
      </c>
      <c r="U234">
        <v>-0.05</v>
      </c>
    </row>
    <row r="235" spans="1:21" x14ac:dyDescent="0.25">
      <c r="A235" t="s">
        <v>135</v>
      </c>
      <c r="B235" t="s">
        <v>136</v>
      </c>
      <c r="C235">
        <v>4</v>
      </c>
      <c r="D235">
        <v>2</v>
      </c>
      <c r="E235">
        <v>8</v>
      </c>
      <c r="F235">
        <v>2095.4578219999999</v>
      </c>
      <c r="G235">
        <v>5552.9632300000003</v>
      </c>
      <c r="H235">
        <v>871.91999969999995</v>
      </c>
      <c r="I235">
        <v>0.87192000000000003</v>
      </c>
      <c r="J235">
        <v>8.7191999999999999E-4</v>
      </c>
      <c r="K235">
        <v>1.92225227</v>
      </c>
      <c r="L235">
        <v>1.2E-2</v>
      </c>
      <c r="M235">
        <v>3</v>
      </c>
      <c r="N235">
        <v>41.728406249999999</v>
      </c>
      <c r="O235">
        <v>33.0972502270183</v>
      </c>
      <c r="P235">
        <v>435.06784457378302</v>
      </c>
      <c r="Q235">
        <v>1045.5848223354601</v>
      </c>
      <c r="R235">
        <v>2770.7997791889602</v>
      </c>
      <c r="S235">
        <v>60.5</v>
      </c>
      <c r="T235">
        <v>9.9000000000000005E-2</v>
      </c>
      <c r="U235">
        <v>0</v>
      </c>
    </row>
    <row r="236" spans="1:21" x14ac:dyDescent="0.25">
      <c r="A236" t="s">
        <v>129</v>
      </c>
      <c r="B236" t="s">
        <v>130</v>
      </c>
      <c r="C236">
        <v>4</v>
      </c>
      <c r="D236">
        <v>2</v>
      </c>
      <c r="E236">
        <v>8</v>
      </c>
      <c r="F236">
        <v>1115.2006730000001</v>
      </c>
      <c r="G236">
        <v>2955.281782</v>
      </c>
      <c r="H236">
        <v>464.03500000000003</v>
      </c>
      <c r="I236">
        <v>0.46403499999999998</v>
      </c>
      <c r="J236">
        <v>4.6403500000000001E-4</v>
      </c>
      <c r="K236">
        <v>1.023020842</v>
      </c>
      <c r="L236">
        <v>1.2500000000000001E-2</v>
      </c>
      <c r="M236">
        <v>2.88</v>
      </c>
      <c r="N236">
        <v>38.608311409999999</v>
      </c>
      <c r="O236">
        <v>45.989229368177298</v>
      </c>
      <c r="P236">
        <v>767.99726584738801</v>
      </c>
      <c r="Q236">
        <v>1845.70359492283</v>
      </c>
      <c r="R236">
        <v>4891.1145265454898</v>
      </c>
      <c r="S236">
        <v>158</v>
      </c>
      <c r="T236">
        <v>4.2999999999999997E-2</v>
      </c>
      <c r="U236">
        <v>0</v>
      </c>
    </row>
    <row r="237" spans="1:21" x14ac:dyDescent="0.25">
      <c r="A237" t="s">
        <v>137</v>
      </c>
      <c r="B237" t="s">
        <v>138</v>
      </c>
      <c r="C237">
        <v>4</v>
      </c>
      <c r="D237">
        <v>1</v>
      </c>
      <c r="E237">
        <v>4</v>
      </c>
      <c r="F237">
        <v>871.90579170000001</v>
      </c>
      <c r="G237">
        <v>2310.5503480000002</v>
      </c>
      <c r="H237">
        <v>362.79999989999999</v>
      </c>
      <c r="I237">
        <v>0.36280000000000001</v>
      </c>
      <c r="J237">
        <v>3.6279999999999998E-4</v>
      </c>
      <c r="K237">
        <v>0.79983613600000003</v>
      </c>
      <c r="L237">
        <v>1.2500000000000001E-2</v>
      </c>
      <c r="M237">
        <v>2.82</v>
      </c>
      <c r="N237">
        <v>38.241774589999999</v>
      </c>
      <c r="O237">
        <v>36.907716570983702</v>
      </c>
      <c r="P237">
        <v>328.23164678402202</v>
      </c>
      <c r="Q237">
        <v>788.82875939442795</v>
      </c>
      <c r="R237">
        <v>2090.3962123952401</v>
      </c>
      <c r="S237">
        <v>50</v>
      </c>
      <c r="T237">
        <v>0.33500000000000002</v>
      </c>
      <c r="U237">
        <v>0</v>
      </c>
    </row>
    <row r="238" spans="1:21" x14ac:dyDescent="0.25">
      <c r="A238" t="s">
        <v>21</v>
      </c>
      <c r="B238" t="s">
        <v>22</v>
      </c>
      <c r="C238">
        <v>5</v>
      </c>
      <c r="D238">
        <v>1</v>
      </c>
      <c r="E238">
        <v>5</v>
      </c>
      <c r="F238">
        <v>206.1043018</v>
      </c>
      <c r="G238">
        <v>546.17639980000001</v>
      </c>
      <c r="H238">
        <v>85.759999980000003</v>
      </c>
      <c r="I238">
        <v>8.5760000000000003E-2</v>
      </c>
      <c r="J238">
        <v>8.5799999999999998E-5</v>
      </c>
      <c r="K238">
        <v>0.18906821100000001</v>
      </c>
      <c r="L238">
        <v>1.6E-2</v>
      </c>
      <c r="M238">
        <v>3</v>
      </c>
      <c r="N238">
        <v>17.500680240000001</v>
      </c>
      <c r="O238">
        <v>10.1553199196288</v>
      </c>
      <c r="P238">
        <v>16.757175219079901</v>
      </c>
      <c r="Q238">
        <v>40.271990432780299</v>
      </c>
      <c r="R238">
        <v>106.72077464686799</v>
      </c>
      <c r="S238">
        <v>13.8</v>
      </c>
      <c r="T238">
        <v>0.21</v>
      </c>
      <c r="U238">
        <v>-1.34</v>
      </c>
    </row>
    <row r="239" spans="1:21" x14ac:dyDescent="0.25">
      <c r="A239" t="s">
        <v>95</v>
      </c>
      <c r="B239" s="2" t="s">
        <v>96</v>
      </c>
      <c r="C239">
        <v>5</v>
      </c>
      <c r="D239">
        <v>2</v>
      </c>
      <c r="E239">
        <v>10</v>
      </c>
      <c r="F239">
        <v>1550.4325879999999</v>
      </c>
      <c r="G239">
        <v>4108.6463590000003</v>
      </c>
      <c r="H239">
        <v>645.13499990000003</v>
      </c>
      <c r="I239">
        <v>0.64513500000000001</v>
      </c>
      <c r="J239">
        <v>6.4513500000000002E-4</v>
      </c>
      <c r="K239">
        <v>1.422277523</v>
      </c>
      <c r="L239">
        <v>0.01</v>
      </c>
      <c r="M239">
        <v>3</v>
      </c>
      <c r="N239">
        <v>36.288772530000003</v>
      </c>
      <c r="O239">
        <v>117.594401479821</v>
      </c>
      <c r="P239">
        <v>21952.991364567501</v>
      </c>
      <c r="Q239">
        <v>52758.931421695503</v>
      </c>
      <c r="R239">
        <v>139811.16826749299</v>
      </c>
      <c r="S239">
        <v>136</v>
      </c>
      <c r="T239">
        <v>0.2</v>
      </c>
      <c r="U239">
        <v>0</v>
      </c>
    </row>
    <row r="240" spans="1:21" x14ac:dyDescent="0.25">
      <c r="A240" t="s">
        <v>101</v>
      </c>
      <c r="B240" t="s">
        <v>102</v>
      </c>
      <c r="C240">
        <v>5</v>
      </c>
      <c r="D240">
        <v>2</v>
      </c>
      <c r="E240">
        <v>10</v>
      </c>
      <c r="F240">
        <v>1550.4325879999999</v>
      </c>
      <c r="G240">
        <v>4108.6463590000003</v>
      </c>
      <c r="H240">
        <v>645.13499990000003</v>
      </c>
      <c r="I240">
        <v>0.64513500000000001</v>
      </c>
      <c r="J240">
        <v>6.4513500000000002E-4</v>
      </c>
      <c r="K240">
        <v>1.422277523</v>
      </c>
      <c r="L240">
        <v>1.2E-2</v>
      </c>
      <c r="M240">
        <v>3.1</v>
      </c>
      <c r="N240">
        <v>33.570503690000002</v>
      </c>
      <c r="O240" s="2">
        <v>74.023897245416094</v>
      </c>
      <c r="P240" s="2">
        <v>7485.7320844855503</v>
      </c>
      <c r="Q240" s="2">
        <v>17990.223707006899</v>
      </c>
      <c r="R240" s="2">
        <v>47674.0928235682</v>
      </c>
      <c r="S240">
        <v>150.03333333333299</v>
      </c>
      <c r="T240">
        <v>0.11333333333333299</v>
      </c>
      <c r="U240">
        <v>4</v>
      </c>
    </row>
    <row r="241" spans="1:21" x14ac:dyDescent="0.25">
      <c r="A241" t="s">
        <v>37</v>
      </c>
      <c r="B241" t="s">
        <v>38</v>
      </c>
      <c r="C241">
        <v>5</v>
      </c>
      <c r="D241">
        <v>9</v>
      </c>
      <c r="E241">
        <v>45</v>
      </c>
      <c r="F241">
        <v>1772528355</v>
      </c>
      <c r="G241">
        <v>4697200141</v>
      </c>
      <c r="H241">
        <v>737549048.5</v>
      </c>
      <c r="I241">
        <v>737549.04850000003</v>
      </c>
      <c r="J241">
        <v>737.54904850000003</v>
      </c>
      <c r="K241">
        <v>1626015.3829999999</v>
      </c>
      <c r="L241" s="2">
        <v>6.0000000000000001E-3</v>
      </c>
      <c r="M241">
        <v>3</v>
      </c>
      <c r="N241">
        <v>1544.9709</v>
      </c>
      <c r="O241" s="2">
        <v>2097.3599996573398</v>
      </c>
      <c r="P241" s="2">
        <v>55356700.113349199</v>
      </c>
      <c r="Q241" s="2">
        <v>133037010.606463</v>
      </c>
      <c r="R241" s="2">
        <v>352548078.10712701</v>
      </c>
      <c r="S241" s="2">
        <v>2097.36</v>
      </c>
      <c r="T241" s="2">
        <v>0.5</v>
      </c>
      <c r="U241" s="2">
        <v>0</v>
      </c>
    </row>
    <row r="242" spans="1:21" x14ac:dyDescent="0.25">
      <c r="A242" s="2" t="s">
        <v>31</v>
      </c>
      <c r="B242" t="s">
        <v>32</v>
      </c>
      <c r="C242">
        <v>5</v>
      </c>
      <c r="D242">
        <v>1</v>
      </c>
      <c r="E242">
        <v>5</v>
      </c>
      <c r="F242">
        <v>206.1043018</v>
      </c>
      <c r="G242">
        <v>546.17639980000001</v>
      </c>
      <c r="H242">
        <v>85.759999978980005</v>
      </c>
      <c r="I242">
        <v>8.5759999978979998E-2</v>
      </c>
      <c r="J242">
        <v>8.5759999978979995E-5</v>
      </c>
      <c r="K242">
        <v>0.18906821115365899</v>
      </c>
      <c r="L242" s="3">
        <v>1.1599999999999999E-2</v>
      </c>
      <c r="M242" s="3">
        <v>3</v>
      </c>
      <c r="N242">
        <v>19.4808959921927</v>
      </c>
      <c r="O242" s="2">
        <v>28.888757559010099</v>
      </c>
      <c r="P242" s="2">
        <v>279.66916248891698</v>
      </c>
      <c r="Q242" s="2">
        <v>672.12007327305196</v>
      </c>
      <c r="R242" s="2">
        <v>1781.1181941735899</v>
      </c>
      <c r="S242" s="2">
        <v>29.1726666666667</v>
      </c>
      <c r="T242" s="2">
        <v>0.92646666666666699</v>
      </c>
      <c r="U242" s="2">
        <v>0</v>
      </c>
    </row>
    <row r="243" spans="1:21" x14ac:dyDescent="0.25">
      <c r="A243" t="s">
        <v>25</v>
      </c>
      <c r="B243" t="s">
        <v>26</v>
      </c>
      <c r="C243">
        <v>5</v>
      </c>
      <c r="D243">
        <v>3</v>
      </c>
      <c r="E243">
        <v>15</v>
      </c>
      <c r="F243">
        <v>174502.53330000001</v>
      </c>
      <c r="G243">
        <v>462431.7133</v>
      </c>
      <c r="H243">
        <v>72610.504109999994</v>
      </c>
      <c r="I243">
        <v>72.610504109999994</v>
      </c>
      <c r="J243">
        <v>7.2610504000000006E-2</v>
      </c>
      <c r="K243">
        <v>160.07856960000001</v>
      </c>
      <c r="L243">
        <v>2.1399999999999999E-2</v>
      </c>
      <c r="M243">
        <v>2.96</v>
      </c>
      <c r="N243">
        <v>160.79737159999999</v>
      </c>
      <c r="O243">
        <v>250.934843298103</v>
      </c>
      <c r="P243">
        <v>271090.46444670402</v>
      </c>
      <c r="Q243">
        <v>651503.15896828601</v>
      </c>
      <c r="R243">
        <v>1726483.3712659599</v>
      </c>
      <c r="S243">
        <v>358.7</v>
      </c>
      <c r="T243">
        <v>9.1999999999999998E-2</v>
      </c>
      <c r="U243">
        <v>-1.929</v>
      </c>
    </row>
    <row r="244" spans="1:21" x14ac:dyDescent="0.25">
      <c r="A244" t="s">
        <v>33</v>
      </c>
      <c r="B244" t="s">
        <v>34</v>
      </c>
      <c r="C244">
        <v>5</v>
      </c>
      <c r="D244">
        <v>2</v>
      </c>
      <c r="E244">
        <v>10</v>
      </c>
      <c r="F244">
        <v>1550.4325879999999</v>
      </c>
      <c r="G244">
        <v>4108.6463590000003</v>
      </c>
      <c r="H244">
        <v>645.13499990000003</v>
      </c>
      <c r="I244">
        <v>0.64513500000000001</v>
      </c>
      <c r="J244">
        <v>6.4513500000000002E-4</v>
      </c>
      <c r="K244">
        <v>1.422277523</v>
      </c>
      <c r="L244">
        <v>1.4999999999999999E-2</v>
      </c>
      <c r="M244">
        <v>3</v>
      </c>
      <c r="N244">
        <v>35.036424660000002</v>
      </c>
      <c r="O244">
        <v>52.069614660509103</v>
      </c>
      <c r="P244">
        <v>2117.6020570614801</v>
      </c>
      <c r="Q244">
        <v>5089.1662029836198</v>
      </c>
      <c r="R244">
        <v>13486.2904379066</v>
      </c>
      <c r="S244" s="4">
        <v>58.9</v>
      </c>
      <c r="T244" s="4">
        <v>0.22</v>
      </c>
      <c r="U244" s="4">
        <v>0.20699999999999999</v>
      </c>
    </row>
    <row r="245" spans="1:21" x14ac:dyDescent="0.25">
      <c r="A245" t="s">
        <v>29</v>
      </c>
      <c r="B245" t="s">
        <v>30</v>
      </c>
      <c r="C245">
        <v>5</v>
      </c>
      <c r="D245">
        <v>7</v>
      </c>
      <c r="E245" s="2">
        <v>35</v>
      </c>
      <c r="F245">
        <v>43204.537799999998</v>
      </c>
      <c r="G245">
        <v>114492.325</v>
      </c>
      <c r="H245">
        <v>17977.408179999999</v>
      </c>
      <c r="I245">
        <v>17.977408180000001</v>
      </c>
      <c r="J245">
        <v>1.7977408E-2</v>
      </c>
      <c r="K245">
        <v>39.633353620000001</v>
      </c>
      <c r="L245">
        <v>3.2499999999999999E-3</v>
      </c>
      <c r="M245">
        <v>3</v>
      </c>
      <c r="N245">
        <v>176.85387209999999</v>
      </c>
      <c r="O245">
        <v>281.59387444932202</v>
      </c>
      <c r="P245">
        <v>72569.306178378101</v>
      </c>
      <c r="Q245">
        <v>174403.52362023099</v>
      </c>
      <c r="R245">
        <v>462169.33759361203</v>
      </c>
      <c r="S245">
        <v>282</v>
      </c>
      <c r="T245">
        <v>0.18</v>
      </c>
      <c r="U245">
        <v>-1.35</v>
      </c>
    </row>
    <row r="246" spans="1:21" x14ac:dyDescent="0.25">
      <c r="A246" t="s">
        <v>23</v>
      </c>
      <c r="B246" t="s">
        <v>24</v>
      </c>
      <c r="C246">
        <v>5</v>
      </c>
      <c r="D246">
        <v>3</v>
      </c>
      <c r="E246">
        <v>15</v>
      </c>
      <c r="F246">
        <v>174502.53330000001</v>
      </c>
      <c r="G246">
        <v>462431.7133</v>
      </c>
      <c r="H246">
        <v>72610.504109999994</v>
      </c>
      <c r="I246">
        <v>72.610504109999994</v>
      </c>
      <c r="J246">
        <v>7.2610504000000006E-2</v>
      </c>
      <c r="K246">
        <v>160.07856960000001</v>
      </c>
      <c r="L246">
        <v>2.5999999999999999E-2</v>
      </c>
      <c r="M246">
        <v>3</v>
      </c>
      <c r="N246">
        <v>204.3636362</v>
      </c>
      <c r="O246">
        <v>223.26391564573601</v>
      </c>
      <c r="P246">
        <v>92934.521414995499</v>
      </c>
      <c r="Q246">
        <v>223346.60277576401</v>
      </c>
      <c r="R246">
        <v>591868.49735577498</v>
      </c>
      <c r="S246">
        <v>314.89999999999998</v>
      </c>
      <c r="T246">
        <v>8.8999999999999996E-2</v>
      </c>
      <c r="U246">
        <v>-1.1299999999999999</v>
      </c>
    </row>
    <row r="247" spans="1:21" x14ac:dyDescent="0.25">
      <c r="A247" t="s">
        <v>27</v>
      </c>
      <c r="B247" t="s">
        <v>28</v>
      </c>
      <c r="C247">
        <v>5</v>
      </c>
      <c r="D247">
        <v>1</v>
      </c>
      <c r="E247">
        <v>5</v>
      </c>
      <c r="F247">
        <v>7692.14131</v>
      </c>
      <c r="G247">
        <v>20384.174470000002</v>
      </c>
      <c r="H247">
        <v>3200.6999989999999</v>
      </c>
      <c r="I247">
        <v>3.2006999989999998</v>
      </c>
      <c r="J247">
        <v>3.2006999999999999E-3</v>
      </c>
      <c r="K247">
        <v>7.0563272320000001</v>
      </c>
      <c r="L247">
        <v>1.0999999999999999E-2</v>
      </c>
      <c r="M247">
        <v>2.9</v>
      </c>
      <c r="N247">
        <v>76.574998100000002</v>
      </c>
      <c r="O247">
        <v>65.762181633314697</v>
      </c>
      <c r="P247">
        <v>2058.37121948809</v>
      </c>
      <c r="Q247">
        <v>4946.8186000675096</v>
      </c>
      <c r="R247">
        <v>13109.069290178901</v>
      </c>
      <c r="S247">
        <v>81.53</v>
      </c>
      <c r="T247">
        <v>0.31</v>
      </c>
      <c r="U247">
        <v>-0.3</v>
      </c>
    </row>
    <row r="248" spans="1:21" x14ac:dyDescent="0.25">
      <c r="A248" t="s">
        <v>35</v>
      </c>
      <c r="B248" t="s">
        <v>36</v>
      </c>
      <c r="C248">
        <v>5</v>
      </c>
      <c r="D248">
        <v>1</v>
      </c>
      <c r="E248">
        <v>5</v>
      </c>
      <c r="F248">
        <v>206.1043018</v>
      </c>
      <c r="G248">
        <v>546.17639980000001</v>
      </c>
      <c r="H248">
        <v>85.759999980000003</v>
      </c>
      <c r="I248">
        <v>8.5760000000000003E-2</v>
      </c>
      <c r="J248">
        <v>8.5799999999999998E-5</v>
      </c>
      <c r="K248">
        <v>0.18906821100000001</v>
      </c>
      <c r="L248">
        <v>2.1000000000000001E-2</v>
      </c>
      <c r="M248">
        <v>3</v>
      </c>
      <c r="N248">
        <v>15.98411121</v>
      </c>
      <c r="O248">
        <v>20.751428910456202</v>
      </c>
      <c r="P248">
        <v>187.656371865458</v>
      </c>
      <c r="Q248">
        <v>450.98863702345102</v>
      </c>
      <c r="R248">
        <v>1195.11988811214</v>
      </c>
      <c r="S248" s="4">
        <v>21.02</v>
      </c>
      <c r="T248" s="4">
        <v>0.86</v>
      </c>
      <c r="U248" s="4">
        <v>-6.9989999999999997E-2</v>
      </c>
    </row>
    <row r="249" spans="1:21" x14ac:dyDescent="0.25">
      <c r="A249" t="s">
        <v>39</v>
      </c>
      <c r="B249" t="s">
        <v>40</v>
      </c>
      <c r="C249">
        <v>5</v>
      </c>
      <c r="D249">
        <v>2</v>
      </c>
      <c r="E249">
        <v>10</v>
      </c>
      <c r="F249">
        <v>23666.30617</v>
      </c>
      <c r="G249">
        <v>62715.711360000001</v>
      </c>
      <c r="H249">
        <v>9847.5499970000001</v>
      </c>
      <c r="I249">
        <v>9.8475499969999998</v>
      </c>
      <c r="J249">
        <v>9.8475500000000001E-3</v>
      </c>
      <c r="K249">
        <v>21.710105680000002</v>
      </c>
      <c r="L249">
        <v>1.2E-2</v>
      </c>
      <c r="M249">
        <v>3</v>
      </c>
      <c r="N249">
        <v>93.622948879999996</v>
      </c>
      <c r="O249">
        <v>99.966170624525901</v>
      </c>
      <c r="P249">
        <v>11987.8255443007</v>
      </c>
      <c r="Q249">
        <v>28809.962855805501</v>
      </c>
      <c r="R249">
        <v>76346.401567884604</v>
      </c>
      <c r="S249">
        <v>150.93</v>
      </c>
      <c r="T249">
        <v>0.11</v>
      </c>
      <c r="U249">
        <v>0.13</v>
      </c>
    </row>
    <row r="250" spans="1:21" x14ac:dyDescent="0.25">
      <c r="A250" t="s">
        <v>45</v>
      </c>
      <c r="B250" t="s">
        <v>46</v>
      </c>
      <c r="C250">
        <v>5</v>
      </c>
      <c r="D250">
        <v>5</v>
      </c>
      <c r="E250">
        <v>25</v>
      </c>
      <c r="F250">
        <v>7003.1900919999998</v>
      </c>
      <c r="G250">
        <v>18558.453740000001</v>
      </c>
      <c r="H250">
        <v>2914.0273969999998</v>
      </c>
      <c r="I250">
        <v>2.9140273969999999</v>
      </c>
      <c r="J250">
        <v>2.914027E-3</v>
      </c>
      <c r="K250">
        <v>6.4243230809999998</v>
      </c>
      <c r="L250">
        <v>3.96E-3</v>
      </c>
      <c r="M250">
        <v>3.2</v>
      </c>
      <c r="N250">
        <v>68.135667350000006</v>
      </c>
      <c r="O250" s="2">
        <v>298.84433615303402</v>
      </c>
      <c r="P250" s="2">
        <v>330460.28998611099</v>
      </c>
      <c r="Q250" s="2">
        <v>794184.78727736499</v>
      </c>
      <c r="R250" s="2">
        <v>2104589.6862850199</v>
      </c>
      <c r="S250" s="2">
        <v>300.78571428571399</v>
      </c>
      <c r="T250" s="2">
        <v>0.24014285714285699</v>
      </c>
      <c r="U250" s="2">
        <v>4</v>
      </c>
    </row>
    <row r="251" spans="1:21" x14ac:dyDescent="0.25">
      <c r="A251" t="s">
        <v>43</v>
      </c>
      <c r="B251" t="s">
        <v>44</v>
      </c>
      <c r="C251">
        <v>5</v>
      </c>
      <c r="D251">
        <v>2</v>
      </c>
      <c r="E251">
        <v>10</v>
      </c>
      <c r="F251">
        <v>1550.4325879999999</v>
      </c>
      <c r="G251">
        <v>4108.6463590000003</v>
      </c>
      <c r="H251">
        <v>645.13499990000003</v>
      </c>
      <c r="I251">
        <v>0.64513500000000001</v>
      </c>
      <c r="J251">
        <v>6.4513500000000002E-4</v>
      </c>
      <c r="K251">
        <v>1.422277523</v>
      </c>
      <c r="L251">
        <v>1.44E-2</v>
      </c>
      <c r="M251">
        <v>3</v>
      </c>
      <c r="N251">
        <v>35.51643533</v>
      </c>
      <c r="O251" s="2">
        <v>47.093485086732699</v>
      </c>
      <c r="P251" s="2">
        <v>1503.9901260122399</v>
      </c>
      <c r="Q251" s="2">
        <v>3614.4920115650998</v>
      </c>
      <c r="R251" s="2">
        <v>9578.4038306475304</v>
      </c>
      <c r="S251" s="2">
        <v>47.633333333333297</v>
      </c>
      <c r="T251" s="2">
        <v>0.44800000000000001</v>
      </c>
      <c r="U251" s="2">
        <v>0</v>
      </c>
    </row>
    <row r="252" spans="1:21" x14ac:dyDescent="0.25">
      <c r="A252" t="s">
        <v>53</v>
      </c>
      <c r="B252" t="s">
        <v>54</v>
      </c>
      <c r="C252">
        <v>5</v>
      </c>
      <c r="D252">
        <v>2</v>
      </c>
      <c r="E252">
        <v>10</v>
      </c>
      <c r="F252">
        <v>2636.890171</v>
      </c>
      <c r="G252">
        <v>6987.7589529999996</v>
      </c>
      <c r="H252">
        <v>1097.21</v>
      </c>
      <c r="I252">
        <v>1.09721</v>
      </c>
      <c r="J252">
        <v>1.0972099999999999E-3</v>
      </c>
      <c r="K252">
        <v>2.418931111</v>
      </c>
      <c r="L252">
        <v>1.2E-2</v>
      </c>
      <c r="M252">
        <v>2.95</v>
      </c>
      <c r="N252">
        <v>48.054238410000004</v>
      </c>
      <c r="O252">
        <v>33.509975513837901</v>
      </c>
      <c r="P252">
        <v>378.83044312640698</v>
      </c>
      <c r="Q252">
        <v>910.43125000338205</v>
      </c>
      <c r="R252">
        <v>2412.6428125089601</v>
      </c>
      <c r="S252">
        <v>41</v>
      </c>
      <c r="T252">
        <v>0.17</v>
      </c>
      <c r="U252">
        <v>0</v>
      </c>
    </row>
    <row r="253" spans="1:21" x14ac:dyDescent="0.25">
      <c r="A253" t="s">
        <v>57</v>
      </c>
      <c r="B253" t="s">
        <v>58</v>
      </c>
      <c r="C253">
        <v>5</v>
      </c>
      <c r="D253">
        <v>2</v>
      </c>
      <c r="E253">
        <v>10</v>
      </c>
      <c r="F253">
        <v>6717.4957940000004</v>
      </c>
      <c r="G253">
        <v>17801.363850000002</v>
      </c>
      <c r="H253">
        <v>2795.15</v>
      </c>
      <c r="I253">
        <v>2.79515</v>
      </c>
      <c r="J253">
        <v>2.7951500000000002E-3</v>
      </c>
      <c r="K253">
        <v>6.1622435930000004</v>
      </c>
      <c r="L253">
        <v>4.0000000000000001E-3</v>
      </c>
      <c r="M253">
        <v>3.1</v>
      </c>
      <c r="N253">
        <v>61.873930319999999</v>
      </c>
      <c r="O253">
        <v>71.564789925011297</v>
      </c>
      <c r="P253">
        <v>4324.9412223072704</v>
      </c>
      <c r="Q253">
        <v>10393.994766419801</v>
      </c>
      <c r="R253">
        <v>27544.086131012398</v>
      </c>
      <c r="S253">
        <v>72.900000000000006</v>
      </c>
      <c r="T253">
        <v>0.4</v>
      </c>
      <c r="U253">
        <v>0</v>
      </c>
    </row>
    <row r="254" spans="1:21" x14ac:dyDescent="0.25">
      <c r="A254" t="s">
        <v>59</v>
      </c>
      <c r="B254" t="s">
        <v>60</v>
      </c>
      <c r="C254">
        <v>5</v>
      </c>
      <c r="D254">
        <v>2</v>
      </c>
      <c r="E254">
        <v>10</v>
      </c>
      <c r="F254">
        <v>2636.890171</v>
      </c>
      <c r="G254">
        <v>6987.7589529999996</v>
      </c>
      <c r="H254">
        <v>1097.21</v>
      </c>
      <c r="I254">
        <v>1.09721</v>
      </c>
      <c r="J254">
        <v>1.0972099999999999E-3</v>
      </c>
      <c r="K254">
        <v>2.418931111</v>
      </c>
      <c r="L254">
        <v>1.6799999999999999E-2</v>
      </c>
      <c r="M254">
        <v>3.1</v>
      </c>
      <c r="N254">
        <v>35.745346249999997</v>
      </c>
      <c r="O254">
        <v>130.00500271891499</v>
      </c>
      <c r="P254">
        <v>60060.021358037098</v>
      </c>
      <c r="Q254">
        <v>144340.354140921</v>
      </c>
      <c r="R254">
        <v>382501.93847344001</v>
      </c>
      <c r="S254">
        <v>263.2</v>
      </c>
      <c r="T254">
        <v>7.0000000000000007E-2</v>
      </c>
      <c r="U254">
        <v>0.27</v>
      </c>
    </row>
    <row r="255" spans="1:21" x14ac:dyDescent="0.25">
      <c r="A255" t="s">
        <v>61</v>
      </c>
      <c r="B255" t="s">
        <v>62</v>
      </c>
      <c r="C255">
        <v>5</v>
      </c>
      <c r="D255">
        <v>1</v>
      </c>
      <c r="E255">
        <v>5</v>
      </c>
      <c r="F255">
        <v>286.37346789999998</v>
      </c>
      <c r="G255">
        <v>758.88968990000001</v>
      </c>
      <c r="H255">
        <v>119.16</v>
      </c>
      <c r="I255">
        <v>0.11916</v>
      </c>
      <c r="J255">
        <v>1.1916E-4</v>
      </c>
      <c r="K255">
        <v>0.26270251900000002</v>
      </c>
      <c r="L255">
        <v>1.2500000000000001E-2</v>
      </c>
      <c r="M255">
        <v>3</v>
      </c>
      <c r="N255">
        <v>21.203464490000002</v>
      </c>
      <c r="O255">
        <v>25.586755600749999</v>
      </c>
      <c r="P255">
        <v>209.38987401253701</v>
      </c>
      <c r="Q255">
        <v>503.22007693472102</v>
      </c>
      <c r="R255">
        <v>1333.53320387701</v>
      </c>
      <c r="S255">
        <v>33.700000000000003</v>
      </c>
      <c r="T255">
        <v>0.32</v>
      </c>
      <c r="U255">
        <v>0.55000000000000004</v>
      </c>
    </row>
    <row r="256" spans="1:21" x14ac:dyDescent="0.25">
      <c r="A256" t="s">
        <v>63</v>
      </c>
      <c r="B256" t="s">
        <v>64</v>
      </c>
      <c r="C256">
        <v>5</v>
      </c>
      <c r="D256">
        <v>2</v>
      </c>
      <c r="E256">
        <v>10</v>
      </c>
      <c r="F256">
        <v>1550.4325879999999</v>
      </c>
      <c r="G256">
        <v>4108.6463590000003</v>
      </c>
      <c r="H256">
        <v>645.13499990000003</v>
      </c>
      <c r="I256">
        <v>0.64513500000000001</v>
      </c>
      <c r="J256">
        <v>6.4513500000000002E-4</v>
      </c>
      <c r="K256">
        <v>1.422277523</v>
      </c>
      <c r="L256">
        <v>1.2E-2</v>
      </c>
      <c r="M256">
        <v>3.1</v>
      </c>
      <c r="N256">
        <v>33.570503690000002</v>
      </c>
      <c r="O256">
        <v>42.122428726473103</v>
      </c>
      <c r="P256">
        <v>1303.6853907295099</v>
      </c>
      <c r="Q256">
        <v>3133.1059618589402</v>
      </c>
      <c r="R256">
        <v>8302.7307989261899</v>
      </c>
      <c r="S256">
        <v>42.5</v>
      </c>
      <c r="T256">
        <v>0.47</v>
      </c>
      <c r="U256">
        <v>0.05</v>
      </c>
    </row>
    <row r="257" spans="1:21" x14ac:dyDescent="0.25">
      <c r="A257" t="s">
        <v>65</v>
      </c>
      <c r="B257" t="s">
        <v>66</v>
      </c>
      <c r="C257">
        <v>5</v>
      </c>
      <c r="D257">
        <v>3</v>
      </c>
      <c r="E257">
        <v>15</v>
      </c>
      <c r="F257">
        <v>7000</v>
      </c>
      <c r="G257">
        <v>18550</v>
      </c>
      <c r="H257">
        <v>2912.7</v>
      </c>
      <c r="I257">
        <v>2.9127000000000001</v>
      </c>
      <c r="J257">
        <v>2.9126999999999998E-3</v>
      </c>
      <c r="K257">
        <v>6.4213966740000004</v>
      </c>
      <c r="L257">
        <v>1.2699999999999999E-2</v>
      </c>
      <c r="M257">
        <v>3.1</v>
      </c>
      <c r="N257">
        <v>53.603232339999998</v>
      </c>
      <c r="O257">
        <v>52.467853013272702</v>
      </c>
      <c r="P257">
        <v>2725.6678395776198</v>
      </c>
      <c r="Q257">
        <v>6550.5115106407702</v>
      </c>
      <c r="R257">
        <v>17358.855503197999</v>
      </c>
      <c r="S257">
        <v>52.7</v>
      </c>
      <c r="T257">
        <v>0.35</v>
      </c>
      <c r="U257">
        <v>-0.5</v>
      </c>
    </row>
    <row r="258" spans="1:21" x14ac:dyDescent="0.25">
      <c r="A258" t="s">
        <v>67</v>
      </c>
      <c r="B258" t="s">
        <v>68</v>
      </c>
      <c r="C258">
        <v>5</v>
      </c>
      <c r="D258">
        <v>1</v>
      </c>
      <c r="E258">
        <v>5</v>
      </c>
      <c r="F258">
        <v>437.81</v>
      </c>
      <c r="G258">
        <v>1160.21</v>
      </c>
      <c r="H258">
        <v>182.172741</v>
      </c>
      <c r="I258">
        <v>0.182172741</v>
      </c>
      <c r="J258">
        <v>1.8217299999999999E-4</v>
      </c>
      <c r="K258">
        <v>0.40162166799999999</v>
      </c>
      <c r="L258">
        <v>1.29E-2</v>
      </c>
      <c r="M258">
        <v>3.05</v>
      </c>
      <c r="N258">
        <v>22.941450830000001</v>
      </c>
      <c r="O258">
        <v>33.858596979044897</v>
      </c>
      <c r="P258">
        <v>597.14531894962295</v>
      </c>
      <c r="Q258">
        <v>1435.1005021620399</v>
      </c>
      <c r="R258">
        <v>3803.0163307293901</v>
      </c>
      <c r="S258">
        <v>40.6</v>
      </c>
      <c r="T258">
        <v>0.27</v>
      </c>
      <c r="U258">
        <v>-1.65</v>
      </c>
    </row>
    <row r="259" spans="1:21" x14ac:dyDescent="0.25">
      <c r="A259" t="s">
        <v>69</v>
      </c>
      <c r="B259" t="s">
        <v>70</v>
      </c>
      <c r="C259">
        <v>5</v>
      </c>
      <c r="D259">
        <v>1</v>
      </c>
      <c r="E259">
        <v>5</v>
      </c>
      <c r="F259">
        <v>254.74645520000001</v>
      </c>
      <c r="G259">
        <v>675.07810619999998</v>
      </c>
      <c r="H259">
        <v>106</v>
      </c>
      <c r="I259">
        <v>0.106</v>
      </c>
      <c r="J259">
        <v>1.06E-4</v>
      </c>
      <c r="K259">
        <v>0.23368971999999999</v>
      </c>
      <c r="L259">
        <v>0.01</v>
      </c>
      <c r="M259">
        <v>2.9</v>
      </c>
      <c r="N259">
        <v>24.43635948</v>
      </c>
      <c r="O259">
        <v>26.457962565493201</v>
      </c>
      <c r="P259">
        <v>133.47918712702</v>
      </c>
      <c r="Q259">
        <v>320.78631849800502</v>
      </c>
      <c r="R259">
        <v>850.08374401971196</v>
      </c>
      <c r="S259">
        <v>37.700000000000003</v>
      </c>
      <c r="T259">
        <v>0.24199999999999999</v>
      </c>
      <c r="U259">
        <v>0</v>
      </c>
    </row>
    <row r="260" spans="1:21" x14ac:dyDescent="0.25">
      <c r="A260" s="2" t="s">
        <v>71</v>
      </c>
      <c r="B260" t="s">
        <v>72</v>
      </c>
      <c r="C260">
        <v>5</v>
      </c>
      <c r="D260">
        <v>1</v>
      </c>
      <c r="E260">
        <v>5</v>
      </c>
      <c r="F260">
        <v>5.0949291030000001</v>
      </c>
      <c r="G260">
        <v>13.501562119999999</v>
      </c>
      <c r="H260">
        <v>2.1199999997583001</v>
      </c>
      <c r="I260">
        <v>2.1199999997583E-3</v>
      </c>
      <c r="J260">
        <v>2.1199999997583E-6</v>
      </c>
      <c r="K260">
        <v>4.6737943994671401E-3</v>
      </c>
      <c r="L260" s="3">
        <v>1.0999999999999999E-2</v>
      </c>
      <c r="M260" s="3">
        <v>3.01</v>
      </c>
      <c r="N260">
        <v>5.7427159324658703</v>
      </c>
      <c r="O260" s="2">
        <v>7.6419843174542299</v>
      </c>
      <c r="P260" s="2">
        <v>5.0100628373165703</v>
      </c>
      <c r="Q260" s="2">
        <v>12.0405259248175</v>
      </c>
      <c r="R260" s="2">
        <v>31.907393700766399</v>
      </c>
      <c r="S260">
        <v>9</v>
      </c>
      <c r="T260">
        <v>0.32</v>
      </c>
      <c r="U260">
        <v>-0.91</v>
      </c>
    </row>
    <row r="261" spans="1:21" x14ac:dyDescent="0.25">
      <c r="A261" s="2" t="s">
        <v>49</v>
      </c>
      <c r="B261" t="s">
        <v>50</v>
      </c>
      <c r="C261">
        <v>5</v>
      </c>
      <c r="D261">
        <v>1</v>
      </c>
      <c r="E261">
        <v>5</v>
      </c>
      <c r="F261">
        <v>1550.4325879999999</v>
      </c>
      <c r="G261">
        <v>4108.6463590000003</v>
      </c>
      <c r="H261">
        <v>645.13499986679994</v>
      </c>
      <c r="I261">
        <v>0.64513499986680001</v>
      </c>
      <c r="J261">
        <v>6.4513499986680004E-4</v>
      </c>
      <c r="K261">
        <v>1.4222775234063401</v>
      </c>
      <c r="L261" s="3">
        <v>1.2E-2</v>
      </c>
      <c r="M261" s="3">
        <v>3.1</v>
      </c>
      <c r="N261">
        <v>33.570503685170699</v>
      </c>
      <c r="O261" s="2">
        <v>36.671371022441598</v>
      </c>
      <c r="P261" s="2">
        <v>848.38972898018005</v>
      </c>
      <c r="Q261" s="2">
        <v>2038.90826479255</v>
      </c>
      <c r="R261" s="2">
        <v>5403.1069017002601</v>
      </c>
      <c r="S261" s="2">
        <v>54.3</v>
      </c>
      <c r="T261" s="2">
        <v>0.22500000000000001</v>
      </c>
      <c r="U261" s="2">
        <v>0</v>
      </c>
    </row>
    <row r="262" spans="1:21" x14ac:dyDescent="0.25">
      <c r="A262" t="s">
        <v>55</v>
      </c>
      <c r="B262" t="s">
        <v>56</v>
      </c>
      <c r="C262">
        <v>5</v>
      </c>
      <c r="D262">
        <v>1</v>
      </c>
      <c r="E262">
        <v>5</v>
      </c>
      <c r="F262">
        <v>2142.0331649999998</v>
      </c>
      <c r="G262">
        <v>5676.3878869999999</v>
      </c>
      <c r="H262">
        <v>891.3</v>
      </c>
      <c r="I262">
        <v>0.89129999999999998</v>
      </c>
      <c r="J262">
        <v>8.9130000000000003E-4</v>
      </c>
      <c r="K262">
        <v>1.964977806</v>
      </c>
      <c r="L262">
        <v>1.2999999999999999E-2</v>
      </c>
      <c r="M262">
        <v>3</v>
      </c>
      <c r="N262">
        <v>40.928596409999997</v>
      </c>
      <c r="O262">
        <v>57.1287678734247</v>
      </c>
      <c r="P262">
        <v>2423.86219369639</v>
      </c>
      <c r="Q262">
        <v>5825.1915253458101</v>
      </c>
      <c r="R262">
        <v>15436.757542166401</v>
      </c>
      <c r="S262">
        <v>152</v>
      </c>
      <c r="T262">
        <v>9.6000000000000002E-2</v>
      </c>
      <c r="U262">
        <v>0.09</v>
      </c>
    </row>
    <row r="263" spans="1:21" x14ac:dyDescent="0.25">
      <c r="A263" t="s">
        <v>75</v>
      </c>
      <c r="B263" t="s">
        <v>76</v>
      </c>
      <c r="C263">
        <v>5</v>
      </c>
      <c r="D263">
        <v>2</v>
      </c>
      <c r="E263">
        <v>10</v>
      </c>
      <c r="F263">
        <v>1550.4325879999999</v>
      </c>
      <c r="G263">
        <v>4108.6463590000003</v>
      </c>
      <c r="H263">
        <v>645.13499990000003</v>
      </c>
      <c r="I263">
        <v>0.64513500000000001</v>
      </c>
      <c r="J263">
        <v>6.4513500000000002E-4</v>
      </c>
      <c r="K263">
        <v>1.422277523</v>
      </c>
      <c r="L263">
        <v>2.5000000000000001E-3</v>
      </c>
      <c r="M263">
        <v>3.1</v>
      </c>
      <c r="N263">
        <v>55.681778100000002</v>
      </c>
      <c r="O263">
        <v>80.152960874917795</v>
      </c>
      <c r="P263">
        <v>1995.6789455852499</v>
      </c>
      <c r="Q263">
        <v>4796.1522364461598</v>
      </c>
      <c r="R263">
        <v>12709.803426582301</v>
      </c>
      <c r="S263">
        <v>122</v>
      </c>
      <c r="T263">
        <v>0.107</v>
      </c>
      <c r="U263">
        <v>0</v>
      </c>
    </row>
    <row r="264" spans="1:21" x14ac:dyDescent="0.25">
      <c r="A264" t="s">
        <v>73</v>
      </c>
      <c r="B264" t="s">
        <v>74</v>
      </c>
      <c r="C264">
        <v>5</v>
      </c>
      <c r="D264">
        <v>2</v>
      </c>
      <c r="E264">
        <v>10</v>
      </c>
      <c r="F264">
        <v>1550.4325879999999</v>
      </c>
      <c r="G264">
        <v>4108.6463590000003</v>
      </c>
      <c r="H264">
        <v>645.13499990000003</v>
      </c>
      <c r="I264">
        <v>0.64513500000000001</v>
      </c>
      <c r="J264">
        <v>6.4513500000000002E-4</v>
      </c>
      <c r="K264">
        <v>1.422277523</v>
      </c>
      <c r="L264">
        <v>1.4E-2</v>
      </c>
      <c r="M264">
        <v>2.8</v>
      </c>
      <c r="N264">
        <v>46.296032510000003</v>
      </c>
      <c r="O264">
        <v>42.646120876892098</v>
      </c>
      <c r="P264">
        <v>512.61431466428701</v>
      </c>
      <c r="Q264">
        <v>1231.9498069317201</v>
      </c>
      <c r="R264">
        <v>3264.6669883690502</v>
      </c>
      <c r="S264">
        <v>43</v>
      </c>
      <c r="T264">
        <v>0.48</v>
      </c>
      <c r="U264">
        <v>0</v>
      </c>
    </row>
    <row r="265" spans="1:21" x14ac:dyDescent="0.25">
      <c r="A265" s="2" t="s">
        <v>51</v>
      </c>
      <c r="B265" t="s">
        <v>52</v>
      </c>
      <c r="C265">
        <v>5</v>
      </c>
      <c r="D265">
        <v>1</v>
      </c>
      <c r="E265">
        <v>5</v>
      </c>
      <c r="F265">
        <v>2636.890171</v>
      </c>
      <c r="G265">
        <v>6987.7589529999996</v>
      </c>
      <c r="H265">
        <v>1097.2100001531001</v>
      </c>
      <c r="I265">
        <v>1.0972100001531</v>
      </c>
      <c r="J265">
        <v>1.0972100001530999E-3</v>
      </c>
      <c r="K265">
        <v>2.41893111053753</v>
      </c>
      <c r="L265" s="3">
        <v>1.24E-2</v>
      </c>
      <c r="M265" s="3">
        <v>3.2</v>
      </c>
      <c r="N265">
        <v>35.147648337383004</v>
      </c>
      <c r="O265" s="2">
        <v>13.536766584899</v>
      </c>
      <c r="P265" s="2">
        <v>51.792812427196701</v>
      </c>
      <c r="Q265" s="2">
        <v>124.47203178850501</v>
      </c>
      <c r="R265" s="2">
        <v>329.85088423953698</v>
      </c>
      <c r="S265">
        <v>20.9</v>
      </c>
      <c r="T265">
        <v>0.19500000000000001</v>
      </c>
      <c r="U265">
        <v>-0.35</v>
      </c>
    </row>
    <row r="266" spans="1:21" x14ac:dyDescent="0.25">
      <c r="A266" t="s">
        <v>85</v>
      </c>
      <c r="B266" t="s">
        <v>86</v>
      </c>
      <c r="C266">
        <v>5</v>
      </c>
      <c r="D266">
        <v>7</v>
      </c>
      <c r="E266">
        <v>35</v>
      </c>
      <c r="F266">
        <v>43204.537799999998</v>
      </c>
      <c r="G266">
        <v>114492.325</v>
      </c>
      <c r="H266">
        <v>17977.408179999999</v>
      </c>
      <c r="I266">
        <v>17.977408180000001</v>
      </c>
      <c r="J266">
        <v>1.7977408E-2</v>
      </c>
      <c r="K266">
        <v>39.633353620000001</v>
      </c>
      <c r="L266">
        <v>5.2399999999999999E-3</v>
      </c>
      <c r="M266">
        <v>3.141</v>
      </c>
      <c r="N266">
        <v>120.4130632</v>
      </c>
      <c r="O266" s="2">
        <v>304.75867596908802</v>
      </c>
      <c r="P266" s="2">
        <v>332228.83883435198</v>
      </c>
      <c r="Q266" s="2">
        <v>798435.08491793403</v>
      </c>
      <c r="R266" s="2">
        <v>2115852.9750325298</v>
      </c>
      <c r="S266">
        <v>309.24444444444401</v>
      </c>
      <c r="T266">
        <v>0.13655555555555601</v>
      </c>
      <c r="U266">
        <v>4</v>
      </c>
    </row>
    <row r="267" spans="1:21" x14ac:dyDescent="0.25">
      <c r="A267" t="s">
        <v>77</v>
      </c>
      <c r="B267" t="s">
        <v>78</v>
      </c>
      <c r="C267">
        <v>5</v>
      </c>
      <c r="D267">
        <v>3</v>
      </c>
      <c r="E267">
        <v>15</v>
      </c>
      <c r="F267">
        <v>171800.33780000001</v>
      </c>
      <c r="G267">
        <v>455270.89510000002</v>
      </c>
      <c r="H267">
        <v>71486.120559999996</v>
      </c>
      <c r="I267">
        <v>71.486120560000003</v>
      </c>
      <c r="J267">
        <v>7.1486121E-2</v>
      </c>
      <c r="K267">
        <v>157.59973110000001</v>
      </c>
      <c r="L267">
        <v>3.5000000000000003E-2</v>
      </c>
      <c r="M267">
        <v>2.9</v>
      </c>
      <c r="N267">
        <v>149.93915659999999</v>
      </c>
      <c r="O267" s="2">
        <v>208.29173334567099</v>
      </c>
      <c r="P267" s="2">
        <v>185445.77494766199</v>
      </c>
      <c r="Q267" s="2">
        <v>445675.97920610901</v>
      </c>
      <c r="R267" s="2">
        <v>1181041.3448961901</v>
      </c>
      <c r="S267">
        <v>208.40700000000001</v>
      </c>
      <c r="T267">
        <v>0.5</v>
      </c>
      <c r="U267">
        <v>0</v>
      </c>
    </row>
    <row r="268" spans="1:21" x14ac:dyDescent="0.25">
      <c r="A268" t="s">
        <v>79</v>
      </c>
      <c r="B268" t="s">
        <v>80</v>
      </c>
      <c r="C268">
        <v>5</v>
      </c>
      <c r="D268">
        <v>2</v>
      </c>
      <c r="E268">
        <v>10</v>
      </c>
      <c r="F268">
        <v>2636.890171</v>
      </c>
      <c r="G268">
        <v>6987.7589529999996</v>
      </c>
      <c r="H268">
        <v>1097.21</v>
      </c>
      <c r="I268">
        <v>1.09721</v>
      </c>
      <c r="J268">
        <v>1.0972099999999999E-3</v>
      </c>
      <c r="K268">
        <v>2.418931111</v>
      </c>
      <c r="L268">
        <v>3.3999999999999998E-3</v>
      </c>
      <c r="M268">
        <v>3.2850000000000001</v>
      </c>
      <c r="N268">
        <v>35.147648340000003</v>
      </c>
      <c r="O268">
        <v>48.957256909241202</v>
      </c>
      <c r="P268">
        <v>3168.3731836991401</v>
      </c>
      <c r="Q268">
        <v>7614.4512946386503</v>
      </c>
      <c r="R268">
        <v>20178.295930792399</v>
      </c>
      <c r="S268">
        <v>59.9</v>
      </c>
      <c r="T268">
        <v>0.17</v>
      </c>
      <c r="U268">
        <v>0</v>
      </c>
    </row>
    <row r="269" spans="1:21" x14ac:dyDescent="0.25">
      <c r="A269" t="s">
        <v>81</v>
      </c>
      <c r="B269" t="s">
        <v>82</v>
      </c>
      <c r="C269">
        <v>5</v>
      </c>
      <c r="D269">
        <v>2</v>
      </c>
      <c r="E269">
        <v>10</v>
      </c>
      <c r="F269">
        <v>1550.4325879999999</v>
      </c>
      <c r="G269">
        <v>4108.6463590000003</v>
      </c>
      <c r="H269">
        <v>645.13499990000003</v>
      </c>
      <c r="I269">
        <v>0.64513500000000001</v>
      </c>
      <c r="J269">
        <v>6.4513500000000002E-4</v>
      </c>
      <c r="K269">
        <v>1.422277523</v>
      </c>
      <c r="L269">
        <v>1.4999999999999999E-2</v>
      </c>
      <c r="M269">
        <v>3</v>
      </c>
      <c r="N269">
        <v>35.036424660000002</v>
      </c>
      <c r="O269">
        <v>86.635546450410104</v>
      </c>
      <c r="P269">
        <v>9753.9295879222991</v>
      </c>
      <c r="Q269">
        <v>23441.3111942377</v>
      </c>
      <c r="R269">
        <v>62119.474664729903</v>
      </c>
      <c r="S269">
        <v>106</v>
      </c>
      <c r="T269">
        <v>0.17</v>
      </c>
      <c r="U269">
        <v>0</v>
      </c>
    </row>
    <row r="270" spans="1:21" x14ac:dyDescent="0.25">
      <c r="A270" t="s">
        <v>83</v>
      </c>
      <c r="B270" t="s">
        <v>84</v>
      </c>
      <c r="C270">
        <v>5</v>
      </c>
      <c r="D270">
        <v>7</v>
      </c>
      <c r="E270">
        <v>35</v>
      </c>
      <c r="F270">
        <v>43204.537799999998</v>
      </c>
      <c r="G270">
        <v>114492.325</v>
      </c>
      <c r="H270">
        <v>17977.408179999999</v>
      </c>
      <c r="I270">
        <v>17.977408180000001</v>
      </c>
      <c r="J270">
        <v>1.7977408E-2</v>
      </c>
      <c r="K270">
        <v>39.633353620000001</v>
      </c>
      <c r="L270">
        <v>5.4000000000000003E-3</v>
      </c>
      <c r="M270">
        <v>3</v>
      </c>
      <c r="N270">
        <v>149.3176363</v>
      </c>
      <c r="O270">
        <v>275.17027464770302</v>
      </c>
      <c r="P270">
        <v>112511.861920271</v>
      </c>
      <c r="Q270">
        <v>270396.20745078399</v>
      </c>
      <c r="R270">
        <v>716549.94974457705</v>
      </c>
      <c r="S270">
        <v>280</v>
      </c>
      <c r="T270">
        <v>0.11600000000000001</v>
      </c>
      <c r="U270">
        <v>0</v>
      </c>
    </row>
    <row r="271" spans="1:21" x14ac:dyDescent="0.25">
      <c r="A271" t="s">
        <v>91</v>
      </c>
      <c r="B271" t="s">
        <v>92</v>
      </c>
      <c r="C271">
        <v>5</v>
      </c>
      <c r="D271">
        <v>2</v>
      </c>
      <c r="E271">
        <v>10</v>
      </c>
      <c r="F271">
        <v>1550.4325879999999</v>
      </c>
      <c r="G271">
        <v>4108.6463590000003</v>
      </c>
      <c r="H271">
        <v>645.13499990000003</v>
      </c>
      <c r="I271">
        <v>0.64513500000000001</v>
      </c>
      <c r="J271">
        <v>6.4513500000000002E-4</v>
      </c>
      <c r="K271">
        <v>1.422277523</v>
      </c>
      <c r="L271">
        <v>1.2999999999999999E-2</v>
      </c>
      <c r="M271">
        <v>3</v>
      </c>
      <c r="N271">
        <v>36.748172850000003</v>
      </c>
      <c r="O271">
        <v>51.195969122797401</v>
      </c>
      <c r="P271">
        <v>1744.41839503647</v>
      </c>
      <c r="Q271">
        <v>4192.3056838175198</v>
      </c>
      <c r="R271">
        <v>11109.610062116401</v>
      </c>
      <c r="S271">
        <v>60.2</v>
      </c>
      <c r="T271">
        <v>0.19</v>
      </c>
      <c r="U271">
        <v>0</v>
      </c>
    </row>
    <row r="272" spans="1:21" x14ac:dyDescent="0.25">
      <c r="A272" t="s">
        <v>87</v>
      </c>
      <c r="B272" t="s">
        <v>88</v>
      </c>
      <c r="C272">
        <v>5</v>
      </c>
      <c r="D272">
        <v>2</v>
      </c>
      <c r="E272">
        <v>10</v>
      </c>
      <c r="F272">
        <v>1550.4325879999999</v>
      </c>
      <c r="G272">
        <v>4108.6463590000003</v>
      </c>
      <c r="H272">
        <v>645.13499990000003</v>
      </c>
      <c r="I272">
        <v>0.64513500000000001</v>
      </c>
      <c r="J272">
        <v>6.4513500000000002E-4</v>
      </c>
      <c r="K272">
        <v>1.422277523</v>
      </c>
      <c r="L272">
        <v>6.0000000000000001E-3</v>
      </c>
      <c r="M272">
        <v>3.1</v>
      </c>
      <c r="N272">
        <v>41.982114379999999</v>
      </c>
      <c r="O272">
        <v>27.365800500123299</v>
      </c>
      <c r="P272">
        <v>171.19715208220501</v>
      </c>
      <c r="Q272">
        <v>411.43271348763602</v>
      </c>
      <c r="R272">
        <v>1090.2966907422399</v>
      </c>
      <c r="S272">
        <v>31.4</v>
      </c>
      <c r="T272">
        <v>0.19</v>
      </c>
      <c r="U272">
        <v>-0.8</v>
      </c>
    </row>
    <row r="273" spans="1:21" x14ac:dyDescent="0.25">
      <c r="A273" t="s">
        <v>93</v>
      </c>
      <c r="B273" t="s">
        <v>94</v>
      </c>
      <c r="C273">
        <v>5</v>
      </c>
      <c r="D273">
        <v>9</v>
      </c>
      <c r="E273">
        <v>45</v>
      </c>
      <c r="F273">
        <v>1772528355</v>
      </c>
      <c r="G273">
        <v>4697200141</v>
      </c>
      <c r="H273">
        <v>737549048.5</v>
      </c>
      <c r="I273">
        <v>737549.04850000003</v>
      </c>
      <c r="J273">
        <v>737.54904850000003</v>
      </c>
      <c r="K273">
        <v>1626015.3829999999</v>
      </c>
      <c r="L273" s="2">
        <v>1.7000000000000001E-2</v>
      </c>
      <c r="M273">
        <v>3</v>
      </c>
      <c r="N273">
        <v>1544.9709</v>
      </c>
      <c r="O273" s="2">
        <v>1584.9393839535101</v>
      </c>
      <c r="P273" s="2">
        <v>67684136.583491698</v>
      </c>
      <c r="Q273" s="2">
        <v>162663149.68395001</v>
      </c>
      <c r="R273" s="2">
        <v>431057346.66246802</v>
      </c>
      <c r="S273">
        <v>1584.96</v>
      </c>
      <c r="T273" s="2">
        <v>0.25</v>
      </c>
      <c r="U273">
        <v>0</v>
      </c>
    </row>
    <row r="274" spans="1:21" x14ac:dyDescent="0.25">
      <c r="A274" t="s">
        <v>109</v>
      </c>
      <c r="B274" t="s">
        <v>110</v>
      </c>
      <c r="C274">
        <v>5</v>
      </c>
      <c r="D274">
        <v>5</v>
      </c>
      <c r="E274">
        <v>25</v>
      </c>
      <c r="F274">
        <v>7003.1900919999998</v>
      </c>
      <c r="G274">
        <v>18558.453740000001</v>
      </c>
      <c r="H274">
        <v>2914.0273969999998</v>
      </c>
      <c r="I274">
        <v>2.9140273969999999</v>
      </c>
      <c r="J274">
        <v>2.914027E-3</v>
      </c>
      <c r="K274">
        <v>6.4243230809999998</v>
      </c>
      <c r="L274">
        <v>4.3E-3</v>
      </c>
      <c r="M274">
        <v>3.1</v>
      </c>
      <c r="N274">
        <v>76.02840209</v>
      </c>
      <c r="O274">
        <v>142.40656028798401</v>
      </c>
      <c r="P274">
        <v>20389.728589471899</v>
      </c>
      <c r="Q274">
        <v>49001.991322931703</v>
      </c>
      <c r="R274">
        <v>129855.27700576901</v>
      </c>
      <c r="S274">
        <v>186</v>
      </c>
      <c r="T274">
        <v>4.5999999999999999E-2</v>
      </c>
      <c r="U274">
        <v>-6.54</v>
      </c>
    </row>
    <row r="275" spans="1:21" x14ac:dyDescent="0.25">
      <c r="A275" t="s">
        <v>99</v>
      </c>
      <c r="B275" t="s">
        <v>100</v>
      </c>
      <c r="C275">
        <v>5</v>
      </c>
      <c r="D275">
        <v>2</v>
      </c>
      <c r="E275">
        <v>10</v>
      </c>
      <c r="F275">
        <v>1550.4325879999999</v>
      </c>
      <c r="G275">
        <v>4108.6463590000003</v>
      </c>
      <c r="H275">
        <v>645.13499990000003</v>
      </c>
      <c r="I275">
        <v>0.64513500000000001</v>
      </c>
      <c r="J275">
        <v>6.4513500000000002E-4</v>
      </c>
      <c r="K275">
        <v>1.422277523</v>
      </c>
      <c r="L275">
        <v>1.4999999999999999E-2</v>
      </c>
      <c r="M275">
        <v>3.1</v>
      </c>
      <c r="N275">
        <v>31.238959699999999</v>
      </c>
      <c r="O275">
        <v>34.654218580164098</v>
      </c>
      <c r="P275">
        <v>889.88769421480004</v>
      </c>
      <c r="Q275">
        <v>2138.6390151761598</v>
      </c>
      <c r="R275">
        <v>5667.3933902168201</v>
      </c>
      <c r="S275">
        <v>42.4</v>
      </c>
      <c r="T275">
        <v>0.17</v>
      </c>
      <c r="U275">
        <v>0</v>
      </c>
    </row>
    <row r="276" spans="1:21" x14ac:dyDescent="0.25">
      <c r="A276" t="s">
        <v>97</v>
      </c>
      <c r="B276" t="s">
        <v>98</v>
      </c>
      <c r="C276">
        <v>5</v>
      </c>
      <c r="D276">
        <v>2</v>
      </c>
      <c r="E276">
        <v>10</v>
      </c>
      <c r="F276">
        <v>27162.319380000001</v>
      </c>
      <c r="G276">
        <v>71980.146370000002</v>
      </c>
      <c r="H276">
        <v>11302.24109</v>
      </c>
      <c r="I276">
        <v>11.302241090000001</v>
      </c>
      <c r="J276">
        <v>1.1302240999999999E-2</v>
      </c>
      <c r="K276">
        <v>24.917146760000001</v>
      </c>
      <c r="L276" s="2">
        <v>6.5000000000000002E-2</v>
      </c>
      <c r="M276">
        <v>3</v>
      </c>
      <c r="N276">
        <v>82.675758979999998</v>
      </c>
      <c r="O276">
        <v>23.586947208864501</v>
      </c>
      <c r="P276">
        <v>852.95979682542895</v>
      </c>
      <c r="Q276">
        <v>2049.8913646369301</v>
      </c>
      <c r="R276">
        <v>5432.2121162878802</v>
      </c>
      <c r="S276">
        <v>23.6</v>
      </c>
      <c r="T276">
        <v>0.75</v>
      </c>
      <c r="U276">
        <v>0</v>
      </c>
    </row>
    <row r="277" spans="1:21" x14ac:dyDescent="0.25">
      <c r="A277" s="2" t="s">
        <v>47</v>
      </c>
      <c r="B277" t="s">
        <v>48</v>
      </c>
      <c r="C277">
        <v>5</v>
      </c>
      <c r="D277">
        <v>1</v>
      </c>
      <c r="E277">
        <v>5</v>
      </c>
      <c r="F277">
        <v>254.74645520000001</v>
      </c>
      <c r="G277">
        <v>675.07810619999998</v>
      </c>
      <c r="H277">
        <v>106.00000000871999</v>
      </c>
      <c r="I277">
        <v>0.10600000000871999</v>
      </c>
      <c r="J277">
        <v>1.0600000000872E-4</v>
      </c>
      <c r="K277">
        <v>0.233689720019224</v>
      </c>
      <c r="L277" s="3">
        <v>1.23E-2</v>
      </c>
      <c r="M277" s="3">
        <v>3.2</v>
      </c>
      <c r="N277">
        <v>16.975115407979299</v>
      </c>
      <c r="O277" s="2">
        <v>37.103843733673202</v>
      </c>
      <c r="P277" s="2">
        <v>1294.33173211756</v>
      </c>
      <c r="Q277" s="2">
        <v>3110.6266092707501</v>
      </c>
      <c r="R277" s="2">
        <v>8243.1605145674694</v>
      </c>
      <c r="S277" s="2">
        <v>39.200000000000003</v>
      </c>
      <c r="T277" s="2">
        <v>0.58571428571428596</v>
      </c>
      <c r="U277" s="2">
        <v>0</v>
      </c>
    </row>
    <row r="278" spans="1:21" x14ac:dyDescent="0.25">
      <c r="A278" t="s">
        <v>103</v>
      </c>
      <c r="B278" t="s">
        <v>104</v>
      </c>
      <c r="C278">
        <v>5</v>
      </c>
      <c r="D278">
        <v>1</v>
      </c>
      <c r="E278">
        <v>5</v>
      </c>
      <c r="F278">
        <v>826.58014939999998</v>
      </c>
      <c r="G278">
        <v>2190.4373959999998</v>
      </c>
      <c r="H278">
        <v>343.94000019999999</v>
      </c>
      <c r="I278">
        <v>0.34394000000000002</v>
      </c>
      <c r="J278">
        <v>3.4393999999999999E-4</v>
      </c>
      <c r="K278">
        <v>0.75825700299999998</v>
      </c>
      <c r="L278">
        <v>1.2999999999999999E-2</v>
      </c>
      <c r="M278">
        <v>2.8</v>
      </c>
      <c r="N278">
        <v>37.973299429999997</v>
      </c>
      <c r="O278">
        <v>38.810344252964804</v>
      </c>
      <c r="P278">
        <v>365.59170918238999</v>
      </c>
      <c r="Q278">
        <v>878.615018462845</v>
      </c>
      <c r="R278">
        <v>2328.3297989265402</v>
      </c>
      <c r="S278">
        <v>65.400000000000006</v>
      </c>
      <c r="T278">
        <v>0.18</v>
      </c>
      <c r="U278">
        <v>0</v>
      </c>
    </row>
    <row r="279" spans="1:21" x14ac:dyDescent="0.25">
      <c r="A279" s="2" t="s">
        <v>105</v>
      </c>
      <c r="B279" t="s">
        <v>106</v>
      </c>
      <c r="C279">
        <v>5</v>
      </c>
      <c r="D279">
        <v>3</v>
      </c>
      <c r="E279">
        <v>15</v>
      </c>
      <c r="F279">
        <v>7000</v>
      </c>
      <c r="G279">
        <v>18550</v>
      </c>
      <c r="H279">
        <v>2912.7</v>
      </c>
      <c r="I279">
        <v>2.9127000000000001</v>
      </c>
      <c r="J279">
        <v>2.9126999999999998E-3</v>
      </c>
      <c r="K279">
        <v>6.4195907999999999</v>
      </c>
      <c r="L279" s="3">
        <v>1.2699999999999999E-2</v>
      </c>
      <c r="M279" s="3">
        <v>3.1</v>
      </c>
      <c r="N279">
        <v>53.603232342129701</v>
      </c>
      <c r="O279" s="2">
        <v>99.828338512433405</v>
      </c>
      <c r="P279" s="2">
        <v>20021.224447421999</v>
      </c>
      <c r="Q279" s="2">
        <v>48116.376946459997</v>
      </c>
      <c r="R279" s="2">
        <v>127508.39890811899</v>
      </c>
      <c r="S279">
        <v>109.97499999999999</v>
      </c>
      <c r="T279">
        <v>0.14749999999999999</v>
      </c>
      <c r="U279">
        <v>-1.1566666666666701</v>
      </c>
    </row>
    <row r="280" spans="1:21" x14ac:dyDescent="0.25">
      <c r="A280" t="s">
        <v>115</v>
      </c>
      <c r="B280" t="s">
        <v>116</v>
      </c>
      <c r="C280">
        <v>5</v>
      </c>
      <c r="D280">
        <v>7</v>
      </c>
      <c r="E280">
        <v>35</v>
      </c>
      <c r="F280">
        <v>9236054.7949999999</v>
      </c>
      <c r="G280">
        <v>24475545.210000001</v>
      </c>
      <c r="H280">
        <v>3843122.4</v>
      </c>
      <c r="I280">
        <v>3843.1224000000002</v>
      </c>
      <c r="J280">
        <v>3.8431223999999999</v>
      </c>
      <c r="K280">
        <v>8472.6245060000001</v>
      </c>
      <c r="L280" s="2">
        <v>1.4999999999999999E-2</v>
      </c>
      <c r="M280">
        <v>3</v>
      </c>
      <c r="N280">
        <v>727.04518989999997</v>
      </c>
      <c r="O280" s="2">
        <v>271.73693338106</v>
      </c>
      <c r="P280" s="2">
        <v>300979.74435133999</v>
      </c>
      <c r="Q280" s="2">
        <v>723335.12220941996</v>
      </c>
      <c r="R280" s="2">
        <v>1916838.07385496</v>
      </c>
      <c r="S280">
        <v>271.77999999999997</v>
      </c>
      <c r="T280">
        <v>0.25</v>
      </c>
      <c r="U280">
        <v>0</v>
      </c>
    </row>
    <row r="281" spans="1:21" x14ac:dyDescent="0.25">
      <c r="A281" t="s">
        <v>107</v>
      </c>
      <c r="B281" t="s">
        <v>108</v>
      </c>
      <c r="C281">
        <v>5</v>
      </c>
      <c r="D281">
        <v>5</v>
      </c>
      <c r="E281">
        <v>25</v>
      </c>
      <c r="F281">
        <v>7003.1900919999998</v>
      </c>
      <c r="G281">
        <v>18558.453740000001</v>
      </c>
      <c r="H281">
        <v>2914.0273969999998</v>
      </c>
      <c r="I281">
        <v>2.9140273969999999</v>
      </c>
      <c r="J281">
        <v>2.914027E-3</v>
      </c>
      <c r="K281">
        <v>6.4243230809999998</v>
      </c>
      <c r="L281">
        <v>3.5999999999999999E-3</v>
      </c>
      <c r="M281">
        <v>3</v>
      </c>
      <c r="N281">
        <v>93.195950769999996</v>
      </c>
      <c r="O281">
        <v>106.86928906352399</v>
      </c>
      <c r="P281">
        <v>4394.0122330630602</v>
      </c>
      <c r="Q281">
        <v>10559.990947039299</v>
      </c>
      <c r="R281">
        <v>27983.976009654201</v>
      </c>
      <c r="S281">
        <v>150</v>
      </c>
      <c r="T281">
        <v>4.1000000000000002E-2</v>
      </c>
      <c r="U281">
        <v>-5.4</v>
      </c>
    </row>
    <row r="282" spans="1:21" x14ac:dyDescent="0.25">
      <c r="A282" t="s">
        <v>41</v>
      </c>
      <c r="B282" t="s">
        <v>42</v>
      </c>
      <c r="C282">
        <v>5</v>
      </c>
      <c r="D282">
        <v>4</v>
      </c>
      <c r="E282">
        <v>20</v>
      </c>
      <c r="F282">
        <v>12752.861699999999</v>
      </c>
      <c r="G282">
        <v>33795.083509999997</v>
      </c>
      <c r="H282">
        <v>5306.4657530000004</v>
      </c>
      <c r="I282">
        <v>5.3064657530000003</v>
      </c>
      <c r="J282">
        <v>5.3064660000000001E-3</v>
      </c>
      <c r="K282">
        <v>11.69874053</v>
      </c>
      <c r="L282">
        <v>1.34E-2</v>
      </c>
      <c r="M282">
        <v>3.1</v>
      </c>
      <c r="N282">
        <v>63.930758990000001</v>
      </c>
      <c r="O282">
        <v>84.269277425813897</v>
      </c>
      <c r="P282">
        <v>12493.3680838173</v>
      </c>
      <c r="Q282">
        <v>30024.917288674202</v>
      </c>
      <c r="R282">
        <v>79566.030814986603</v>
      </c>
      <c r="S282">
        <v>91.5</v>
      </c>
      <c r="T282">
        <v>0.12690000000000001</v>
      </c>
      <c r="U282">
        <v>0</v>
      </c>
    </row>
    <row r="283" spans="1:21" x14ac:dyDescent="0.25">
      <c r="A283" t="s">
        <v>111</v>
      </c>
      <c r="B283" t="s">
        <v>112</v>
      </c>
      <c r="C283">
        <v>5</v>
      </c>
      <c r="D283">
        <v>2</v>
      </c>
      <c r="E283">
        <v>10</v>
      </c>
      <c r="F283">
        <v>1550.4325879999999</v>
      </c>
      <c r="G283">
        <v>4108.6463590000003</v>
      </c>
      <c r="H283">
        <v>645.13499990000003</v>
      </c>
      <c r="I283">
        <v>0.64513500000000001</v>
      </c>
      <c r="J283">
        <v>6.4513500000000002E-4</v>
      </c>
      <c r="K283">
        <v>1.422277523</v>
      </c>
      <c r="L283">
        <v>1.2200000000000001E-2</v>
      </c>
      <c r="M283">
        <v>2.9</v>
      </c>
      <c r="N283">
        <v>42.532504469999999</v>
      </c>
      <c r="O283">
        <v>85.964352561510793</v>
      </c>
      <c r="P283">
        <v>4964.5876313099398</v>
      </c>
      <c r="Q283">
        <v>11931.236797187999</v>
      </c>
      <c r="R283">
        <v>31617.777512548299</v>
      </c>
      <c r="S283">
        <v>98.7</v>
      </c>
      <c r="T283">
        <v>0.158</v>
      </c>
      <c r="U283">
        <v>-2.96</v>
      </c>
    </row>
    <row r="284" spans="1:21" x14ac:dyDescent="0.25">
      <c r="A284" t="s">
        <v>113</v>
      </c>
      <c r="B284" t="s">
        <v>114</v>
      </c>
      <c r="C284">
        <v>5</v>
      </c>
      <c r="D284">
        <v>2</v>
      </c>
      <c r="E284">
        <v>10</v>
      </c>
      <c r="F284">
        <v>2636.890171</v>
      </c>
      <c r="G284">
        <v>6987.7589529999996</v>
      </c>
      <c r="H284">
        <v>1097.21</v>
      </c>
      <c r="I284">
        <v>1.09721</v>
      </c>
      <c r="J284">
        <v>1.0972099999999999E-3</v>
      </c>
      <c r="K284">
        <v>2.418931111</v>
      </c>
      <c r="L284">
        <v>1.2E-2</v>
      </c>
      <c r="M284">
        <v>3.05</v>
      </c>
      <c r="N284">
        <v>42.32460897</v>
      </c>
      <c r="O284">
        <v>75.894010847256595</v>
      </c>
      <c r="P284">
        <v>6513.4957842609601</v>
      </c>
      <c r="Q284">
        <v>15653.678885510601</v>
      </c>
      <c r="R284">
        <v>41482.249046603101</v>
      </c>
      <c r="S284">
        <v>85.9</v>
      </c>
      <c r="T284">
        <v>0.215</v>
      </c>
      <c r="U284">
        <v>0</v>
      </c>
    </row>
    <row r="285" spans="1:21" x14ac:dyDescent="0.25">
      <c r="A285" t="s">
        <v>117</v>
      </c>
      <c r="B285" t="s">
        <v>118</v>
      </c>
      <c r="C285">
        <v>5</v>
      </c>
      <c r="D285">
        <v>2</v>
      </c>
      <c r="E285">
        <v>10</v>
      </c>
      <c r="F285">
        <v>1550.4325879999999</v>
      </c>
      <c r="G285">
        <v>4108.6463590000003</v>
      </c>
      <c r="H285">
        <v>645.13499990000003</v>
      </c>
      <c r="I285">
        <v>0.64513500000000001</v>
      </c>
      <c r="J285">
        <v>6.4513500000000002E-4</v>
      </c>
      <c r="K285">
        <v>1.422277523</v>
      </c>
      <c r="L285">
        <v>1.4999999999999999E-2</v>
      </c>
      <c r="M285">
        <v>3</v>
      </c>
      <c r="N285">
        <v>35.036424660000002</v>
      </c>
      <c r="O285">
        <v>46.271224906250403</v>
      </c>
      <c r="P285">
        <v>1486.0186101607501</v>
      </c>
      <c r="Q285">
        <v>3571.3016346088698</v>
      </c>
      <c r="R285">
        <v>9463.9493317135202</v>
      </c>
      <c r="S285">
        <v>73.2</v>
      </c>
      <c r="T285">
        <v>0.1</v>
      </c>
      <c r="U285">
        <v>0</v>
      </c>
    </row>
    <row r="286" spans="1:21" x14ac:dyDescent="0.25">
      <c r="A286" t="s">
        <v>123</v>
      </c>
      <c r="B286" t="s">
        <v>124</v>
      </c>
      <c r="C286">
        <v>5</v>
      </c>
      <c r="D286">
        <v>2</v>
      </c>
      <c r="E286">
        <v>10</v>
      </c>
      <c r="F286">
        <v>1550.4325879999999</v>
      </c>
      <c r="G286">
        <v>4108.6463590000003</v>
      </c>
      <c r="H286">
        <v>645.13499990000003</v>
      </c>
      <c r="I286">
        <v>0.64513500000000001</v>
      </c>
      <c r="J286">
        <v>6.4513500000000002E-4</v>
      </c>
      <c r="K286">
        <v>1.422277523</v>
      </c>
      <c r="L286">
        <v>9.4999999999999998E-3</v>
      </c>
      <c r="M286">
        <v>3.1</v>
      </c>
      <c r="N286">
        <v>36.198129430000002</v>
      </c>
      <c r="O286">
        <v>79.871300682011494</v>
      </c>
      <c r="P286">
        <v>7501.2726572146203</v>
      </c>
      <c r="Q286">
        <v>18027.571875065201</v>
      </c>
      <c r="R286">
        <v>47773.065468922701</v>
      </c>
      <c r="S286">
        <v>111</v>
      </c>
      <c r="T286">
        <v>0.13</v>
      </c>
      <c r="U286">
        <v>0.22</v>
      </c>
    </row>
    <row r="287" spans="1:21" x14ac:dyDescent="0.25">
      <c r="A287" t="s">
        <v>121</v>
      </c>
      <c r="B287" t="s">
        <v>122</v>
      </c>
      <c r="C287">
        <v>5</v>
      </c>
      <c r="D287">
        <v>7</v>
      </c>
      <c r="E287">
        <v>35</v>
      </c>
      <c r="F287">
        <v>9236054.7949999999</v>
      </c>
      <c r="G287">
        <v>24475545.210000001</v>
      </c>
      <c r="H287">
        <v>3843122.4</v>
      </c>
      <c r="I287">
        <v>3843.1224000000002</v>
      </c>
      <c r="J287">
        <v>3.8431223999999999</v>
      </c>
      <c r="K287">
        <v>8472.6245060000001</v>
      </c>
      <c r="L287" s="2">
        <v>1E-3</v>
      </c>
      <c r="M287">
        <v>3</v>
      </c>
      <c r="N287">
        <v>727.04518989999997</v>
      </c>
      <c r="O287" s="2">
        <v>2615.3455032042202</v>
      </c>
      <c r="P287" s="2">
        <v>17889047.197464202</v>
      </c>
      <c r="Q287" s="2">
        <v>42992182.642307498</v>
      </c>
      <c r="R287" s="2">
        <v>113929284.002115</v>
      </c>
      <c r="S287">
        <v>2615.7600000000002</v>
      </c>
      <c r="T287">
        <v>0.25</v>
      </c>
      <c r="U287">
        <v>0</v>
      </c>
    </row>
    <row r="288" spans="1:21" x14ac:dyDescent="0.25">
      <c r="A288" t="s">
        <v>119</v>
      </c>
      <c r="B288" t="s">
        <v>120</v>
      </c>
      <c r="C288">
        <v>5</v>
      </c>
      <c r="D288">
        <v>3</v>
      </c>
      <c r="E288">
        <v>15</v>
      </c>
      <c r="F288">
        <v>174502.53330000001</v>
      </c>
      <c r="G288">
        <v>462431.7133</v>
      </c>
      <c r="H288">
        <v>72610.504109999994</v>
      </c>
      <c r="I288">
        <v>72.610504109999994</v>
      </c>
      <c r="J288">
        <v>7.2610504000000006E-2</v>
      </c>
      <c r="K288">
        <v>160.07856960000001</v>
      </c>
      <c r="L288">
        <v>2.1399999999999999E-2</v>
      </c>
      <c r="M288">
        <v>2.96</v>
      </c>
      <c r="N288">
        <v>160.79737159999999</v>
      </c>
      <c r="O288" s="2">
        <v>128.832928307294</v>
      </c>
      <c r="P288" s="2">
        <v>37678.476387287898</v>
      </c>
      <c r="Q288" s="2">
        <v>90551.493360461202</v>
      </c>
      <c r="R288" s="2">
        <v>239961.457405222</v>
      </c>
      <c r="S288">
        <v>133.76666666666699</v>
      </c>
      <c r="T288">
        <v>0.3</v>
      </c>
      <c r="U288">
        <v>4</v>
      </c>
    </row>
    <row r="289" spans="1:21" x14ac:dyDescent="0.25">
      <c r="A289" t="s">
        <v>89</v>
      </c>
      <c r="B289" t="s">
        <v>90</v>
      </c>
      <c r="C289">
        <v>5</v>
      </c>
      <c r="D289">
        <v>8</v>
      </c>
      <c r="E289">
        <v>40</v>
      </c>
      <c r="F289">
        <v>40855</v>
      </c>
      <c r="G289">
        <v>109000</v>
      </c>
      <c r="H289">
        <v>16999.765500000001</v>
      </c>
      <c r="I289">
        <v>16.999765499999999</v>
      </c>
      <c r="J289">
        <v>1.6999765999999999E-2</v>
      </c>
      <c r="K289">
        <v>37.478023020000002</v>
      </c>
      <c r="L289" s="2">
        <v>0.05</v>
      </c>
      <c r="M289" s="2">
        <v>3.2</v>
      </c>
      <c r="N289">
        <v>161.4254301</v>
      </c>
      <c r="O289">
        <v>114.242798401158</v>
      </c>
      <c r="P289">
        <v>2982.0607992826299</v>
      </c>
      <c r="Q289">
        <v>7166.6926202418399</v>
      </c>
      <c r="R289">
        <v>18991.7354436409</v>
      </c>
      <c r="S289">
        <v>114.3</v>
      </c>
      <c r="T289">
        <v>0.19</v>
      </c>
      <c r="U289">
        <v>0</v>
      </c>
    </row>
    <row r="290" spans="1:21" x14ac:dyDescent="0.25">
      <c r="A290" t="s">
        <v>125</v>
      </c>
      <c r="B290" t="s">
        <v>126</v>
      </c>
      <c r="C290">
        <v>5</v>
      </c>
      <c r="D290">
        <v>1</v>
      </c>
      <c r="E290">
        <v>5</v>
      </c>
      <c r="F290">
        <v>3889.4496509999999</v>
      </c>
      <c r="G290">
        <v>10307.041579999999</v>
      </c>
      <c r="H290">
        <v>1618.4</v>
      </c>
      <c r="I290">
        <v>1.6184000000000001</v>
      </c>
      <c r="J290">
        <v>1.6184000000000001E-3</v>
      </c>
      <c r="K290">
        <v>3.567957008</v>
      </c>
      <c r="L290">
        <v>1.4999999999999999E-2</v>
      </c>
      <c r="M290">
        <v>2.9</v>
      </c>
      <c r="N290">
        <v>54.389539650000003</v>
      </c>
      <c r="O290">
        <v>53.511830279081899</v>
      </c>
      <c r="P290">
        <v>1543.8165596502899</v>
      </c>
      <c r="Q290">
        <v>3710.2056228077099</v>
      </c>
      <c r="R290">
        <v>9832.0449004404309</v>
      </c>
      <c r="S290">
        <v>136</v>
      </c>
      <c r="T290">
        <v>0.1</v>
      </c>
      <c r="U290">
        <v>0</v>
      </c>
    </row>
    <row r="291" spans="1:21" x14ac:dyDescent="0.25">
      <c r="A291" t="s">
        <v>131</v>
      </c>
      <c r="B291" t="s">
        <v>132</v>
      </c>
      <c r="C291">
        <v>5</v>
      </c>
      <c r="D291">
        <v>2</v>
      </c>
      <c r="E291">
        <v>10</v>
      </c>
      <c r="F291">
        <v>2636.890171</v>
      </c>
      <c r="G291">
        <v>6987.7589529999996</v>
      </c>
      <c r="H291">
        <v>1097.21</v>
      </c>
      <c r="I291">
        <v>1.09721</v>
      </c>
      <c r="J291">
        <v>1.0972099999999999E-3</v>
      </c>
      <c r="K291">
        <v>2.418931111</v>
      </c>
      <c r="L291">
        <v>1.4E-2</v>
      </c>
      <c r="M291">
        <v>2.9</v>
      </c>
      <c r="N291">
        <v>48.712674319999998</v>
      </c>
      <c r="O291">
        <v>39.515177556086797</v>
      </c>
      <c r="P291">
        <v>598.05820783112802</v>
      </c>
      <c r="Q291">
        <v>1437.2944192048301</v>
      </c>
      <c r="R291">
        <v>3808.8302108927901</v>
      </c>
      <c r="S291">
        <v>45.7</v>
      </c>
      <c r="T291">
        <v>0.2</v>
      </c>
      <c r="U291">
        <v>0</v>
      </c>
    </row>
    <row r="292" spans="1:21" x14ac:dyDescent="0.25">
      <c r="A292" t="s">
        <v>133</v>
      </c>
      <c r="B292" t="s">
        <v>134</v>
      </c>
      <c r="C292">
        <v>5</v>
      </c>
      <c r="D292">
        <v>3</v>
      </c>
      <c r="E292">
        <v>15</v>
      </c>
      <c r="F292">
        <v>7000</v>
      </c>
      <c r="G292">
        <v>18550</v>
      </c>
      <c r="H292">
        <v>2912.7</v>
      </c>
      <c r="I292">
        <v>2.9127000000000001</v>
      </c>
      <c r="J292">
        <v>2.9126999999999998E-3</v>
      </c>
      <c r="K292">
        <v>6.4213966740000004</v>
      </c>
      <c r="L292">
        <v>1.2699999999999999E-2</v>
      </c>
      <c r="M292">
        <v>3.1</v>
      </c>
      <c r="N292">
        <v>53.603232339999998</v>
      </c>
      <c r="O292">
        <v>88.563161743078993</v>
      </c>
      <c r="P292">
        <v>13813.0113976149</v>
      </c>
      <c r="Q292">
        <v>33196.374423491703</v>
      </c>
      <c r="R292">
        <v>87970.392222252907</v>
      </c>
      <c r="S292">
        <v>114</v>
      </c>
      <c r="T292">
        <v>0.1</v>
      </c>
      <c r="U292">
        <v>0</v>
      </c>
    </row>
    <row r="293" spans="1:21" x14ac:dyDescent="0.25">
      <c r="A293" t="s">
        <v>127</v>
      </c>
      <c r="B293" t="s">
        <v>128</v>
      </c>
      <c r="C293">
        <v>5</v>
      </c>
      <c r="D293">
        <v>2</v>
      </c>
      <c r="E293">
        <v>10</v>
      </c>
      <c r="F293">
        <v>2636.890171</v>
      </c>
      <c r="G293">
        <v>6987.7589529999996</v>
      </c>
      <c r="H293">
        <v>1097.21</v>
      </c>
      <c r="I293">
        <v>1.09721</v>
      </c>
      <c r="J293">
        <v>1.0972099999999999E-3</v>
      </c>
      <c r="K293">
        <v>2.418931111</v>
      </c>
      <c r="L293">
        <v>1.4E-2</v>
      </c>
      <c r="M293">
        <v>3</v>
      </c>
      <c r="N293">
        <v>42.794429440000002</v>
      </c>
      <c r="O293">
        <v>59.441036682013099</v>
      </c>
      <c r="P293">
        <v>2940.2696501024202</v>
      </c>
      <c r="Q293">
        <v>7066.2572701331901</v>
      </c>
      <c r="R293">
        <v>18725.581765853</v>
      </c>
      <c r="S293">
        <v>62.2</v>
      </c>
      <c r="T293">
        <v>0.31</v>
      </c>
      <c r="U293">
        <v>-0.05</v>
      </c>
    </row>
    <row r="294" spans="1:21" x14ac:dyDescent="0.25">
      <c r="A294" t="s">
        <v>135</v>
      </c>
      <c r="B294" t="s">
        <v>136</v>
      </c>
      <c r="C294">
        <v>5</v>
      </c>
      <c r="D294">
        <v>2</v>
      </c>
      <c r="E294">
        <v>10</v>
      </c>
      <c r="F294">
        <v>2636.890171</v>
      </c>
      <c r="G294">
        <v>6987.7589529999996</v>
      </c>
      <c r="H294">
        <v>1097.21</v>
      </c>
      <c r="I294">
        <v>1.09721</v>
      </c>
      <c r="J294">
        <v>1.0972099999999999E-3</v>
      </c>
      <c r="K294">
        <v>2.418931111</v>
      </c>
      <c r="L294">
        <v>1.2E-2</v>
      </c>
      <c r="M294">
        <v>3</v>
      </c>
      <c r="N294">
        <v>45.050834190000003</v>
      </c>
      <c r="O294">
        <v>38.019610193166201</v>
      </c>
      <c r="P294">
        <v>659.48394244968597</v>
      </c>
      <c r="Q294">
        <v>1584.9169489297899</v>
      </c>
      <c r="R294">
        <v>4200.02991466395</v>
      </c>
      <c r="S294">
        <v>60.5</v>
      </c>
      <c r="T294">
        <v>9.9000000000000005E-2</v>
      </c>
      <c r="U294">
        <v>0</v>
      </c>
    </row>
    <row r="295" spans="1:21" x14ac:dyDescent="0.25">
      <c r="A295" t="s">
        <v>129</v>
      </c>
      <c r="B295" t="s">
        <v>130</v>
      </c>
      <c r="C295">
        <v>5</v>
      </c>
      <c r="D295">
        <v>2</v>
      </c>
      <c r="E295">
        <v>10</v>
      </c>
      <c r="F295">
        <v>1550.4325879999999</v>
      </c>
      <c r="G295">
        <v>4108.6463590000003</v>
      </c>
      <c r="H295">
        <v>645.13499990000003</v>
      </c>
      <c r="I295">
        <v>0.64513500000000001</v>
      </c>
      <c r="J295">
        <v>6.4513500000000002E-4</v>
      </c>
      <c r="K295">
        <v>1.422277523</v>
      </c>
      <c r="L295">
        <v>1.2500000000000001E-2</v>
      </c>
      <c r="M295">
        <v>2.88</v>
      </c>
      <c r="N295">
        <v>43.288073740000002</v>
      </c>
      <c r="O295">
        <v>55.219563033716</v>
      </c>
      <c r="P295">
        <v>1300.5820447465801</v>
      </c>
      <c r="Q295">
        <v>3125.6477883839998</v>
      </c>
      <c r="R295">
        <v>8282.9666392176096</v>
      </c>
      <c r="S295">
        <v>158</v>
      </c>
      <c r="T295">
        <v>4.2999999999999997E-2</v>
      </c>
      <c r="U295">
        <v>0</v>
      </c>
    </row>
    <row r="296" spans="1:21" x14ac:dyDescent="0.25">
      <c r="A296" t="s">
        <v>137</v>
      </c>
      <c r="B296" t="s">
        <v>138</v>
      </c>
      <c r="C296">
        <v>5</v>
      </c>
      <c r="D296">
        <v>1</v>
      </c>
      <c r="E296">
        <v>5</v>
      </c>
      <c r="F296">
        <v>1241.7688049999999</v>
      </c>
      <c r="G296">
        <v>3290.6873340000002</v>
      </c>
      <c r="H296">
        <v>516.6999998</v>
      </c>
      <c r="I296">
        <v>0.51670000000000005</v>
      </c>
      <c r="J296">
        <v>5.1670000000000004E-4</v>
      </c>
      <c r="K296">
        <v>1.139127153</v>
      </c>
      <c r="L296">
        <v>1.2500000000000001E-2</v>
      </c>
      <c r="M296">
        <v>2.82</v>
      </c>
      <c r="N296">
        <v>43.350678950000002</v>
      </c>
      <c r="O296">
        <v>40.634591025902203</v>
      </c>
      <c r="P296">
        <v>430.52307294985798</v>
      </c>
      <c r="Q296">
        <v>1034.66251610156</v>
      </c>
      <c r="R296">
        <v>2741.8556676691301</v>
      </c>
      <c r="S296">
        <v>50</v>
      </c>
      <c r="T296">
        <v>0.33500000000000002</v>
      </c>
      <c r="U296">
        <v>0</v>
      </c>
    </row>
    <row r="297" spans="1:21" x14ac:dyDescent="0.25">
      <c r="A297" t="s">
        <v>21</v>
      </c>
      <c r="B297" t="s">
        <v>22</v>
      </c>
      <c r="C297">
        <v>6</v>
      </c>
      <c r="D297">
        <v>1</v>
      </c>
      <c r="E297">
        <v>6</v>
      </c>
      <c r="F297">
        <v>244.71280949999999</v>
      </c>
      <c r="G297">
        <v>648.48894510000002</v>
      </c>
      <c r="H297">
        <v>101.825</v>
      </c>
      <c r="I297">
        <v>0.101825</v>
      </c>
      <c r="J297">
        <v>1.0182499999999999E-4</v>
      </c>
      <c r="K297">
        <v>0.22448543200000001</v>
      </c>
      <c r="L297">
        <v>1.6E-2</v>
      </c>
      <c r="M297">
        <v>3</v>
      </c>
      <c r="N297">
        <v>18.531538609999998</v>
      </c>
      <c r="O297">
        <v>10.8456797452498</v>
      </c>
      <c r="P297">
        <v>20.4122233421221</v>
      </c>
      <c r="Q297">
        <v>49.0560522521561</v>
      </c>
      <c r="R297">
        <v>129.99853846821401</v>
      </c>
      <c r="S297">
        <v>13.8</v>
      </c>
      <c r="T297">
        <v>0.21</v>
      </c>
      <c r="U297">
        <v>-1.34</v>
      </c>
    </row>
    <row r="298" spans="1:21" x14ac:dyDescent="0.25">
      <c r="A298" t="s">
        <v>95</v>
      </c>
      <c r="B298" s="2" t="s">
        <v>96</v>
      </c>
      <c r="C298">
        <v>6</v>
      </c>
      <c r="D298">
        <v>2</v>
      </c>
      <c r="E298">
        <v>12</v>
      </c>
      <c r="F298">
        <v>1976.4359529999999</v>
      </c>
      <c r="G298">
        <v>5237.5552749999997</v>
      </c>
      <c r="H298">
        <v>822.39499999999998</v>
      </c>
      <c r="I298">
        <v>0.82239499999999999</v>
      </c>
      <c r="J298">
        <v>8.2239499999999996E-4</v>
      </c>
      <c r="K298">
        <v>1.813068465</v>
      </c>
      <c r="L298">
        <v>0.01</v>
      </c>
      <c r="M298">
        <v>3</v>
      </c>
      <c r="N298">
        <v>39.347356869999999</v>
      </c>
      <c r="O298">
        <v>123.66235835264</v>
      </c>
      <c r="P298">
        <v>25529.7370900352</v>
      </c>
      <c r="Q298">
        <v>61354.811559805901</v>
      </c>
      <c r="R298">
        <v>162590.25063348599</v>
      </c>
      <c r="S298">
        <v>136</v>
      </c>
      <c r="T298">
        <v>0.2</v>
      </c>
      <c r="U298">
        <v>0</v>
      </c>
    </row>
    <row r="299" spans="1:21" x14ac:dyDescent="0.25">
      <c r="A299" t="s">
        <v>101</v>
      </c>
      <c r="B299" t="s">
        <v>102</v>
      </c>
      <c r="C299">
        <v>6</v>
      </c>
      <c r="D299">
        <v>2</v>
      </c>
      <c r="E299">
        <v>12</v>
      </c>
      <c r="F299">
        <v>1976.4359529999999</v>
      </c>
      <c r="G299">
        <v>5237.5552749999997</v>
      </c>
      <c r="H299">
        <v>822.39499999999998</v>
      </c>
      <c r="I299">
        <v>0.82239499999999999</v>
      </c>
      <c r="J299">
        <v>8.2239499999999996E-4</v>
      </c>
      <c r="K299">
        <v>1.813068465</v>
      </c>
      <c r="L299">
        <v>1.2E-2</v>
      </c>
      <c r="M299">
        <v>3.1</v>
      </c>
      <c r="N299">
        <v>36.305087579999999</v>
      </c>
      <c r="O299" s="2">
        <v>82.168080837906501</v>
      </c>
      <c r="P299" s="2">
        <v>10345.726443339499</v>
      </c>
      <c r="Q299" s="2">
        <v>24863.557902762601</v>
      </c>
      <c r="R299" s="2">
        <v>65888.428442321005</v>
      </c>
      <c r="S299">
        <v>150.03333333333299</v>
      </c>
      <c r="T299">
        <v>0.11333333333333299</v>
      </c>
      <c r="U299">
        <v>5</v>
      </c>
    </row>
    <row r="300" spans="1:21" x14ac:dyDescent="0.25">
      <c r="A300" t="s">
        <v>37</v>
      </c>
      <c r="B300" t="s">
        <v>38</v>
      </c>
      <c r="C300">
        <v>6</v>
      </c>
      <c r="D300">
        <v>9</v>
      </c>
      <c r="E300">
        <v>54</v>
      </c>
      <c r="F300">
        <v>1772528841</v>
      </c>
      <c r="G300">
        <v>4697201430</v>
      </c>
      <c r="H300">
        <v>737549250.70000005</v>
      </c>
      <c r="I300">
        <v>737549.25069999998</v>
      </c>
      <c r="J300">
        <v>737.54925070000002</v>
      </c>
      <c r="K300">
        <v>1626015.8289999999</v>
      </c>
      <c r="L300" s="2">
        <v>6.0000000000000001E-3</v>
      </c>
      <c r="M300">
        <v>3</v>
      </c>
      <c r="N300">
        <v>1544.971041</v>
      </c>
      <c r="O300" s="2">
        <v>2097.3599999961898</v>
      </c>
      <c r="P300" s="2">
        <v>55356700.140180103</v>
      </c>
      <c r="Q300" s="2">
        <v>133037010.670945</v>
      </c>
      <c r="R300" s="2">
        <v>352548078.27800298</v>
      </c>
      <c r="S300" s="2">
        <v>2097.36</v>
      </c>
      <c r="T300" s="2">
        <v>0.5</v>
      </c>
      <c r="U300" s="2">
        <v>0</v>
      </c>
    </row>
    <row r="301" spans="1:21" x14ac:dyDescent="0.25">
      <c r="A301" s="2" t="s">
        <v>31</v>
      </c>
      <c r="B301" t="s">
        <v>32</v>
      </c>
      <c r="C301">
        <v>6</v>
      </c>
      <c r="D301">
        <v>1</v>
      </c>
      <c r="E301">
        <v>6</v>
      </c>
      <c r="F301">
        <v>244.71280949999999</v>
      </c>
      <c r="G301">
        <v>648.48894510000002</v>
      </c>
      <c r="H301">
        <v>101.82500003295</v>
      </c>
      <c r="I301">
        <v>0.10182500003295</v>
      </c>
      <c r="J301">
        <v>1.0182500003295E-4</v>
      </c>
      <c r="K301">
        <v>0.224485431572642</v>
      </c>
      <c r="L301" s="3">
        <v>1.1599999999999999E-2</v>
      </c>
      <c r="M301" s="3">
        <v>3</v>
      </c>
      <c r="N301">
        <v>20.6283967913844</v>
      </c>
      <c r="O301" s="2">
        <v>29.0602527799863</v>
      </c>
      <c r="P301" s="2">
        <v>284.67947239585698</v>
      </c>
      <c r="Q301" s="2">
        <v>684.16119297249895</v>
      </c>
      <c r="R301" s="2">
        <v>1813.0271613771199</v>
      </c>
      <c r="S301" s="2">
        <v>29.1726666666667</v>
      </c>
      <c r="T301" s="2">
        <v>0.92646666666666699</v>
      </c>
      <c r="U301" s="2">
        <v>0</v>
      </c>
    </row>
    <row r="302" spans="1:21" x14ac:dyDescent="0.25">
      <c r="A302" t="s">
        <v>25</v>
      </c>
      <c r="B302" t="s">
        <v>26</v>
      </c>
      <c r="C302">
        <v>6</v>
      </c>
      <c r="D302">
        <v>3</v>
      </c>
      <c r="E302">
        <v>18</v>
      </c>
      <c r="F302">
        <v>182386.1888</v>
      </c>
      <c r="G302">
        <v>483323.40029999998</v>
      </c>
      <c r="H302">
        <v>75890.893160000007</v>
      </c>
      <c r="I302">
        <v>75.890893160000005</v>
      </c>
      <c r="J302">
        <v>7.5890893000000001E-2</v>
      </c>
      <c r="K302">
        <v>167.31058089999999</v>
      </c>
      <c r="L302">
        <v>2.1399999999999999E-2</v>
      </c>
      <c r="M302">
        <v>2.96</v>
      </c>
      <c r="N302">
        <v>163.21577260000001</v>
      </c>
      <c r="O302">
        <v>276.92640560908899</v>
      </c>
      <c r="P302">
        <v>362921.17215070501</v>
      </c>
      <c r="Q302">
        <v>872197.00108316599</v>
      </c>
      <c r="R302">
        <v>2311322.05287039</v>
      </c>
      <c r="S302">
        <v>358.7</v>
      </c>
      <c r="T302">
        <v>9.1999999999999998E-2</v>
      </c>
      <c r="U302">
        <v>-1.929</v>
      </c>
    </row>
    <row r="303" spans="1:21" x14ac:dyDescent="0.25">
      <c r="A303" t="s">
        <v>33</v>
      </c>
      <c r="B303" t="s">
        <v>34</v>
      </c>
      <c r="C303">
        <v>6</v>
      </c>
      <c r="D303">
        <v>2</v>
      </c>
      <c r="E303">
        <v>12</v>
      </c>
      <c r="F303">
        <v>1976.4359529999999</v>
      </c>
      <c r="G303">
        <v>5237.5552749999997</v>
      </c>
      <c r="H303">
        <v>822.39499999999998</v>
      </c>
      <c r="I303">
        <v>0.82239499999999999</v>
      </c>
      <c r="J303">
        <v>8.2239499999999996E-4</v>
      </c>
      <c r="K303">
        <v>1.813068465</v>
      </c>
      <c r="L303">
        <v>1.4999999999999999E-2</v>
      </c>
      <c r="M303">
        <v>3</v>
      </c>
      <c r="N303">
        <v>37.989455370000002</v>
      </c>
      <c r="O303">
        <v>54.500983071335497</v>
      </c>
      <c r="P303">
        <v>2428.3107759137201</v>
      </c>
      <c r="Q303">
        <v>5835.8826626140899</v>
      </c>
      <c r="R303">
        <v>15465.089055927299</v>
      </c>
      <c r="S303" s="4">
        <v>58.9</v>
      </c>
      <c r="T303" s="4">
        <v>0.22</v>
      </c>
      <c r="U303" s="4">
        <v>0.20699999999999999</v>
      </c>
    </row>
    <row r="304" spans="1:21" x14ac:dyDescent="0.25">
      <c r="A304" t="s">
        <v>29</v>
      </c>
      <c r="B304" t="s">
        <v>30</v>
      </c>
      <c r="C304">
        <v>6</v>
      </c>
      <c r="D304">
        <v>7</v>
      </c>
      <c r="E304" s="2">
        <v>42</v>
      </c>
      <c r="F304">
        <v>51223.1927</v>
      </c>
      <c r="G304">
        <v>135742.56099999999</v>
      </c>
      <c r="H304">
        <v>21313.97048</v>
      </c>
      <c r="I304">
        <v>21.313970479999998</v>
      </c>
      <c r="J304">
        <v>2.1313970000000002E-2</v>
      </c>
      <c r="K304">
        <v>46.989205609999999</v>
      </c>
      <c r="L304">
        <v>3.2499999999999999E-3</v>
      </c>
      <c r="M304">
        <v>3</v>
      </c>
      <c r="N304">
        <v>187.1803836</v>
      </c>
      <c r="O304">
        <v>281.88480085228599</v>
      </c>
      <c r="P304">
        <v>72794.461787243505</v>
      </c>
      <c r="Q304">
        <v>174944.632990251</v>
      </c>
      <c r="R304">
        <v>463603.27742416499</v>
      </c>
      <c r="S304">
        <v>282</v>
      </c>
      <c r="T304">
        <v>0.18</v>
      </c>
      <c r="U304">
        <v>-1.35</v>
      </c>
    </row>
    <row r="305" spans="1:21" x14ac:dyDescent="0.25">
      <c r="A305" t="s">
        <v>23</v>
      </c>
      <c r="B305" t="s">
        <v>24</v>
      </c>
      <c r="C305">
        <v>6</v>
      </c>
      <c r="D305">
        <v>3</v>
      </c>
      <c r="E305">
        <v>18</v>
      </c>
      <c r="F305">
        <v>182386.1888</v>
      </c>
      <c r="G305">
        <v>483323.40029999998</v>
      </c>
      <c r="H305">
        <v>75890.893160000007</v>
      </c>
      <c r="I305">
        <v>75.890893160000005</v>
      </c>
      <c r="J305">
        <v>7.5890893000000001E-2</v>
      </c>
      <c r="K305">
        <v>167.31058089999999</v>
      </c>
      <c r="L305">
        <v>2.5999999999999999E-2</v>
      </c>
      <c r="M305">
        <v>3</v>
      </c>
      <c r="N305">
        <v>207.62604619999999</v>
      </c>
      <c r="O305">
        <v>244.73671783540999</v>
      </c>
      <c r="P305">
        <v>120072.60272624101</v>
      </c>
      <c r="Q305">
        <v>288566.69725124101</v>
      </c>
      <c r="R305">
        <v>764701.74771578796</v>
      </c>
      <c r="S305">
        <v>314.89999999999998</v>
      </c>
      <c r="T305">
        <v>8.8999999999999996E-2</v>
      </c>
      <c r="U305">
        <v>-1.1299999999999999</v>
      </c>
    </row>
    <row r="306" spans="1:21" x14ac:dyDescent="0.25">
      <c r="A306" t="s">
        <v>27</v>
      </c>
      <c r="B306" t="s">
        <v>28</v>
      </c>
      <c r="C306">
        <v>6</v>
      </c>
      <c r="D306">
        <v>1</v>
      </c>
      <c r="E306">
        <v>6</v>
      </c>
      <c r="F306">
        <v>10142.27349</v>
      </c>
      <c r="G306">
        <v>26877.02475</v>
      </c>
      <c r="H306">
        <v>4220.1999990000004</v>
      </c>
      <c r="I306">
        <v>4.2201999990000001</v>
      </c>
      <c r="J306">
        <v>4.2202000000000003E-3</v>
      </c>
      <c r="K306">
        <v>9.3039373219999995</v>
      </c>
      <c r="L306">
        <v>1.0999999999999999E-2</v>
      </c>
      <c r="M306">
        <v>2.9</v>
      </c>
      <c r="N306">
        <v>84.235793580000006</v>
      </c>
      <c r="O306">
        <v>69.965141612657206</v>
      </c>
      <c r="P306">
        <v>2463.4835460760801</v>
      </c>
      <c r="Q306">
        <v>5920.4122712715198</v>
      </c>
      <c r="R306">
        <v>15689.0925188695</v>
      </c>
      <c r="S306">
        <v>81.53</v>
      </c>
      <c r="T306">
        <v>0.31</v>
      </c>
      <c r="U306">
        <v>-0.3</v>
      </c>
    </row>
    <row r="307" spans="1:21" x14ac:dyDescent="0.25">
      <c r="A307" t="s">
        <v>35</v>
      </c>
      <c r="B307" t="s">
        <v>36</v>
      </c>
      <c r="C307">
        <v>6</v>
      </c>
      <c r="D307">
        <v>1</v>
      </c>
      <c r="E307">
        <v>6</v>
      </c>
      <c r="F307">
        <v>244.71280949999999</v>
      </c>
      <c r="G307">
        <v>648.48894510000002</v>
      </c>
      <c r="H307">
        <v>101.825</v>
      </c>
      <c r="I307">
        <v>0.101825</v>
      </c>
      <c r="J307">
        <v>1.0182499999999999E-4</v>
      </c>
      <c r="K307">
        <v>0.22448543200000001</v>
      </c>
      <c r="L307">
        <v>2.1000000000000001E-2</v>
      </c>
      <c r="M307">
        <v>3</v>
      </c>
      <c r="N307">
        <v>16.925637739999999</v>
      </c>
      <c r="O307">
        <v>20.9063508984983</v>
      </c>
      <c r="P307">
        <v>191.89073267934299</v>
      </c>
      <c r="Q307">
        <v>461.16494275256599</v>
      </c>
      <c r="R307">
        <v>1222.0870982942999</v>
      </c>
      <c r="S307" s="4">
        <v>21.02</v>
      </c>
      <c r="T307" s="4">
        <v>0.86</v>
      </c>
      <c r="U307" s="4">
        <v>-6.9989999999999997E-2</v>
      </c>
    </row>
    <row r="308" spans="1:21" x14ac:dyDescent="0.25">
      <c r="A308" t="s">
        <v>39</v>
      </c>
      <c r="B308" t="s">
        <v>40</v>
      </c>
      <c r="C308">
        <v>6</v>
      </c>
      <c r="D308">
        <v>2</v>
      </c>
      <c r="E308">
        <v>12</v>
      </c>
      <c r="F308">
        <v>39926.70031</v>
      </c>
      <c r="G308">
        <v>105805.7558</v>
      </c>
      <c r="H308">
        <v>16613.5</v>
      </c>
      <c r="I308">
        <v>16.613499999999998</v>
      </c>
      <c r="J308">
        <v>1.66135E-2</v>
      </c>
      <c r="K308">
        <v>36.626454369999998</v>
      </c>
      <c r="L308">
        <v>1.2E-2</v>
      </c>
      <c r="M308">
        <v>3</v>
      </c>
      <c r="N308">
        <v>111.4533936</v>
      </c>
      <c r="O308">
        <v>110.03056891003</v>
      </c>
      <c r="P308">
        <v>15985.319518006399</v>
      </c>
      <c r="Q308">
        <v>38417.013982231299</v>
      </c>
      <c r="R308">
        <v>101805.087052913</v>
      </c>
      <c r="S308">
        <v>150.93</v>
      </c>
      <c r="T308">
        <v>0.11</v>
      </c>
      <c r="U308">
        <v>0.13</v>
      </c>
    </row>
    <row r="309" spans="1:21" x14ac:dyDescent="0.25">
      <c r="A309" t="s">
        <v>45</v>
      </c>
      <c r="B309" t="s">
        <v>46</v>
      </c>
      <c r="C309">
        <v>6</v>
      </c>
      <c r="D309">
        <v>5</v>
      </c>
      <c r="E309">
        <v>30</v>
      </c>
      <c r="F309">
        <v>7359.7297799999997</v>
      </c>
      <c r="G309">
        <v>19503.283920000002</v>
      </c>
      <c r="H309">
        <v>3062.3835610000001</v>
      </c>
      <c r="I309">
        <v>3.0623835609999999</v>
      </c>
      <c r="J309">
        <v>3.062384E-3</v>
      </c>
      <c r="K309">
        <v>6.7513920470000004</v>
      </c>
      <c r="L309">
        <v>3.96E-3</v>
      </c>
      <c r="M309">
        <v>3.2</v>
      </c>
      <c r="N309">
        <v>69.201239700000002</v>
      </c>
      <c r="O309" s="2">
        <v>300.04279905402802</v>
      </c>
      <c r="P309" s="2">
        <v>334719.83781043102</v>
      </c>
      <c r="Q309" s="2">
        <v>804421.62415388296</v>
      </c>
      <c r="R309" s="2">
        <v>2131717.3040077901</v>
      </c>
      <c r="S309" s="2">
        <v>300.78571428571399</v>
      </c>
      <c r="T309" s="2">
        <v>0.24014285714285699</v>
      </c>
      <c r="U309" s="2">
        <v>5</v>
      </c>
    </row>
    <row r="310" spans="1:21" x14ac:dyDescent="0.25">
      <c r="A310" t="s">
        <v>43</v>
      </c>
      <c r="B310" t="s">
        <v>44</v>
      </c>
      <c r="C310">
        <v>6</v>
      </c>
      <c r="D310">
        <v>2</v>
      </c>
      <c r="E310">
        <v>12</v>
      </c>
      <c r="F310">
        <v>1976.4359529999999</v>
      </c>
      <c r="G310">
        <v>5237.5552749999997</v>
      </c>
      <c r="H310">
        <v>822.39499999999998</v>
      </c>
      <c r="I310">
        <v>0.82239499999999999</v>
      </c>
      <c r="J310">
        <v>8.2239499999999996E-4</v>
      </c>
      <c r="K310">
        <v>1.813068465</v>
      </c>
      <c r="L310">
        <v>1.44E-2</v>
      </c>
      <c r="M310">
        <v>3</v>
      </c>
      <c r="N310">
        <v>38.509923540000003</v>
      </c>
      <c r="O310" s="2">
        <v>47.412967713498801</v>
      </c>
      <c r="P310" s="2">
        <v>1534.8074966596901</v>
      </c>
      <c r="Q310" s="2">
        <v>3688.5544260026199</v>
      </c>
      <c r="R310" s="2">
        <v>9774.6692289069306</v>
      </c>
      <c r="S310" s="2">
        <v>47.633333333333297</v>
      </c>
      <c r="T310" s="2">
        <v>0.44800000000000001</v>
      </c>
      <c r="U310" s="2">
        <v>0</v>
      </c>
    </row>
    <row r="311" spans="1:21" x14ac:dyDescent="0.25">
      <c r="A311" t="s">
        <v>53</v>
      </c>
      <c r="B311" t="s">
        <v>54</v>
      </c>
      <c r="C311">
        <v>6</v>
      </c>
      <c r="D311">
        <v>2</v>
      </c>
      <c r="E311">
        <v>12</v>
      </c>
      <c r="F311">
        <v>2919.850997</v>
      </c>
      <c r="G311">
        <v>7737.6051429999998</v>
      </c>
      <c r="H311">
        <v>1214.95</v>
      </c>
      <c r="I311">
        <v>1.21495</v>
      </c>
      <c r="J311">
        <v>1.21495E-3</v>
      </c>
      <c r="K311">
        <v>2.678503069</v>
      </c>
      <c r="L311">
        <v>1.2E-2</v>
      </c>
      <c r="M311">
        <v>2.95</v>
      </c>
      <c r="N311">
        <v>49.743692510000002</v>
      </c>
      <c r="O311">
        <v>35.668822853984501</v>
      </c>
      <c r="P311">
        <v>455.44206302122302</v>
      </c>
      <c r="Q311">
        <v>1094.54953862346</v>
      </c>
      <c r="R311">
        <v>2900.5562773521801</v>
      </c>
      <c r="S311">
        <v>41</v>
      </c>
      <c r="T311">
        <v>0.17</v>
      </c>
      <c r="U311">
        <v>0</v>
      </c>
    </row>
    <row r="312" spans="1:21" x14ac:dyDescent="0.25">
      <c r="A312" t="s">
        <v>57</v>
      </c>
      <c r="B312" t="s">
        <v>58</v>
      </c>
      <c r="C312">
        <v>6</v>
      </c>
      <c r="D312">
        <v>2</v>
      </c>
      <c r="E312">
        <v>12</v>
      </c>
      <c r="F312">
        <v>7278.5388130000001</v>
      </c>
      <c r="G312">
        <v>19288.127850000001</v>
      </c>
      <c r="H312">
        <v>3028.6</v>
      </c>
      <c r="I312">
        <v>3.0286</v>
      </c>
      <c r="J312">
        <v>3.0286000000000002E-3</v>
      </c>
      <c r="K312">
        <v>6.676912132</v>
      </c>
      <c r="L312">
        <v>4.0000000000000001E-3</v>
      </c>
      <c r="M312">
        <v>3.1</v>
      </c>
      <c r="N312">
        <v>63.550646100000002</v>
      </c>
      <c r="O312">
        <v>72.300051440126495</v>
      </c>
      <c r="P312">
        <v>4459.6197093998098</v>
      </c>
      <c r="Q312">
        <v>10717.6633246811</v>
      </c>
      <c r="R312">
        <v>28401.807810404898</v>
      </c>
      <c r="S312">
        <v>72.900000000000006</v>
      </c>
      <c r="T312">
        <v>0.4</v>
      </c>
      <c r="U312">
        <v>0</v>
      </c>
    </row>
    <row r="313" spans="1:21" x14ac:dyDescent="0.25">
      <c r="A313" t="s">
        <v>59</v>
      </c>
      <c r="B313" t="s">
        <v>60</v>
      </c>
      <c r="C313">
        <v>6</v>
      </c>
      <c r="D313">
        <v>2</v>
      </c>
      <c r="E313">
        <v>12</v>
      </c>
      <c r="F313">
        <v>2919.850997</v>
      </c>
      <c r="G313">
        <v>7737.6051429999998</v>
      </c>
      <c r="H313">
        <v>1214.95</v>
      </c>
      <c r="I313">
        <v>1.21495</v>
      </c>
      <c r="J313">
        <v>1.21495E-3</v>
      </c>
      <c r="K313">
        <v>2.678503069</v>
      </c>
      <c r="L313">
        <v>1.6799999999999999E-2</v>
      </c>
      <c r="M313">
        <v>3.1</v>
      </c>
      <c r="N313">
        <v>36.94024039</v>
      </c>
      <c r="O313">
        <v>147.40583219976699</v>
      </c>
      <c r="P313">
        <v>88655.309313820006</v>
      </c>
      <c r="Q313">
        <v>213062.507363182</v>
      </c>
      <c r="R313">
        <v>564615.64451243205</v>
      </c>
      <c r="S313">
        <v>263.2</v>
      </c>
      <c r="T313">
        <v>7.0000000000000007E-2</v>
      </c>
      <c r="U313">
        <v>0.27</v>
      </c>
    </row>
    <row r="314" spans="1:21" x14ac:dyDescent="0.25">
      <c r="A314" t="s">
        <v>61</v>
      </c>
      <c r="B314" t="s">
        <v>62</v>
      </c>
      <c r="C314">
        <v>6</v>
      </c>
      <c r="D314">
        <v>1</v>
      </c>
      <c r="E314">
        <v>6</v>
      </c>
      <c r="F314">
        <v>355.75582800000001</v>
      </c>
      <c r="G314">
        <v>942.75294410000004</v>
      </c>
      <c r="H314">
        <v>148.03</v>
      </c>
      <c r="I314">
        <v>0.14802999999999999</v>
      </c>
      <c r="J314">
        <v>1.4803E-4</v>
      </c>
      <c r="K314">
        <v>0.326349899</v>
      </c>
      <c r="L314">
        <v>1.2500000000000001E-2</v>
      </c>
      <c r="M314">
        <v>3</v>
      </c>
      <c r="N314">
        <v>22.793616759999999</v>
      </c>
      <c r="O314">
        <v>27.808575391941101</v>
      </c>
      <c r="P314">
        <v>268.81050439210702</v>
      </c>
      <c r="Q314">
        <v>646.02380291301802</v>
      </c>
      <c r="R314">
        <v>1711.9630777195</v>
      </c>
      <c r="S314">
        <v>33.700000000000003</v>
      </c>
      <c r="T314">
        <v>0.32</v>
      </c>
      <c r="U314">
        <v>0.55000000000000004</v>
      </c>
    </row>
    <row r="315" spans="1:21" x14ac:dyDescent="0.25">
      <c r="A315" t="s">
        <v>63</v>
      </c>
      <c r="B315" t="s">
        <v>64</v>
      </c>
      <c r="C315">
        <v>6</v>
      </c>
      <c r="D315">
        <v>2</v>
      </c>
      <c r="E315">
        <v>12</v>
      </c>
      <c r="F315">
        <v>1976.4359529999999</v>
      </c>
      <c r="G315">
        <v>5237.5552749999997</v>
      </c>
      <c r="H315">
        <v>822.39499999999998</v>
      </c>
      <c r="I315">
        <v>0.82239499999999999</v>
      </c>
      <c r="J315">
        <v>8.2239499999999996E-4</v>
      </c>
      <c r="K315">
        <v>1.813068465</v>
      </c>
      <c r="L315">
        <v>1.2E-2</v>
      </c>
      <c r="M315">
        <v>3.1</v>
      </c>
      <c r="N315">
        <v>36.305087579999999</v>
      </c>
      <c r="O315">
        <v>42.352510150728598</v>
      </c>
      <c r="P315">
        <v>1325.8873503007501</v>
      </c>
      <c r="Q315">
        <v>3186.4632307155698</v>
      </c>
      <c r="R315">
        <v>8444.1275613962698</v>
      </c>
      <c r="S315">
        <v>42.5</v>
      </c>
      <c r="T315">
        <v>0.47</v>
      </c>
      <c r="U315">
        <v>0.05</v>
      </c>
    </row>
    <row r="316" spans="1:21" x14ac:dyDescent="0.25">
      <c r="A316" t="s">
        <v>65</v>
      </c>
      <c r="B316" t="s">
        <v>66</v>
      </c>
      <c r="C316">
        <v>6</v>
      </c>
      <c r="D316">
        <v>3</v>
      </c>
      <c r="E316">
        <v>18</v>
      </c>
      <c r="F316">
        <v>9000</v>
      </c>
      <c r="G316">
        <v>23850</v>
      </c>
      <c r="H316">
        <v>3744.9</v>
      </c>
      <c r="I316">
        <v>3.7448999999999999</v>
      </c>
      <c r="J316">
        <v>3.7448999999999998E-3</v>
      </c>
      <c r="K316">
        <v>8.2560814380000007</v>
      </c>
      <c r="L316">
        <v>1.2699999999999999E-2</v>
      </c>
      <c r="M316">
        <v>3.1</v>
      </c>
      <c r="N316">
        <v>58.129805840000003</v>
      </c>
      <c r="O316">
        <v>52.6187630060017</v>
      </c>
      <c r="P316">
        <v>2750.0442819121499</v>
      </c>
      <c r="Q316">
        <v>6609.09464530677</v>
      </c>
      <c r="R316">
        <v>17514.100810062901</v>
      </c>
      <c r="S316">
        <v>52.7</v>
      </c>
      <c r="T316">
        <v>0.35</v>
      </c>
      <c r="U316">
        <v>-0.5</v>
      </c>
    </row>
    <row r="317" spans="1:21" x14ac:dyDescent="0.25">
      <c r="A317" t="s">
        <v>67</v>
      </c>
      <c r="B317" t="s">
        <v>68</v>
      </c>
      <c r="C317">
        <v>6</v>
      </c>
      <c r="D317">
        <v>1</v>
      </c>
      <c r="E317">
        <v>6</v>
      </c>
      <c r="F317">
        <v>498.6</v>
      </c>
      <c r="G317">
        <v>1321.3</v>
      </c>
      <c r="H317">
        <v>207.46745999999999</v>
      </c>
      <c r="I317">
        <v>0.20746745999999999</v>
      </c>
      <c r="J317">
        <v>2.07467E-4</v>
      </c>
      <c r="K317">
        <v>0.45738691199999998</v>
      </c>
      <c r="L317">
        <v>1.29E-2</v>
      </c>
      <c r="M317">
        <v>3.05</v>
      </c>
      <c r="N317">
        <v>23.940571739999999</v>
      </c>
      <c r="O317">
        <v>35.4537511707424</v>
      </c>
      <c r="P317">
        <v>687.16241425896703</v>
      </c>
      <c r="Q317">
        <v>1651.43574683722</v>
      </c>
      <c r="R317">
        <v>4376.3047291186303</v>
      </c>
      <c r="S317">
        <v>40.6</v>
      </c>
      <c r="T317">
        <v>0.27</v>
      </c>
      <c r="U317">
        <v>-1.65</v>
      </c>
    </row>
    <row r="318" spans="1:21" x14ac:dyDescent="0.25">
      <c r="A318" t="s">
        <v>69</v>
      </c>
      <c r="B318" t="s">
        <v>70</v>
      </c>
      <c r="C318">
        <v>6</v>
      </c>
      <c r="D318">
        <v>1</v>
      </c>
      <c r="E318">
        <v>6</v>
      </c>
      <c r="F318">
        <v>283.32131700000002</v>
      </c>
      <c r="G318">
        <v>750.80149010000002</v>
      </c>
      <c r="H318">
        <v>117.89</v>
      </c>
      <c r="I318">
        <v>0.11788999999999999</v>
      </c>
      <c r="J318">
        <v>1.1789E-4</v>
      </c>
      <c r="K318">
        <v>0.25990265200000001</v>
      </c>
      <c r="L318">
        <v>0.01</v>
      </c>
      <c r="M318">
        <v>2.9</v>
      </c>
      <c r="N318">
        <v>25.348809930000002</v>
      </c>
      <c r="O318">
        <v>28.874369063771599</v>
      </c>
      <c r="P318">
        <v>171.98329262698999</v>
      </c>
      <c r="Q318">
        <v>413.32202025231902</v>
      </c>
      <c r="R318">
        <v>1095.3033536686501</v>
      </c>
      <c r="S318">
        <v>37.700000000000003</v>
      </c>
      <c r="T318">
        <v>0.24199999999999999</v>
      </c>
      <c r="U318">
        <v>0</v>
      </c>
    </row>
    <row r="319" spans="1:21" x14ac:dyDescent="0.25">
      <c r="A319" s="2" t="s">
        <v>71</v>
      </c>
      <c r="B319" t="s">
        <v>72</v>
      </c>
      <c r="C319">
        <v>6</v>
      </c>
      <c r="D319">
        <v>1</v>
      </c>
      <c r="E319">
        <v>6</v>
      </c>
      <c r="F319">
        <v>5.1069454460000001</v>
      </c>
      <c r="G319">
        <v>13.53340543</v>
      </c>
      <c r="H319">
        <v>2.1250000000806</v>
      </c>
      <c r="I319">
        <v>2.1250000000806002E-3</v>
      </c>
      <c r="J319">
        <v>2.1250000000805998E-6</v>
      </c>
      <c r="K319">
        <v>4.68481750017769E-3</v>
      </c>
      <c r="L319" s="3">
        <v>1.0999999999999999E-2</v>
      </c>
      <c r="M319" s="3">
        <v>3.01</v>
      </c>
      <c r="N319">
        <v>5.7472121087410004</v>
      </c>
      <c r="O319" s="2">
        <v>8.0138782197884204</v>
      </c>
      <c r="P319" s="2">
        <v>5.7804191102110698</v>
      </c>
      <c r="Q319" s="2">
        <v>13.8918988469384</v>
      </c>
      <c r="R319" s="2">
        <v>36.813531944386803</v>
      </c>
      <c r="S319">
        <v>9</v>
      </c>
      <c r="T319">
        <v>0.32</v>
      </c>
      <c r="U319">
        <v>-0.91</v>
      </c>
    </row>
    <row r="320" spans="1:21" x14ac:dyDescent="0.25">
      <c r="A320" s="2" t="s">
        <v>49</v>
      </c>
      <c r="B320" t="s">
        <v>50</v>
      </c>
      <c r="C320">
        <v>6</v>
      </c>
      <c r="D320">
        <v>1</v>
      </c>
      <c r="E320">
        <v>6</v>
      </c>
      <c r="F320">
        <v>1976.4359529999999</v>
      </c>
      <c r="G320">
        <v>5237.5552749999997</v>
      </c>
      <c r="H320">
        <v>822.3950000433</v>
      </c>
      <c r="I320">
        <v>0.82239500004330002</v>
      </c>
      <c r="J320">
        <v>8.2239500004329996E-4</v>
      </c>
      <c r="K320">
        <v>1.81306846499546</v>
      </c>
      <c r="L320" s="3">
        <v>1.2E-2</v>
      </c>
      <c r="M320" s="3">
        <v>3.1</v>
      </c>
      <c r="N320">
        <v>36.305087581617997</v>
      </c>
      <c r="O320" s="2">
        <v>40.223253846928102</v>
      </c>
      <c r="P320" s="2">
        <v>1129.9534835971399</v>
      </c>
      <c r="Q320" s="2">
        <v>2715.58155154324</v>
      </c>
      <c r="R320" s="2">
        <v>7196.2911115895804</v>
      </c>
      <c r="S320" s="2">
        <v>54.3</v>
      </c>
      <c r="T320" s="2">
        <v>0.22500000000000001</v>
      </c>
      <c r="U320" s="2">
        <v>0</v>
      </c>
    </row>
    <row r="321" spans="1:21" x14ac:dyDescent="0.25">
      <c r="A321" t="s">
        <v>55</v>
      </c>
      <c r="B321" t="s">
        <v>56</v>
      </c>
      <c r="C321">
        <v>6</v>
      </c>
      <c r="D321">
        <v>1</v>
      </c>
      <c r="E321">
        <v>6</v>
      </c>
      <c r="F321">
        <v>4036.7700070000001</v>
      </c>
      <c r="G321">
        <v>10697.44052</v>
      </c>
      <c r="H321">
        <v>1679.7</v>
      </c>
      <c r="I321">
        <v>1.6797</v>
      </c>
      <c r="J321">
        <v>1.6796999999999999E-3</v>
      </c>
      <c r="K321">
        <v>3.703100214</v>
      </c>
      <c r="L321">
        <v>1.2999999999999999E-2</v>
      </c>
      <c r="M321">
        <v>3</v>
      </c>
      <c r="N321">
        <v>50.554845790000002</v>
      </c>
      <c r="O321">
        <v>65.812899452904901</v>
      </c>
      <c r="P321">
        <v>3705.7526325367598</v>
      </c>
      <c r="Q321">
        <v>8905.9183670674392</v>
      </c>
      <c r="R321">
        <v>23600.683672728701</v>
      </c>
      <c r="S321">
        <v>152</v>
      </c>
      <c r="T321">
        <v>9.6000000000000002E-2</v>
      </c>
      <c r="U321">
        <v>0.09</v>
      </c>
    </row>
    <row r="322" spans="1:21" x14ac:dyDescent="0.25">
      <c r="A322" t="s">
        <v>75</v>
      </c>
      <c r="B322" t="s">
        <v>76</v>
      </c>
      <c r="C322">
        <v>6</v>
      </c>
      <c r="D322">
        <v>2</v>
      </c>
      <c r="E322">
        <v>12</v>
      </c>
      <c r="F322">
        <v>1976.4359529999999</v>
      </c>
      <c r="G322">
        <v>5237.5552749999997</v>
      </c>
      <c r="H322">
        <v>822.39499999999998</v>
      </c>
      <c r="I322">
        <v>0.82239499999999999</v>
      </c>
      <c r="J322">
        <v>8.2239499999999996E-4</v>
      </c>
      <c r="K322">
        <v>1.813068465</v>
      </c>
      <c r="L322">
        <v>2.5000000000000001E-3</v>
      </c>
      <c r="M322">
        <v>3.1</v>
      </c>
      <c r="N322">
        <v>60.217500739999998</v>
      </c>
      <c r="O322">
        <v>88.214860544383896</v>
      </c>
      <c r="P322">
        <v>2686.0830699582202</v>
      </c>
      <c r="Q322">
        <v>6455.3786829084802</v>
      </c>
      <c r="R322">
        <v>17106.753509707502</v>
      </c>
      <c r="S322">
        <v>122</v>
      </c>
      <c r="T322">
        <v>0.107</v>
      </c>
      <c r="U322">
        <v>0</v>
      </c>
    </row>
    <row r="323" spans="1:21" x14ac:dyDescent="0.25">
      <c r="A323" t="s">
        <v>73</v>
      </c>
      <c r="B323" t="s">
        <v>74</v>
      </c>
      <c r="C323">
        <v>6</v>
      </c>
      <c r="D323">
        <v>2</v>
      </c>
      <c r="E323">
        <v>12</v>
      </c>
      <c r="F323">
        <v>1976.4359529999999</v>
      </c>
      <c r="G323">
        <v>5237.5552749999997</v>
      </c>
      <c r="H323">
        <v>822.39499999999998</v>
      </c>
      <c r="I323">
        <v>0.82239499999999999</v>
      </c>
      <c r="J323">
        <v>8.2239499999999996E-4</v>
      </c>
      <c r="K323">
        <v>1.813068465</v>
      </c>
      <c r="L323">
        <v>1.4E-2</v>
      </c>
      <c r="M323">
        <v>2.8</v>
      </c>
      <c r="N323">
        <v>50.489061130000003</v>
      </c>
      <c r="O323">
        <v>42.864502201266902</v>
      </c>
      <c r="P323">
        <v>519.99819037492</v>
      </c>
      <c r="Q323">
        <v>1249.69524242951</v>
      </c>
      <c r="R323">
        <v>3311.6923924382099</v>
      </c>
      <c r="S323">
        <v>43</v>
      </c>
      <c r="T323">
        <v>0.48</v>
      </c>
      <c r="U323">
        <v>0</v>
      </c>
    </row>
    <row r="324" spans="1:21" x14ac:dyDescent="0.25">
      <c r="A324" s="2" t="s">
        <v>51</v>
      </c>
      <c r="B324" t="s">
        <v>52</v>
      </c>
      <c r="C324">
        <v>6</v>
      </c>
      <c r="D324">
        <v>1</v>
      </c>
      <c r="E324">
        <v>6</v>
      </c>
      <c r="F324">
        <v>2919.850997</v>
      </c>
      <c r="G324">
        <v>7737.6051429999998</v>
      </c>
      <c r="H324">
        <v>1214.9499998517001</v>
      </c>
      <c r="I324">
        <v>1.2149499998516999</v>
      </c>
      <c r="J324">
        <v>1.2149499998517E-3</v>
      </c>
      <c r="K324">
        <v>2.67850306867305</v>
      </c>
      <c r="L324" s="3">
        <v>1.24E-2</v>
      </c>
      <c r="M324" s="3">
        <v>3.2</v>
      </c>
      <c r="N324">
        <v>36.285258805695399</v>
      </c>
      <c r="O324" s="2">
        <v>14.841276350698701</v>
      </c>
      <c r="P324" s="2">
        <v>69.523190031244795</v>
      </c>
      <c r="Q324" s="2">
        <v>167.08288880376099</v>
      </c>
      <c r="R324" s="2">
        <v>442.76965532996599</v>
      </c>
      <c r="S324">
        <v>20.9</v>
      </c>
      <c r="T324">
        <v>0.19500000000000001</v>
      </c>
      <c r="U324">
        <v>-0.35</v>
      </c>
    </row>
    <row r="325" spans="1:21" x14ac:dyDescent="0.25">
      <c r="A325" t="s">
        <v>85</v>
      </c>
      <c r="B325" t="s">
        <v>86</v>
      </c>
      <c r="C325">
        <v>6</v>
      </c>
      <c r="D325">
        <v>7</v>
      </c>
      <c r="E325">
        <v>42</v>
      </c>
      <c r="F325">
        <v>51223.1927</v>
      </c>
      <c r="G325">
        <v>135742.56099999999</v>
      </c>
      <c r="H325">
        <v>21313.97048</v>
      </c>
      <c r="I325">
        <v>21.313970479999998</v>
      </c>
      <c r="J325">
        <v>2.1313970000000002E-2</v>
      </c>
      <c r="K325">
        <v>46.989205609999999</v>
      </c>
      <c r="L325">
        <v>5.2399999999999999E-3</v>
      </c>
      <c r="M325">
        <v>3.141</v>
      </c>
      <c r="N325">
        <v>127.1197449</v>
      </c>
      <c r="O325" s="2">
        <v>307.26745245768899</v>
      </c>
      <c r="P325" s="2">
        <v>340895.13319316501</v>
      </c>
      <c r="Q325" s="2">
        <v>819262.51668628899</v>
      </c>
      <c r="R325" s="2">
        <v>2171045.6692186701</v>
      </c>
      <c r="S325">
        <v>309.24444444444401</v>
      </c>
      <c r="T325">
        <v>0.13655555555555601</v>
      </c>
      <c r="U325">
        <v>5</v>
      </c>
    </row>
    <row r="326" spans="1:21" x14ac:dyDescent="0.25">
      <c r="A326" t="s">
        <v>77</v>
      </c>
      <c r="B326" t="s">
        <v>78</v>
      </c>
      <c r="C326">
        <v>6</v>
      </c>
      <c r="D326">
        <v>3</v>
      </c>
      <c r="E326">
        <v>18</v>
      </c>
      <c r="F326">
        <v>179314.69320000001</v>
      </c>
      <c r="G326">
        <v>475183.93689999997</v>
      </c>
      <c r="H326">
        <v>74612.843840000001</v>
      </c>
      <c r="I326">
        <v>74.612843839999996</v>
      </c>
      <c r="J326">
        <v>7.4612843999999998E-2</v>
      </c>
      <c r="K326">
        <v>164.4929678</v>
      </c>
      <c r="L326">
        <v>3.5000000000000003E-2</v>
      </c>
      <c r="M326">
        <v>2.9</v>
      </c>
      <c r="N326">
        <v>152.16895260000001</v>
      </c>
      <c r="O326" s="2">
        <v>208.38128053296001</v>
      </c>
      <c r="P326" s="2">
        <v>185677.073127838</v>
      </c>
      <c r="Q326" s="2">
        <v>446231.85082393099</v>
      </c>
      <c r="R326" s="2">
        <v>1182514.40468342</v>
      </c>
      <c r="S326">
        <v>208.40700000000001</v>
      </c>
      <c r="T326">
        <v>0.5</v>
      </c>
      <c r="U326">
        <v>0</v>
      </c>
    </row>
    <row r="327" spans="1:21" x14ac:dyDescent="0.25">
      <c r="A327" t="s">
        <v>79</v>
      </c>
      <c r="B327" t="s">
        <v>80</v>
      </c>
      <c r="C327">
        <v>6</v>
      </c>
      <c r="D327">
        <v>2</v>
      </c>
      <c r="E327">
        <v>12</v>
      </c>
      <c r="F327">
        <v>2919.850997</v>
      </c>
      <c r="G327">
        <v>7737.6051429999998</v>
      </c>
      <c r="H327">
        <v>1214.95</v>
      </c>
      <c r="I327">
        <v>1.21495</v>
      </c>
      <c r="J327">
        <v>1.21495E-3</v>
      </c>
      <c r="K327">
        <v>2.678503069</v>
      </c>
      <c r="L327">
        <v>3.3999999999999998E-3</v>
      </c>
      <c r="M327">
        <v>3.2850000000000001</v>
      </c>
      <c r="N327">
        <v>36.285258810000002</v>
      </c>
      <c r="O327">
        <v>52.111280218382298</v>
      </c>
      <c r="P327">
        <v>3869.0403727461699</v>
      </c>
      <c r="Q327">
        <v>9298.3426405819901</v>
      </c>
      <c r="R327">
        <v>24640.607997542302</v>
      </c>
      <c r="S327">
        <v>59.9</v>
      </c>
      <c r="T327">
        <v>0.17</v>
      </c>
      <c r="U327">
        <v>0</v>
      </c>
    </row>
    <row r="328" spans="1:21" x14ac:dyDescent="0.25">
      <c r="A328" t="s">
        <v>81</v>
      </c>
      <c r="B328" t="s">
        <v>82</v>
      </c>
      <c r="C328">
        <v>6</v>
      </c>
      <c r="D328">
        <v>2</v>
      </c>
      <c r="E328">
        <v>12</v>
      </c>
      <c r="F328">
        <v>1976.4359529999999</v>
      </c>
      <c r="G328">
        <v>5237.5552749999997</v>
      </c>
      <c r="H328">
        <v>822.39499999999998</v>
      </c>
      <c r="I328">
        <v>0.82239499999999999</v>
      </c>
      <c r="J328">
        <v>8.2239499999999996E-4</v>
      </c>
      <c r="K328">
        <v>1.813068465</v>
      </c>
      <c r="L328">
        <v>1.4999999999999999E-2</v>
      </c>
      <c r="M328">
        <v>3</v>
      </c>
      <c r="N328">
        <v>37.989455370000002</v>
      </c>
      <c r="O328">
        <v>92.216956646886899</v>
      </c>
      <c r="P328">
        <v>11763.149471421801</v>
      </c>
      <c r="Q328">
        <v>28270.0059394899</v>
      </c>
      <c r="R328">
        <v>74915.515739648297</v>
      </c>
      <c r="S328">
        <v>106</v>
      </c>
      <c r="T328">
        <v>0.17</v>
      </c>
      <c r="U328">
        <v>0</v>
      </c>
    </row>
    <row r="329" spans="1:21" x14ac:dyDescent="0.25">
      <c r="A329" t="s">
        <v>83</v>
      </c>
      <c r="B329" t="s">
        <v>84</v>
      </c>
      <c r="C329">
        <v>6</v>
      </c>
      <c r="D329">
        <v>7</v>
      </c>
      <c r="E329">
        <v>42</v>
      </c>
      <c r="F329">
        <v>51223.1927</v>
      </c>
      <c r="G329">
        <v>135742.56099999999</v>
      </c>
      <c r="H329">
        <v>21313.97048</v>
      </c>
      <c r="I329">
        <v>21.313970479999998</v>
      </c>
      <c r="J329">
        <v>2.1313970000000002E-2</v>
      </c>
      <c r="K329">
        <v>46.989205609999999</v>
      </c>
      <c r="L329">
        <v>5.4000000000000003E-3</v>
      </c>
      <c r="M329">
        <v>3</v>
      </c>
      <c r="N329">
        <v>158.0363049</v>
      </c>
      <c r="O329">
        <v>277.85575050972898</v>
      </c>
      <c r="P329">
        <v>115838.234017101</v>
      </c>
      <c r="Q329">
        <v>278390.37254770799</v>
      </c>
      <c r="R329">
        <v>737734.48725142505</v>
      </c>
      <c r="S329">
        <v>280</v>
      </c>
      <c r="T329">
        <v>0.11600000000000001</v>
      </c>
      <c r="U329">
        <v>0</v>
      </c>
    </row>
    <row r="330" spans="1:21" x14ac:dyDescent="0.25">
      <c r="A330" t="s">
        <v>91</v>
      </c>
      <c r="B330" t="s">
        <v>92</v>
      </c>
      <c r="C330">
        <v>6</v>
      </c>
      <c r="D330">
        <v>2</v>
      </c>
      <c r="E330">
        <v>12</v>
      </c>
      <c r="F330">
        <v>1976.4359529999999</v>
      </c>
      <c r="G330">
        <v>5237.5552749999997</v>
      </c>
      <c r="H330">
        <v>822.39499999999998</v>
      </c>
      <c r="I330">
        <v>0.82239499999999999</v>
      </c>
      <c r="J330">
        <v>8.2239499999999996E-4</v>
      </c>
      <c r="K330">
        <v>1.813068465</v>
      </c>
      <c r="L330">
        <v>1.2999999999999999E-2</v>
      </c>
      <c r="M330">
        <v>3</v>
      </c>
      <c r="N330">
        <v>39.845477559999999</v>
      </c>
      <c r="O330">
        <v>54.0424907557247</v>
      </c>
      <c r="P330">
        <v>2051.8680220091901</v>
      </c>
      <c r="Q330">
        <v>4931.1896707743199</v>
      </c>
      <c r="R330">
        <v>13067.652627551901</v>
      </c>
      <c r="S330">
        <v>60.2</v>
      </c>
      <c r="T330">
        <v>0.19</v>
      </c>
      <c r="U330">
        <v>0</v>
      </c>
    </row>
    <row r="331" spans="1:21" x14ac:dyDescent="0.25">
      <c r="A331" t="s">
        <v>87</v>
      </c>
      <c r="B331" t="s">
        <v>88</v>
      </c>
      <c r="C331">
        <v>6</v>
      </c>
      <c r="D331">
        <v>2</v>
      </c>
      <c r="E331">
        <v>12</v>
      </c>
      <c r="F331">
        <v>1976.4359529999999</v>
      </c>
      <c r="G331">
        <v>5237.5552749999997</v>
      </c>
      <c r="H331">
        <v>822.39499999999998</v>
      </c>
      <c r="I331">
        <v>0.82239499999999999</v>
      </c>
      <c r="J331">
        <v>8.2239499999999996E-4</v>
      </c>
      <c r="K331">
        <v>1.813068465</v>
      </c>
      <c r="L331">
        <v>6.0000000000000001E-3</v>
      </c>
      <c r="M331">
        <v>3.1</v>
      </c>
      <c r="N331">
        <v>45.401890719999997</v>
      </c>
      <c r="O331">
        <v>28.6411666449706</v>
      </c>
      <c r="P331">
        <v>197.16164515638499</v>
      </c>
      <c r="Q331">
        <v>473.832360385448</v>
      </c>
      <c r="R331">
        <v>1255.65575502144</v>
      </c>
      <c r="S331">
        <v>31.4</v>
      </c>
      <c r="T331">
        <v>0.19</v>
      </c>
      <c r="U331">
        <v>-0.8</v>
      </c>
    </row>
    <row r="332" spans="1:21" x14ac:dyDescent="0.25">
      <c r="A332" t="s">
        <v>93</v>
      </c>
      <c r="B332" t="s">
        <v>94</v>
      </c>
      <c r="C332">
        <v>6</v>
      </c>
      <c r="D332">
        <v>9</v>
      </c>
      <c r="E332">
        <v>54</v>
      </c>
      <c r="F332">
        <v>1772528841</v>
      </c>
      <c r="G332">
        <v>4697201430</v>
      </c>
      <c r="H332">
        <v>737549250.70000005</v>
      </c>
      <c r="I332">
        <v>737549.25069999998</v>
      </c>
      <c r="J332">
        <v>737.54925070000002</v>
      </c>
      <c r="K332">
        <v>1626015.8289999999</v>
      </c>
      <c r="L332" s="2">
        <v>1.7000000000000001E-2</v>
      </c>
      <c r="M332">
        <v>3</v>
      </c>
      <c r="N332">
        <v>1544.971041</v>
      </c>
      <c r="O332" s="2">
        <v>1584.9578270846901</v>
      </c>
      <c r="P332" s="2">
        <v>67686499.428307399</v>
      </c>
      <c r="Q332" s="2">
        <v>162668828.23433599</v>
      </c>
      <c r="R332" s="2">
        <v>431072394.82099098</v>
      </c>
      <c r="S332">
        <v>1584.96</v>
      </c>
      <c r="T332" s="2">
        <v>0.25</v>
      </c>
      <c r="U332">
        <v>0</v>
      </c>
    </row>
    <row r="333" spans="1:21" x14ac:dyDescent="0.25">
      <c r="A333" t="s">
        <v>109</v>
      </c>
      <c r="B333" t="s">
        <v>110</v>
      </c>
      <c r="C333">
        <v>6</v>
      </c>
      <c r="D333">
        <v>5</v>
      </c>
      <c r="E333">
        <v>30</v>
      </c>
      <c r="F333">
        <v>7359.7297799999997</v>
      </c>
      <c r="G333">
        <v>19503.283920000002</v>
      </c>
      <c r="H333">
        <v>3062.3835610000001</v>
      </c>
      <c r="I333">
        <v>3.0623835609999999</v>
      </c>
      <c r="J333">
        <v>3.062384E-3</v>
      </c>
      <c r="K333">
        <v>6.7513920470000004</v>
      </c>
      <c r="L333">
        <v>4.3E-3</v>
      </c>
      <c r="M333">
        <v>3.1</v>
      </c>
      <c r="N333">
        <v>77.256071860000006</v>
      </c>
      <c r="O333">
        <v>151.36354730010001</v>
      </c>
      <c r="P333">
        <v>24633.973887026499</v>
      </c>
      <c r="Q333">
        <v>59202.052119746499</v>
      </c>
      <c r="R333">
        <v>156885.43811732801</v>
      </c>
      <c r="S333">
        <v>186</v>
      </c>
      <c r="T333">
        <v>4.5999999999999999E-2</v>
      </c>
      <c r="U333">
        <v>-6.54</v>
      </c>
    </row>
    <row r="334" spans="1:21" x14ac:dyDescent="0.25">
      <c r="A334" t="s">
        <v>99</v>
      </c>
      <c r="B334" t="s">
        <v>100</v>
      </c>
      <c r="C334">
        <v>6</v>
      </c>
      <c r="D334">
        <v>2</v>
      </c>
      <c r="E334">
        <v>12</v>
      </c>
      <c r="F334">
        <v>1976.4359529999999</v>
      </c>
      <c r="G334">
        <v>5237.5552749999997</v>
      </c>
      <c r="H334">
        <v>822.39499999999998</v>
      </c>
      <c r="I334">
        <v>0.82239499999999999</v>
      </c>
      <c r="J334">
        <v>8.2239499999999996E-4</v>
      </c>
      <c r="K334">
        <v>1.813068465</v>
      </c>
      <c r="L334">
        <v>1.4999999999999999E-2</v>
      </c>
      <c r="M334">
        <v>3.1</v>
      </c>
      <c r="N334">
        <v>33.783620839999998</v>
      </c>
      <c r="O334">
        <v>36.886782658754697</v>
      </c>
      <c r="P334">
        <v>1079.9177194327999</v>
      </c>
      <c r="Q334">
        <v>2595.3321784013401</v>
      </c>
      <c r="R334">
        <v>6877.6302727635502</v>
      </c>
      <c r="S334">
        <v>42.4</v>
      </c>
      <c r="T334">
        <v>0.17</v>
      </c>
      <c r="U334">
        <v>0</v>
      </c>
    </row>
    <row r="335" spans="1:21" x14ac:dyDescent="0.25">
      <c r="A335" t="s">
        <v>97</v>
      </c>
      <c r="B335" t="s">
        <v>98</v>
      </c>
      <c r="C335">
        <v>6</v>
      </c>
      <c r="D335">
        <v>2</v>
      </c>
      <c r="E335">
        <v>12</v>
      </c>
      <c r="F335">
        <v>27182.585849999999</v>
      </c>
      <c r="G335">
        <v>72033.852509999997</v>
      </c>
      <c r="H335">
        <v>11310.67397</v>
      </c>
      <c r="I335">
        <v>11.31067397</v>
      </c>
      <c r="J335">
        <v>1.1310674E-2</v>
      </c>
      <c r="K335">
        <v>24.935738050000001</v>
      </c>
      <c r="L335" s="2">
        <v>6.5000000000000002E-2</v>
      </c>
      <c r="M335">
        <v>3</v>
      </c>
      <c r="N335">
        <v>82.696315999999996</v>
      </c>
      <c r="O335">
        <v>23.5970875286236</v>
      </c>
      <c r="P335">
        <v>854.06036367353499</v>
      </c>
      <c r="Q335">
        <v>2052.5363222146998</v>
      </c>
      <c r="R335">
        <v>5439.22125386895</v>
      </c>
      <c r="S335">
        <v>23.6</v>
      </c>
      <c r="T335">
        <v>0.75</v>
      </c>
      <c r="U335">
        <v>0</v>
      </c>
    </row>
    <row r="336" spans="1:21" x14ac:dyDescent="0.25">
      <c r="A336" s="2" t="s">
        <v>47</v>
      </c>
      <c r="B336" t="s">
        <v>48</v>
      </c>
      <c r="C336">
        <v>6</v>
      </c>
      <c r="D336">
        <v>1</v>
      </c>
      <c r="E336">
        <v>6</v>
      </c>
      <c r="F336">
        <v>283.32131700000002</v>
      </c>
      <c r="G336">
        <v>750.80149010000002</v>
      </c>
      <c r="H336">
        <v>117.8900000037</v>
      </c>
      <c r="I336">
        <v>0.11789000000369999</v>
      </c>
      <c r="J336">
        <v>1.178900000037E-4</v>
      </c>
      <c r="K336">
        <v>0.25990265180815703</v>
      </c>
      <c r="L336" s="3">
        <v>1.23E-2</v>
      </c>
      <c r="M336" s="3">
        <v>3.2</v>
      </c>
      <c r="N336">
        <v>17.548548692677901</v>
      </c>
      <c r="O336" s="2">
        <v>38.033052888167802</v>
      </c>
      <c r="P336" s="2">
        <v>1400.9444367063199</v>
      </c>
      <c r="Q336" s="2">
        <v>3366.8455580541199</v>
      </c>
      <c r="R336" s="2">
        <v>8922.1407288434293</v>
      </c>
      <c r="S336" s="2">
        <v>39.200000000000003</v>
      </c>
      <c r="T336" s="2">
        <v>0.58571428571428596</v>
      </c>
      <c r="U336" s="2">
        <v>0</v>
      </c>
    </row>
    <row r="337" spans="1:21" x14ac:dyDescent="0.25">
      <c r="A337" t="s">
        <v>103</v>
      </c>
      <c r="B337" t="s">
        <v>104</v>
      </c>
      <c r="C337">
        <v>6</v>
      </c>
      <c r="D337">
        <v>1</v>
      </c>
      <c r="E337">
        <v>6</v>
      </c>
      <c r="F337">
        <v>1622.4465270000001</v>
      </c>
      <c r="G337">
        <v>4299.4832969999998</v>
      </c>
      <c r="H337">
        <v>675.09999989999994</v>
      </c>
      <c r="I337">
        <v>0.67510000000000003</v>
      </c>
      <c r="J337">
        <v>6.7509999999999998E-4</v>
      </c>
      <c r="K337">
        <v>1.488338962</v>
      </c>
      <c r="L337">
        <v>1.2999999999999999E-2</v>
      </c>
      <c r="M337">
        <v>2.8</v>
      </c>
      <c r="N337">
        <v>48.314809320000002</v>
      </c>
      <c r="O337">
        <v>43.190452622820999</v>
      </c>
      <c r="P337">
        <v>493.20681311952802</v>
      </c>
      <c r="Q337">
        <v>1185.30837087125</v>
      </c>
      <c r="R337">
        <v>3141.0671828088198</v>
      </c>
      <c r="S337">
        <v>65.400000000000006</v>
      </c>
      <c r="T337">
        <v>0.18</v>
      </c>
      <c r="U337">
        <v>0</v>
      </c>
    </row>
    <row r="338" spans="1:21" x14ac:dyDescent="0.25">
      <c r="A338" s="2" t="s">
        <v>105</v>
      </c>
      <c r="B338" t="s">
        <v>106</v>
      </c>
      <c r="C338">
        <v>6</v>
      </c>
      <c r="D338">
        <v>3</v>
      </c>
      <c r="E338">
        <v>18</v>
      </c>
      <c r="F338">
        <v>9000</v>
      </c>
      <c r="G338">
        <v>23850</v>
      </c>
      <c r="H338">
        <v>3744.9</v>
      </c>
      <c r="I338">
        <v>3.7448999999999999</v>
      </c>
      <c r="J338">
        <v>3.7448999999999998E-3</v>
      </c>
      <c r="K338">
        <v>8.2537596000000004</v>
      </c>
      <c r="L338" s="3">
        <v>1.2699999999999999E-2</v>
      </c>
      <c r="M338" s="3">
        <v>3.1</v>
      </c>
      <c r="N338">
        <v>58.129805837341102</v>
      </c>
      <c r="O338" s="2">
        <v>103.456497094178</v>
      </c>
      <c r="P338" s="2">
        <v>22364.171135055101</v>
      </c>
      <c r="Q338" s="2">
        <v>53747.106789365898</v>
      </c>
      <c r="R338" s="2">
        <v>142429.83299182</v>
      </c>
      <c r="S338">
        <v>109.97499999999999</v>
      </c>
      <c r="T338">
        <v>0.14749999999999999</v>
      </c>
      <c r="U338">
        <v>-1.1566666666666701</v>
      </c>
    </row>
    <row r="339" spans="1:21" x14ac:dyDescent="0.25">
      <c r="A339" t="s">
        <v>115</v>
      </c>
      <c r="B339" t="s">
        <v>116</v>
      </c>
      <c r="C339">
        <v>6</v>
      </c>
      <c r="D339">
        <v>7</v>
      </c>
      <c r="E339">
        <v>42</v>
      </c>
      <c r="F339">
        <v>9236055.5449999999</v>
      </c>
      <c r="G339">
        <v>24475547.190000001</v>
      </c>
      <c r="H339">
        <v>3843122.7119999998</v>
      </c>
      <c r="I339">
        <v>3843.1227119999999</v>
      </c>
      <c r="J339">
        <v>3.843122712</v>
      </c>
      <c r="K339">
        <v>8472.6251940000002</v>
      </c>
      <c r="L339" s="2">
        <v>1.4999999999999999E-2</v>
      </c>
      <c r="M339">
        <v>3</v>
      </c>
      <c r="N339">
        <v>727.04520960000002</v>
      </c>
      <c r="O339" s="2">
        <v>271.772516143796</v>
      </c>
      <c r="P339" s="2">
        <v>301097.995777231</v>
      </c>
      <c r="Q339" s="2">
        <v>723619.31212985096</v>
      </c>
      <c r="R339" s="2">
        <v>1917591.1771441</v>
      </c>
      <c r="S339">
        <v>271.77999999999997</v>
      </c>
      <c r="T339">
        <v>0.25</v>
      </c>
      <c r="U339">
        <v>0</v>
      </c>
    </row>
    <row r="340" spans="1:21" x14ac:dyDescent="0.25">
      <c r="A340" t="s">
        <v>107</v>
      </c>
      <c r="B340" t="s">
        <v>108</v>
      </c>
      <c r="C340">
        <v>6</v>
      </c>
      <c r="D340">
        <v>5</v>
      </c>
      <c r="E340">
        <v>30</v>
      </c>
      <c r="F340">
        <v>7359.7297799999997</v>
      </c>
      <c r="G340">
        <v>19503.283920000002</v>
      </c>
      <c r="H340">
        <v>3062.3835610000001</v>
      </c>
      <c r="I340">
        <v>3.0623835609999999</v>
      </c>
      <c r="J340">
        <v>3.062384E-3</v>
      </c>
      <c r="K340">
        <v>6.7513920470000004</v>
      </c>
      <c r="L340">
        <v>3.5999999999999999E-3</v>
      </c>
      <c r="M340">
        <v>3</v>
      </c>
      <c r="N340">
        <v>94.751412889999997</v>
      </c>
      <c r="O340">
        <v>114.863682080684</v>
      </c>
      <c r="P340">
        <v>5455.7027820230496</v>
      </c>
      <c r="Q340">
        <v>13111.5183418002</v>
      </c>
      <c r="R340">
        <v>34745.523605770402</v>
      </c>
      <c r="S340">
        <v>150</v>
      </c>
      <c r="T340">
        <v>4.1000000000000002E-2</v>
      </c>
      <c r="U340">
        <v>-5.4</v>
      </c>
    </row>
    <row r="341" spans="1:21" x14ac:dyDescent="0.25">
      <c r="A341" t="s">
        <v>41</v>
      </c>
      <c r="B341" t="s">
        <v>42</v>
      </c>
      <c r="C341">
        <v>6</v>
      </c>
      <c r="D341">
        <v>4</v>
      </c>
      <c r="E341">
        <v>24</v>
      </c>
      <c r="F341">
        <v>17035.09101</v>
      </c>
      <c r="G341">
        <v>45142.991179999997</v>
      </c>
      <c r="H341">
        <v>7088.3013689999998</v>
      </c>
      <c r="I341">
        <v>7.0883013689999999</v>
      </c>
      <c r="J341">
        <v>7.088301E-3</v>
      </c>
      <c r="K341">
        <v>15.62701096</v>
      </c>
      <c r="L341">
        <v>1.34E-2</v>
      </c>
      <c r="M341">
        <v>3.1</v>
      </c>
      <c r="N341">
        <v>70.189172310000004</v>
      </c>
      <c r="O341">
        <v>87.147549706914603</v>
      </c>
      <c r="P341">
        <v>13864.233325167101</v>
      </c>
      <c r="Q341">
        <v>33319.474465674401</v>
      </c>
      <c r="R341">
        <v>88296.607334037195</v>
      </c>
      <c r="S341">
        <v>91.5</v>
      </c>
      <c r="T341">
        <v>0.12690000000000001</v>
      </c>
      <c r="U341">
        <v>0</v>
      </c>
    </row>
    <row r="342" spans="1:21" x14ac:dyDescent="0.25">
      <c r="A342" t="s">
        <v>111</v>
      </c>
      <c r="B342" t="s">
        <v>112</v>
      </c>
      <c r="C342">
        <v>6</v>
      </c>
      <c r="D342">
        <v>2</v>
      </c>
      <c r="E342">
        <v>12</v>
      </c>
      <c r="F342">
        <v>1976.4359529999999</v>
      </c>
      <c r="G342">
        <v>5237.5552749999997</v>
      </c>
      <c r="H342">
        <v>822.39499999999998</v>
      </c>
      <c r="I342">
        <v>0.82239499999999999</v>
      </c>
      <c r="J342">
        <v>8.2239499999999996E-4</v>
      </c>
      <c r="K342">
        <v>1.813068465</v>
      </c>
      <c r="L342">
        <v>1.2200000000000001E-2</v>
      </c>
      <c r="M342">
        <v>2.9</v>
      </c>
      <c r="N342">
        <v>46.246202820000001</v>
      </c>
      <c r="O342">
        <v>89.414955880966403</v>
      </c>
      <c r="P342">
        <v>5564.7968412451701</v>
      </c>
      <c r="Q342">
        <v>13373.700651875</v>
      </c>
      <c r="R342">
        <v>35440.306727468596</v>
      </c>
      <c r="S342">
        <v>98.7</v>
      </c>
      <c r="T342">
        <v>0.158</v>
      </c>
      <c r="U342">
        <v>-2.96</v>
      </c>
    </row>
    <row r="343" spans="1:21" x14ac:dyDescent="0.25">
      <c r="A343" t="s">
        <v>113</v>
      </c>
      <c r="B343" t="s">
        <v>114</v>
      </c>
      <c r="C343">
        <v>6</v>
      </c>
      <c r="D343">
        <v>2</v>
      </c>
      <c r="E343">
        <v>12</v>
      </c>
      <c r="F343">
        <v>2919.850997</v>
      </c>
      <c r="G343">
        <v>7737.6051429999998</v>
      </c>
      <c r="H343">
        <v>1214.95</v>
      </c>
      <c r="I343">
        <v>1.21495</v>
      </c>
      <c r="J343">
        <v>1.21495E-3</v>
      </c>
      <c r="K343">
        <v>2.678503069</v>
      </c>
      <c r="L343">
        <v>1.2E-2</v>
      </c>
      <c r="M343">
        <v>3.05</v>
      </c>
      <c r="N343">
        <v>43.763018099999996</v>
      </c>
      <c r="O343">
        <v>79.391013054437593</v>
      </c>
      <c r="P343">
        <v>7472.8083505459499</v>
      </c>
      <c r="Q343">
        <v>17959.164505037101</v>
      </c>
      <c r="R343">
        <v>47591.785938348403</v>
      </c>
      <c r="S343">
        <v>85.9</v>
      </c>
      <c r="T343">
        <v>0.215</v>
      </c>
      <c r="U343">
        <v>0</v>
      </c>
    </row>
    <row r="344" spans="1:21" x14ac:dyDescent="0.25">
      <c r="A344" t="s">
        <v>117</v>
      </c>
      <c r="B344" t="s">
        <v>118</v>
      </c>
      <c r="C344">
        <v>6</v>
      </c>
      <c r="D344">
        <v>2</v>
      </c>
      <c r="E344">
        <v>12</v>
      </c>
      <c r="F344">
        <v>1976.4359529999999</v>
      </c>
      <c r="G344">
        <v>5237.5552749999997</v>
      </c>
      <c r="H344">
        <v>822.39499999999998</v>
      </c>
      <c r="I344">
        <v>0.82239499999999999</v>
      </c>
      <c r="J344">
        <v>8.2239499999999996E-4</v>
      </c>
      <c r="K344">
        <v>1.813068465</v>
      </c>
      <c r="L344">
        <v>1.4999999999999999E-2</v>
      </c>
      <c r="M344">
        <v>3</v>
      </c>
      <c r="N344">
        <v>37.989455370000002</v>
      </c>
      <c r="O344">
        <v>51.152583688026802</v>
      </c>
      <c r="P344">
        <v>2007.6776427407499</v>
      </c>
      <c r="Q344">
        <v>4824.9883267021196</v>
      </c>
      <c r="R344">
        <v>12786.219065760601</v>
      </c>
      <c r="S344">
        <v>73.2</v>
      </c>
      <c r="T344">
        <v>0.1</v>
      </c>
      <c r="U344">
        <v>0</v>
      </c>
    </row>
    <row r="345" spans="1:21" x14ac:dyDescent="0.25">
      <c r="A345" t="s">
        <v>123</v>
      </c>
      <c r="B345" t="s">
        <v>124</v>
      </c>
      <c r="C345">
        <v>6</v>
      </c>
      <c r="D345">
        <v>2</v>
      </c>
      <c r="E345">
        <v>12</v>
      </c>
      <c r="F345">
        <v>1976.4359529999999</v>
      </c>
      <c r="G345">
        <v>5237.5552749999997</v>
      </c>
      <c r="H345">
        <v>822.39499999999998</v>
      </c>
      <c r="I345">
        <v>0.82239499999999999</v>
      </c>
      <c r="J345">
        <v>8.2239499999999996E-4</v>
      </c>
      <c r="K345">
        <v>1.813068465</v>
      </c>
      <c r="L345">
        <v>9.4999999999999998E-3</v>
      </c>
      <c r="M345">
        <v>3.1</v>
      </c>
      <c r="N345">
        <v>39.146754289999997</v>
      </c>
      <c r="O345">
        <v>86.998167026862603</v>
      </c>
      <c r="P345">
        <v>9776.9844196191898</v>
      </c>
      <c r="Q345">
        <v>23496.718143761598</v>
      </c>
      <c r="R345">
        <v>62266.303080968202</v>
      </c>
      <c r="S345">
        <v>111</v>
      </c>
      <c r="T345">
        <v>0.13</v>
      </c>
      <c r="U345">
        <v>0.22</v>
      </c>
    </row>
    <row r="346" spans="1:21" x14ac:dyDescent="0.25">
      <c r="A346" t="s">
        <v>121</v>
      </c>
      <c r="B346" t="s">
        <v>122</v>
      </c>
      <c r="C346">
        <v>6</v>
      </c>
      <c r="D346">
        <v>7</v>
      </c>
      <c r="E346">
        <v>42</v>
      </c>
      <c r="F346">
        <v>9236055.5449999999</v>
      </c>
      <c r="G346">
        <v>24475547.190000001</v>
      </c>
      <c r="H346">
        <v>3843122.7119999998</v>
      </c>
      <c r="I346">
        <v>3843.1227119999999</v>
      </c>
      <c r="J346">
        <v>3.843122712</v>
      </c>
      <c r="K346">
        <v>8472.6251940000002</v>
      </c>
      <c r="L346" s="2">
        <v>1E-3</v>
      </c>
      <c r="M346">
        <v>3</v>
      </c>
      <c r="N346">
        <v>727.04520960000002</v>
      </c>
      <c r="O346" s="2">
        <v>2615.68797125725</v>
      </c>
      <c r="P346" s="2">
        <v>17896075.595150799</v>
      </c>
      <c r="Q346" s="2">
        <v>43009073.768687397</v>
      </c>
      <c r="R346" s="2">
        <v>113974045.487022</v>
      </c>
      <c r="S346">
        <v>2615.7600000000002</v>
      </c>
      <c r="T346">
        <v>0.25</v>
      </c>
      <c r="U346">
        <v>0</v>
      </c>
    </row>
    <row r="347" spans="1:21" x14ac:dyDescent="0.25">
      <c r="A347" t="s">
        <v>119</v>
      </c>
      <c r="B347" t="s">
        <v>120</v>
      </c>
      <c r="C347">
        <v>6</v>
      </c>
      <c r="D347">
        <v>3</v>
      </c>
      <c r="E347">
        <v>18</v>
      </c>
      <c r="F347">
        <v>182386.1888</v>
      </c>
      <c r="G347">
        <v>483323.40029999998</v>
      </c>
      <c r="H347">
        <v>75890.893160000007</v>
      </c>
      <c r="I347">
        <v>75.890893160000005</v>
      </c>
      <c r="J347">
        <v>7.5890893000000001E-2</v>
      </c>
      <c r="K347">
        <v>167.31058089999999</v>
      </c>
      <c r="L347">
        <v>2.1399999999999999E-2</v>
      </c>
      <c r="M347">
        <v>2.96</v>
      </c>
      <c r="N347">
        <v>163.21577260000001</v>
      </c>
      <c r="O347" s="2">
        <v>131.05897364559999</v>
      </c>
      <c r="P347" s="2">
        <v>39638.3337957205</v>
      </c>
      <c r="Q347" s="2">
        <v>95261.556827014007</v>
      </c>
      <c r="R347" s="2">
        <v>252443.12559158701</v>
      </c>
      <c r="S347">
        <v>133.76666666666699</v>
      </c>
      <c r="T347">
        <v>0.3</v>
      </c>
      <c r="U347">
        <v>5</v>
      </c>
    </row>
    <row r="348" spans="1:21" x14ac:dyDescent="0.25">
      <c r="A348" t="s">
        <v>89</v>
      </c>
      <c r="B348" t="s">
        <v>90</v>
      </c>
      <c r="C348">
        <v>6</v>
      </c>
      <c r="D348">
        <v>8</v>
      </c>
      <c r="E348">
        <v>48</v>
      </c>
      <c r="F348">
        <v>48000</v>
      </c>
      <c r="G348">
        <v>127000</v>
      </c>
      <c r="H348">
        <v>19972.8</v>
      </c>
      <c r="I348">
        <v>19.972799999999999</v>
      </c>
      <c r="J348">
        <v>1.9972799999999999E-2</v>
      </c>
      <c r="K348">
        <v>44.032434340000002</v>
      </c>
      <c r="L348" s="2">
        <v>0.05</v>
      </c>
      <c r="M348" s="2">
        <v>3.2</v>
      </c>
      <c r="N348">
        <v>170.3228407</v>
      </c>
      <c r="O348">
        <v>114.28748933038101</v>
      </c>
      <c r="P348">
        <v>2985.5618482265199</v>
      </c>
      <c r="Q348">
        <v>7175.1065806933902</v>
      </c>
      <c r="R348">
        <v>19014.032438837501</v>
      </c>
      <c r="S348">
        <v>114.3</v>
      </c>
      <c r="T348">
        <v>0.19</v>
      </c>
      <c r="U348">
        <v>0</v>
      </c>
    </row>
    <row r="349" spans="1:21" x14ac:dyDescent="0.25">
      <c r="A349" t="s">
        <v>125</v>
      </c>
      <c r="B349" t="s">
        <v>126</v>
      </c>
      <c r="C349">
        <v>6</v>
      </c>
      <c r="D349">
        <v>1</v>
      </c>
      <c r="E349">
        <v>6</v>
      </c>
      <c r="F349">
        <v>6412.8815189999996</v>
      </c>
      <c r="G349">
        <v>16994.136030000001</v>
      </c>
      <c r="H349">
        <v>2668.4</v>
      </c>
      <c r="I349">
        <v>2.6684000000000001</v>
      </c>
      <c r="J349">
        <v>2.6684E-3</v>
      </c>
      <c r="K349">
        <v>5.8828080079999996</v>
      </c>
      <c r="L349">
        <v>1.4999999999999999E-2</v>
      </c>
      <c r="M349">
        <v>2.9</v>
      </c>
      <c r="N349">
        <v>64.62490047</v>
      </c>
      <c r="O349">
        <v>61.3616174912124</v>
      </c>
      <c r="P349">
        <v>2296.1062271517799</v>
      </c>
      <c r="Q349">
        <v>5518.1596422777602</v>
      </c>
      <c r="R349">
        <v>14623.1230520361</v>
      </c>
      <c r="S349">
        <v>136</v>
      </c>
      <c r="T349">
        <v>0.1</v>
      </c>
      <c r="U349">
        <v>0</v>
      </c>
    </row>
    <row r="350" spans="1:21" x14ac:dyDescent="0.25">
      <c r="A350" t="s">
        <v>131</v>
      </c>
      <c r="B350" t="s">
        <v>132</v>
      </c>
      <c r="C350">
        <v>6</v>
      </c>
      <c r="D350">
        <v>2</v>
      </c>
      <c r="E350">
        <v>12</v>
      </c>
      <c r="F350">
        <v>2919.850997</v>
      </c>
      <c r="G350">
        <v>7737.6051429999998</v>
      </c>
      <c r="H350">
        <v>1214.95</v>
      </c>
      <c r="I350">
        <v>1.21495</v>
      </c>
      <c r="J350">
        <v>1.21495E-3</v>
      </c>
      <c r="K350">
        <v>2.678503069</v>
      </c>
      <c r="L350">
        <v>1.4E-2</v>
      </c>
      <c r="M350">
        <v>2.9</v>
      </c>
      <c r="N350">
        <v>50.45532687</v>
      </c>
      <c r="O350">
        <v>41.554189534673903</v>
      </c>
      <c r="P350">
        <v>692.00782131257404</v>
      </c>
      <c r="Q350">
        <v>1663.08056071275</v>
      </c>
      <c r="R350">
        <v>4407.1634858887801</v>
      </c>
      <c r="S350">
        <v>45.7</v>
      </c>
      <c r="T350">
        <v>0.2</v>
      </c>
      <c r="U350">
        <v>0</v>
      </c>
    </row>
    <row r="351" spans="1:21" x14ac:dyDescent="0.25">
      <c r="A351" t="s">
        <v>133</v>
      </c>
      <c r="B351" t="s">
        <v>134</v>
      </c>
      <c r="C351">
        <v>6</v>
      </c>
      <c r="D351">
        <v>3</v>
      </c>
      <c r="E351">
        <v>18</v>
      </c>
      <c r="F351">
        <v>9000</v>
      </c>
      <c r="G351">
        <v>23850</v>
      </c>
      <c r="H351">
        <v>3744.9</v>
      </c>
      <c r="I351">
        <v>3.7448999999999999</v>
      </c>
      <c r="J351">
        <v>3.7448999999999998E-3</v>
      </c>
      <c r="K351">
        <v>8.2560814380000007</v>
      </c>
      <c r="L351">
        <v>1.2699999999999999E-2</v>
      </c>
      <c r="M351">
        <v>3.1</v>
      </c>
      <c r="N351">
        <v>58.129805840000003</v>
      </c>
      <c r="O351">
        <v>95.155926742739098</v>
      </c>
      <c r="P351">
        <v>17256.584213301299</v>
      </c>
      <c r="Q351">
        <v>41472.204309784502</v>
      </c>
      <c r="R351">
        <v>109901.34142092901</v>
      </c>
      <c r="S351">
        <v>114</v>
      </c>
      <c r="T351">
        <v>0.1</v>
      </c>
      <c r="U351">
        <v>0</v>
      </c>
    </row>
    <row r="352" spans="1:21" x14ac:dyDescent="0.25">
      <c r="A352" t="s">
        <v>127</v>
      </c>
      <c r="B352" t="s">
        <v>128</v>
      </c>
      <c r="C352">
        <v>6</v>
      </c>
      <c r="D352">
        <v>2</v>
      </c>
      <c r="E352">
        <v>12</v>
      </c>
      <c r="F352">
        <v>2919.850997</v>
      </c>
      <c r="G352">
        <v>7737.6051429999998</v>
      </c>
      <c r="H352">
        <v>1214.95</v>
      </c>
      <c r="I352">
        <v>1.21495</v>
      </c>
      <c r="J352">
        <v>1.21495E-3</v>
      </c>
      <c r="K352">
        <v>2.678503069</v>
      </c>
      <c r="L352">
        <v>1.4E-2</v>
      </c>
      <c r="M352">
        <v>3</v>
      </c>
      <c r="N352">
        <v>44.273459269999996</v>
      </c>
      <c r="O352">
        <v>60.715831029561201</v>
      </c>
      <c r="P352">
        <v>3133.5300703345201</v>
      </c>
      <c r="Q352">
        <v>7530.7139397609299</v>
      </c>
      <c r="R352">
        <v>19956.391940366499</v>
      </c>
      <c r="S352">
        <v>62.2</v>
      </c>
      <c r="T352">
        <v>0.31</v>
      </c>
      <c r="U352">
        <v>-0.05</v>
      </c>
    </row>
    <row r="353" spans="1:21" x14ac:dyDescent="0.25">
      <c r="A353" t="s">
        <v>135</v>
      </c>
      <c r="B353" t="s">
        <v>136</v>
      </c>
      <c r="C353">
        <v>6</v>
      </c>
      <c r="D353">
        <v>2</v>
      </c>
      <c r="E353">
        <v>12</v>
      </c>
      <c r="F353">
        <v>2919.850997</v>
      </c>
      <c r="G353">
        <v>7737.6051429999998</v>
      </c>
      <c r="H353">
        <v>1214.95</v>
      </c>
      <c r="I353">
        <v>1.21495</v>
      </c>
      <c r="J353">
        <v>1.21495E-3</v>
      </c>
      <c r="K353">
        <v>2.678503069</v>
      </c>
      <c r="L353">
        <v>1.2E-2</v>
      </c>
      <c r="M353">
        <v>3</v>
      </c>
      <c r="N353">
        <v>46.607848230000002</v>
      </c>
      <c r="O353">
        <v>42.057765915686602</v>
      </c>
      <c r="P353">
        <v>892.72941441720604</v>
      </c>
      <c r="Q353">
        <v>2145.4684316683602</v>
      </c>
      <c r="R353">
        <v>5685.4913439211596</v>
      </c>
      <c r="S353">
        <v>60.5</v>
      </c>
      <c r="T353">
        <v>9.9000000000000005E-2</v>
      </c>
      <c r="U353">
        <v>0</v>
      </c>
    </row>
    <row r="354" spans="1:21" x14ac:dyDescent="0.25">
      <c r="A354" t="s">
        <v>129</v>
      </c>
      <c r="B354" t="s">
        <v>130</v>
      </c>
      <c r="C354">
        <v>6</v>
      </c>
      <c r="D354">
        <v>2</v>
      </c>
      <c r="E354">
        <v>12</v>
      </c>
      <c r="F354">
        <v>1976.4359529999999</v>
      </c>
      <c r="G354">
        <v>5237.5552749999997</v>
      </c>
      <c r="H354">
        <v>822.39499999999998</v>
      </c>
      <c r="I354">
        <v>0.82239499999999999</v>
      </c>
      <c r="J354">
        <v>8.2239499999999996E-4</v>
      </c>
      <c r="K354">
        <v>1.813068465</v>
      </c>
      <c r="L354">
        <v>1.2500000000000001E-2</v>
      </c>
      <c r="M354">
        <v>2.88</v>
      </c>
      <c r="N354">
        <v>47.095113740000002</v>
      </c>
      <c r="O354">
        <v>63.689263957451402</v>
      </c>
      <c r="P354">
        <v>1961.64653301096</v>
      </c>
      <c r="Q354">
        <v>4714.3632131962504</v>
      </c>
      <c r="R354">
        <v>12493.062514970001</v>
      </c>
      <c r="S354">
        <v>158</v>
      </c>
      <c r="T354">
        <v>4.2999999999999997E-2</v>
      </c>
      <c r="U354">
        <v>0</v>
      </c>
    </row>
    <row r="355" spans="1:21" x14ac:dyDescent="0.25">
      <c r="A355" t="s">
        <v>137</v>
      </c>
      <c r="B355" t="s">
        <v>138</v>
      </c>
      <c r="C355">
        <v>6</v>
      </c>
      <c r="D355">
        <v>1</v>
      </c>
      <c r="E355">
        <v>6</v>
      </c>
      <c r="F355">
        <v>1659.2165339999999</v>
      </c>
      <c r="G355">
        <v>4396.9238160000004</v>
      </c>
      <c r="H355">
        <v>690.39999980000005</v>
      </c>
      <c r="I355">
        <v>0.69040000000000001</v>
      </c>
      <c r="J355">
        <v>6.9039999999999998E-4</v>
      </c>
      <c r="K355">
        <v>1.522069648</v>
      </c>
      <c r="L355">
        <v>1.2500000000000001E-2</v>
      </c>
      <c r="M355">
        <v>2.82</v>
      </c>
      <c r="N355">
        <v>48.042758149999997</v>
      </c>
      <c r="O355">
        <v>43.300566266559798</v>
      </c>
      <c r="P355">
        <v>515.01739410924904</v>
      </c>
      <c r="Q355">
        <v>1237.72505193283</v>
      </c>
      <c r="R355">
        <v>3279.9713876219898</v>
      </c>
      <c r="S355">
        <v>50</v>
      </c>
      <c r="T355">
        <v>0.33500000000000002</v>
      </c>
      <c r="U355">
        <v>0</v>
      </c>
    </row>
    <row r="356" spans="1:21" x14ac:dyDescent="0.25">
      <c r="A356" t="s">
        <v>21</v>
      </c>
      <c r="B356" t="s">
        <v>22</v>
      </c>
      <c r="C356">
        <v>7</v>
      </c>
      <c r="D356">
        <v>1</v>
      </c>
      <c r="E356">
        <v>7</v>
      </c>
      <c r="F356">
        <v>283.32131700000002</v>
      </c>
      <c r="G356">
        <v>750.80149010000002</v>
      </c>
      <c r="H356">
        <v>117.89</v>
      </c>
      <c r="I356">
        <v>0.11788999999999999</v>
      </c>
      <c r="J356">
        <v>1.1789E-4</v>
      </c>
      <c r="K356">
        <v>0.25990265200000001</v>
      </c>
      <c r="L356">
        <v>1.6E-2</v>
      </c>
      <c r="M356">
        <v>3</v>
      </c>
      <c r="N356">
        <v>19.458931759999999</v>
      </c>
      <c r="O356">
        <v>11.405274543948799</v>
      </c>
      <c r="P356">
        <v>23.737622253013601</v>
      </c>
      <c r="Q356">
        <v>57.0478785220227</v>
      </c>
      <c r="R356">
        <v>151.17687808336001</v>
      </c>
      <c r="S356">
        <v>13.8</v>
      </c>
      <c r="T356">
        <v>0.21</v>
      </c>
      <c r="U356">
        <v>-1.34</v>
      </c>
    </row>
    <row r="357" spans="1:21" x14ac:dyDescent="0.25">
      <c r="A357" t="s">
        <v>95</v>
      </c>
      <c r="B357" s="2" t="s">
        <v>96</v>
      </c>
      <c r="C357">
        <v>7</v>
      </c>
      <c r="D357">
        <v>2</v>
      </c>
      <c r="E357">
        <v>14</v>
      </c>
      <c r="F357">
        <v>2275.6669069999998</v>
      </c>
      <c r="G357">
        <v>6030.517304</v>
      </c>
      <c r="H357">
        <v>946.90499999999997</v>
      </c>
      <c r="I357">
        <v>0.946905</v>
      </c>
      <c r="J357">
        <v>9.4690499999999995E-4</v>
      </c>
      <c r="K357">
        <v>2.0875657009999999</v>
      </c>
      <c r="L357">
        <v>0.01</v>
      </c>
      <c r="M357">
        <v>3</v>
      </c>
      <c r="N357">
        <v>41.240527700000001</v>
      </c>
      <c r="O357">
        <v>127.72983148297</v>
      </c>
      <c r="P357">
        <v>28132.659259456599</v>
      </c>
      <c r="Q357">
        <v>67610.332274589397</v>
      </c>
      <c r="R357">
        <v>179167.380527662</v>
      </c>
      <c r="S357">
        <v>136</v>
      </c>
      <c r="T357">
        <v>0.2</v>
      </c>
      <c r="U357">
        <v>0</v>
      </c>
    </row>
    <row r="358" spans="1:21" x14ac:dyDescent="0.25">
      <c r="A358" t="s">
        <v>101</v>
      </c>
      <c r="B358" t="s">
        <v>102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1.2E-2</v>
      </c>
      <c r="M358">
        <v>3.1</v>
      </c>
      <c r="N358">
        <v>37.994242890000002</v>
      </c>
      <c r="O358" s="2">
        <v>89.439639532726702</v>
      </c>
      <c r="P358" s="2">
        <v>13456.260024838401</v>
      </c>
      <c r="Q358" s="2">
        <v>32339.005106557001</v>
      </c>
      <c r="R358" s="2">
        <v>85698.363532375995</v>
      </c>
      <c r="S358">
        <v>150.03333333333299</v>
      </c>
      <c r="T358">
        <v>0.11333333333333299</v>
      </c>
      <c r="U358">
        <v>6</v>
      </c>
    </row>
    <row r="359" spans="1:21" x14ac:dyDescent="0.25">
      <c r="A359" t="s">
        <v>37</v>
      </c>
      <c r="B359" t="s">
        <v>38</v>
      </c>
      <c r="C359">
        <v>7</v>
      </c>
      <c r="D359">
        <v>9</v>
      </c>
      <c r="E359">
        <v>63</v>
      </c>
      <c r="F359">
        <v>1772528859</v>
      </c>
      <c r="G359">
        <v>4697201478</v>
      </c>
      <c r="H359">
        <v>737549258.20000005</v>
      </c>
      <c r="I359">
        <v>737549.25820000004</v>
      </c>
      <c r="J359">
        <v>737.54925820000005</v>
      </c>
      <c r="K359">
        <v>1626015.8459999999</v>
      </c>
      <c r="L359" s="2">
        <v>6.0000000000000001E-3</v>
      </c>
      <c r="M359">
        <v>3</v>
      </c>
      <c r="N359">
        <v>1544.971047</v>
      </c>
      <c r="O359" s="2">
        <v>2097.3599999999601</v>
      </c>
      <c r="P359" s="2">
        <v>55356700.140478201</v>
      </c>
      <c r="Q359" s="2">
        <v>133037010.671661</v>
      </c>
      <c r="R359" s="2">
        <v>352548078.27990198</v>
      </c>
      <c r="S359" s="2">
        <v>2097.36</v>
      </c>
      <c r="T359" s="2">
        <v>0.5</v>
      </c>
      <c r="U359" s="2">
        <v>0</v>
      </c>
    </row>
    <row r="360" spans="1:21" x14ac:dyDescent="0.25">
      <c r="A360" s="2" t="s">
        <v>31</v>
      </c>
      <c r="B360" t="s">
        <v>32</v>
      </c>
      <c r="C360">
        <v>7</v>
      </c>
      <c r="D360">
        <v>1</v>
      </c>
      <c r="E360">
        <v>7</v>
      </c>
      <c r="F360">
        <v>283.32131700000002</v>
      </c>
      <c r="G360">
        <v>750.80149010000002</v>
      </c>
      <c r="H360">
        <v>117.8900000037</v>
      </c>
      <c r="I360">
        <v>0.11789000000369999</v>
      </c>
      <c r="J360">
        <v>1.178900000037E-4</v>
      </c>
      <c r="K360">
        <v>0.25990265180815703</v>
      </c>
      <c r="L360" s="3">
        <v>1.1599999999999999E-2</v>
      </c>
      <c r="M360" s="3">
        <v>3</v>
      </c>
      <c r="N360">
        <v>21.660725206894199</v>
      </c>
      <c r="O360" s="2">
        <v>29.128156358339801</v>
      </c>
      <c r="P360" s="2">
        <v>286.67972607794502</v>
      </c>
      <c r="Q360" s="2">
        <v>688.96833952882605</v>
      </c>
      <c r="R360" s="2">
        <v>1825.7660997513899</v>
      </c>
      <c r="S360" s="2">
        <v>29.1726666666667</v>
      </c>
      <c r="T360" s="2">
        <v>0.92646666666666699</v>
      </c>
      <c r="U360" s="2">
        <v>0</v>
      </c>
    </row>
    <row r="361" spans="1:21" x14ac:dyDescent="0.25">
      <c r="A361" t="s">
        <v>25</v>
      </c>
      <c r="B361" t="s">
        <v>26</v>
      </c>
      <c r="C361">
        <v>7</v>
      </c>
      <c r="D361">
        <v>3</v>
      </c>
      <c r="E361">
        <v>21</v>
      </c>
      <c r="F361">
        <v>186004.12839999999</v>
      </c>
      <c r="G361">
        <v>492910.94010000001</v>
      </c>
      <c r="H361">
        <v>77396.31783</v>
      </c>
      <c r="I361">
        <v>77.396317830000001</v>
      </c>
      <c r="J361">
        <v>7.7396318000000006E-2</v>
      </c>
      <c r="K361">
        <v>170.62947019999999</v>
      </c>
      <c r="L361">
        <v>2.1399999999999999E-2</v>
      </c>
      <c r="M361">
        <v>2.96</v>
      </c>
      <c r="N361">
        <v>164.30247159999999</v>
      </c>
      <c r="O361">
        <v>296.64913918135198</v>
      </c>
      <c r="P361">
        <v>444890.69960510498</v>
      </c>
      <c r="Q361">
        <v>1069191.7798728801</v>
      </c>
      <c r="R361">
        <v>2833358.2166631301</v>
      </c>
      <c r="S361">
        <v>358.7</v>
      </c>
      <c r="T361">
        <v>9.1999999999999998E-2</v>
      </c>
      <c r="U361">
        <v>-1.929</v>
      </c>
    </row>
    <row r="362" spans="1:21" x14ac:dyDescent="0.25">
      <c r="A362" t="s">
        <v>33</v>
      </c>
      <c r="B362" t="s">
        <v>34</v>
      </c>
      <c r="C362">
        <v>7</v>
      </c>
      <c r="D362">
        <v>2</v>
      </c>
      <c r="E362">
        <v>14</v>
      </c>
      <c r="F362">
        <v>2275.6669069999998</v>
      </c>
      <c r="G362">
        <v>6030.517304</v>
      </c>
      <c r="H362">
        <v>946.90499999999997</v>
      </c>
      <c r="I362">
        <v>0.946905</v>
      </c>
      <c r="J362">
        <v>9.4690499999999995E-4</v>
      </c>
      <c r="K362">
        <v>2.0875657009999999</v>
      </c>
      <c r="L362">
        <v>1.4999999999999999E-2</v>
      </c>
      <c r="M362">
        <v>3</v>
      </c>
      <c r="N362">
        <v>39.817291709999999</v>
      </c>
      <c r="O362">
        <v>56.066872880978799</v>
      </c>
      <c r="P362">
        <v>2643.6883748447099</v>
      </c>
      <c r="Q362">
        <v>6353.4928499031703</v>
      </c>
      <c r="R362">
        <v>16836.7560522434</v>
      </c>
      <c r="S362" s="4">
        <v>58.9</v>
      </c>
      <c r="T362" s="4">
        <v>0.22</v>
      </c>
      <c r="U362" s="4">
        <v>0.20699999999999999</v>
      </c>
    </row>
    <row r="363" spans="1:21" x14ac:dyDescent="0.25">
      <c r="A363" t="s">
        <v>29</v>
      </c>
      <c r="B363" t="s">
        <v>30</v>
      </c>
      <c r="C363">
        <v>7</v>
      </c>
      <c r="D363">
        <v>7</v>
      </c>
      <c r="E363" s="2">
        <v>49</v>
      </c>
      <c r="F363">
        <v>57132.702899999997</v>
      </c>
      <c r="G363">
        <v>151401.76300000001</v>
      </c>
      <c r="H363">
        <v>23772.917679999999</v>
      </c>
      <c r="I363">
        <v>23.772917679999999</v>
      </c>
      <c r="J363">
        <v>2.3772918000000001E-2</v>
      </c>
      <c r="K363">
        <v>52.41024977</v>
      </c>
      <c r="L363">
        <v>3.2499999999999999E-3</v>
      </c>
      <c r="M363">
        <v>3</v>
      </c>
      <c r="N363">
        <v>194.11825339999999</v>
      </c>
      <c r="O363">
        <v>281.967323297902</v>
      </c>
      <c r="P363">
        <v>72858.412760649197</v>
      </c>
      <c r="Q363">
        <v>175098.32434667001</v>
      </c>
      <c r="R363">
        <v>464010.55951867398</v>
      </c>
      <c r="S363">
        <v>282</v>
      </c>
      <c r="T363">
        <v>0.18</v>
      </c>
      <c r="U363">
        <v>-1.35</v>
      </c>
    </row>
    <row r="364" spans="1:21" x14ac:dyDescent="0.25">
      <c r="A364" t="s">
        <v>23</v>
      </c>
      <c r="B364" t="s">
        <v>24</v>
      </c>
      <c r="C364">
        <v>7</v>
      </c>
      <c r="D364">
        <v>3</v>
      </c>
      <c r="E364">
        <v>21</v>
      </c>
      <c r="F364">
        <v>186004.12839999999</v>
      </c>
      <c r="G364">
        <v>492910.94010000001</v>
      </c>
      <c r="H364">
        <v>77396.31783</v>
      </c>
      <c r="I364">
        <v>77.396317830000001</v>
      </c>
      <c r="J364">
        <v>7.7396318000000006E-2</v>
      </c>
      <c r="K364">
        <v>170.62947019999999</v>
      </c>
      <c r="L364">
        <v>2.5999999999999999E-2</v>
      </c>
      <c r="M364">
        <v>3</v>
      </c>
      <c r="N364">
        <v>209.0929592</v>
      </c>
      <c r="O364">
        <v>261.17786424094697</v>
      </c>
      <c r="P364">
        <v>143954.68698504401</v>
      </c>
      <c r="Q364">
        <v>345961.75675328902</v>
      </c>
      <c r="R364">
        <v>916798.65539621701</v>
      </c>
      <c r="S364">
        <v>314.89999999999998</v>
      </c>
      <c r="T364">
        <v>8.8999999999999996E-2</v>
      </c>
      <c r="U364">
        <v>-1.1299999999999999</v>
      </c>
    </row>
    <row r="365" spans="1:21" x14ac:dyDescent="0.25">
      <c r="A365" t="s">
        <v>27</v>
      </c>
      <c r="B365" t="s">
        <v>28</v>
      </c>
      <c r="C365">
        <v>7</v>
      </c>
      <c r="D365">
        <v>1</v>
      </c>
      <c r="E365">
        <v>7</v>
      </c>
      <c r="F365">
        <v>11392.21341</v>
      </c>
      <c r="G365">
        <v>30189.365549999999</v>
      </c>
      <c r="H365">
        <v>4740.3</v>
      </c>
      <c r="I365">
        <v>4.7403000000000004</v>
      </c>
      <c r="J365">
        <v>4.7403000000000002E-3</v>
      </c>
      <c r="K365">
        <v>10.450560189999999</v>
      </c>
      <c r="L365">
        <v>1.0999999999999999E-2</v>
      </c>
      <c r="M365">
        <v>2.9</v>
      </c>
      <c r="N365">
        <v>87.680109529999996</v>
      </c>
      <c r="O365">
        <v>73.047789816638499</v>
      </c>
      <c r="P365">
        <v>2791.6001798030702</v>
      </c>
      <c r="Q365">
        <v>6708.9646234152196</v>
      </c>
      <c r="R365">
        <v>17778.756252050302</v>
      </c>
      <c r="S365">
        <v>81.53</v>
      </c>
      <c r="T365">
        <v>0.31</v>
      </c>
      <c r="U365">
        <v>-0.3</v>
      </c>
    </row>
    <row r="366" spans="1:21" x14ac:dyDescent="0.25">
      <c r="A366" t="s">
        <v>35</v>
      </c>
      <c r="B366" t="s">
        <v>36</v>
      </c>
      <c r="C366">
        <v>7</v>
      </c>
      <c r="D366">
        <v>1</v>
      </c>
      <c r="E366">
        <v>7</v>
      </c>
      <c r="F366">
        <v>283.32131700000002</v>
      </c>
      <c r="G366">
        <v>750.80149010000002</v>
      </c>
      <c r="H366">
        <v>117.89</v>
      </c>
      <c r="I366">
        <v>0.11788999999999999</v>
      </c>
      <c r="J366">
        <v>1.1789E-4</v>
      </c>
      <c r="K366">
        <v>0.25990265200000001</v>
      </c>
      <c r="L366">
        <v>2.1000000000000001E-2</v>
      </c>
      <c r="M366">
        <v>3</v>
      </c>
      <c r="N366">
        <v>17.772665109999998</v>
      </c>
      <c r="O366">
        <v>20.971908009555001</v>
      </c>
      <c r="P366">
        <v>193.70156382249999</v>
      </c>
      <c r="Q366">
        <v>465.51685609829298</v>
      </c>
      <c r="R366">
        <v>1233.6196686604801</v>
      </c>
      <c r="S366" s="4">
        <v>21.02</v>
      </c>
      <c r="T366" s="4">
        <v>0.86</v>
      </c>
      <c r="U366" s="4">
        <v>-6.9989999999999997E-2</v>
      </c>
    </row>
    <row r="367" spans="1:21" x14ac:dyDescent="0.25">
      <c r="A367" t="s">
        <v>39</v>
      </c>
      <c r="B367" t="s">
        <v>40</v>
      </c>
      <c r="C367">
        <v>7</v>
      </c>
      <c r="D367">
        <v>2</v>
      </c>
      <c r="E367">
        <v>14</v>
      </c>
      <c r="F367">
        <v>49795.722179999997</v>
      </c>
      <c r="G367">
        <v>131958.66380000001</v>
      </c>
      <c r="H367">
        <v>20720</v>
      </c>
      <c r="I367">
        <v>20.72</v>
      </c>
      <c r="J367">
        <v>2.0719999999999999E-2</v>
      </c>
      <c r="K367">
        <v>45.6797264</v>
      </c>
      <c r="L367">
        <v>1.2E-2</v>
      </c>
      <c r="M367">
        <v>3</v>
      </c>
      <c r="N367">
        <v>119.9691279</v>
      </c>
      <c r="O367">
        <v>118.10743772432799</v>
      </c>
      <c r="P367">
        <v>19770.287712418001</v>
      </c>
      <c r="Q367">
        <v>47513.308609512103</v>
      </c>
      <c r="R367">
        <v>125910.267815207</v>
      </c>
      <c r="S367">
        <v>150.93</v>
      </c>
      <c r="T367">
        <v>0.11</v>
      </c>
      <c r="U367">
        <v>0.13</v>
      </c>
    </row>
    <row r="368" spans="1:21" x14ac:dyDescent="0.25">
      <c r="A368" t="s">
        <v>45</v>
      </c>
      <c r="B368" t="s">
        <v>46</v>
      </c>
      <c r="C368">
        <v>7</v>
      </c>
      <c r="D368">
        <v>5</v>
      </c>
      <c r="E368">
        <v>35</v>
      </c>
      <c r="F368">
        <v>7506.0987050000003</v>
      </c>
      <c r="G368">
        <v>19891.16157</v>
      </c>
      <c r="H368">
        <v>3123.287671</v>
      </c>
      <c r="I368">
        <v>3.1232876709999999</v>
      </c>
      <c r="J368">
        <v>3.1232880000000001E-3</v>
      </c>
      <c r="K368">
        <v>6.8856624660000003</v>
      </c>
      <c r="L368">
        <v>3.96E-3</v>
      </c>
      <c r="M368">
        <v>3.2</v>
      </c>
      <c r="N368">
        <v>69.62841358</v>
      </c>
      <c r="O368" s="2">
        <v>300.50141982901903</v>
      </c>
      <c r="P368" s="2">
        <v>336359.79302631901</v>
      </c>
      <c r="Q368" s="2">
        <v>808362.87677558104</v>
      </c>
      <c r="R368" s="2">
        <v>2142161.6234552902</v>
      </c>
      <c r="S368" s="2">
        <v>300.78571428571399</v>
      </c>
      <c r="T368" s="2">
        <v>0.24014285714285699</v>
      </c>
      <c r="U368" s="2">
        <v>6</v>
      </c>
    </row>
    <row r="369" spans="1:21" x14ac:dyDescent="0.25">
      <c r="A369" t="s">
        <v>43</v>
      </c>
      <c r="B369" t="s">
        <v>44</v>
      </c>
      <c r="C369">
        <v>7</v>
      </c>
      <c r="D369">
        <v>2</v>
      </c>
      <c r="E369">
        <v>14</v>
      </c>
      <c r="F369">
        <v>2275.6669069999998</v>
      </c>
      <c r="G369">
        <v>6030.517304</v>
      </c>
      <c r="H369">
        <v>946.90499999999997</v>
      </c>
      <c r="I369">
        <v>0.946905</v>
      </c>
      <c r="J369">
        <v>9.4690499999999995E-4</v>
      </c>
      <c r="K369">
        <v>2.0875657009999999</v>
      </c>
      <c r="L369">
        <v>1.44E-2</v>
      </c>
      <c r="M369">
        <v>3</v>
      </c>
      <c r="N369">
        <v>40.362801849999997</v>
      </c>
      <c r="O369" s="2">
        <v>47.543380264649898</v>
      </c>
      <c r="P369" s="2">
        <v>1547.50713712176</v>
      </c>
      <c r="Q369" s="2">
        <v>3719.07507118904</v>
      </c>
      <c r="R369" s="2">
        <v>9855.5489386509507</v>
      </c>
      <c r="S369" s="2">
        <v>47.633333333333297</v>
      </c>
      <c r="T369" s="2">
        <v>0.44800000000000001</v>
      </c>
      <c r="U369" s="2">
        <v>0</v>
      </c>
    </row>
    <row r="370" spans="1:21" x14ac:dyDescent="0.25">
      <c r="A370" t="s">
        <v>53</v>
      </c>
      <c r="B370" t="s">
        <v>54</v>
      </c>
      <c r="C370">
        <v>7</v>
      </c>
      <c r="D370">
        <v>2</v>
      </c>
      <c r="E370">
        <v>14</v>
      </c>
      <c r="F370">
        <v>3445.5659700000001</v>
      </c>
      <c r="G370">
        <v>9130.7498190000006</v>
      </c>
      <c r="H370">
        <v>1433.7</v>
      </c>
      <c r="I370">
        <v>1.4337</v>
      </c>
      <c r="J370">
        <v>1.4337E-3</v>
      </c>
      <c r="K370">
        <v>3.1607636939999999</v>
      </c>
      <c r="L370">
        <v>1.2E-2</v>
      </c>
      <c r="M370">
        <v>2.95</v>
      </c>
      <c r="N370">
        <v>52.615155799999997</v>
      </c>
      <c r="O370">
        <v>37.205426322075901</v>
      </c>
      <c r="P370">
        <v>515.78628244311005</v>
      </c>
      <c r="Q370">
        <v>1239.5728970033899</v>
      </c>
      <c r="R370">
        <v>3284.8681770589801</v>
      </c>
      <c r="S370">
        <v>41</v>
      </c>
      <c r="T370">
        <v>0.17</v>
      </c>
      <c r="U370">
        <v>0</v>
      </c>
    </row>
    <row r="371" spans="1:21" x14ac:dyDescent="0.25">
      <c r="A371" t="s">
        <v>57</v>
      </c>
      <c r="B371" t="s">
        <v>58</v>
      </c>
      <c r="C371">
        <v>7</v>
      </c>
      <c r="D371">
        <v>2</v>
      </c>
      <c r="E371">
        <v>14</v>
      </c>
      <c r="F371">
        <v>7769.8870479999996</v>
      </c>
      <c r="G371">
        <v>20590.200680000002</v>
      </c>
      <c r="H371">
        <v>3233.0500010000001</v>
      </c>
      <c r="I371">
        <v>3.2330500010000001</v>
      </c>
      <c r="J371">
        <v>3.2330499999999999E-3</v>
      </c>
      <c r="K371">
        <v>7.1276466919999999</v>
      </c>
      <c r="L371">
        <v>4.0000000000000001E-3</v>
      </c>
      <c r="M371">
        <v>3.1</v>
      </c>
      <c r="N371">
        <v>64.949648440000004</v>
      </c>
      <c r="O371">
        <v>72.6304257350684</v>
      </c>
      <c r="P371">
        <v>4521.0340391404197</v>
      </c>
      <c r="Q371">
        <v>10865.2584454228</v>
      </c>
      <c r="R371">
        <v>28792.9348803703</v>
      </c>
      <c r="S371">
        <v>72.900000000000006</v>
      </c>
      <c r="T371">
        <v>0.4</v>
      </c>
      <c r="U371">
        <v>0</v>
      </c>
    </row>
    <row r="372" spans="1:21" x14ac:dyDescent="0.25">
      <c r="A372" t="s">
        <v>59</v>
      </c>
      <c r="B372" t="s">
        <v>60</v>
      </c>
      <c r="C372">
        <v>7</v>
      </c>
      <c r="D372">
        <v>2</v>
      </c>
      <c r="E372">
        <v>14</v>
      </c>
      <c r="F372">
        <v>3445.5659700000001</v>
      </c>
      <c r="G372">
        <v>9130.7498190000006</v>
      </c>
      <c r="H372">
        <v>1433.7</v>
      </c>
      <c r="I372">
        <v>1.4337</v>
      </c>
      <c r="J372">
        <v>1.4337E-3</v>
      </c>
      <c r="K372">
        <v>3.1607636939999999</v>
      </c>
      <c r="L372">
        <v>1.6799999999999999E-2</v>
      </c>
      <c r="M372">
        <v>3.1</v>
      </c>
      <c r="N372">
        <v>38.966664020000003</v>
      </c>
      <c r="O372">
        <v>162.533386611716</v>
      </c>
      <c r="P372">
        <v>120013.82954317699</v>
      </c>
      <c r="Q372">
        <v>288425.44951496599</v>
      </c>
      <c r="R372">
        <v>764327.44121465995</v>
      </c>
      <c r="S372">
        <v>263.2</v>
      </c>
      <c r="T372">
        <v>7.0000000000000007E-2</v>
      </c>
      <c r="U372">
        <v>0.27</v>
      </c>
    </row>
    <row r="373" spans="1:21" x14ac:dyDescent="0.25">
      <c r="A373" t="s">
        <v>61</v>
      </c>
      <c r="B373" t="s">
        <v>62</v>
      </c>
      <c r="C373">
        <v>7</v>
      </c>
      <c r="D373">
        <v>1</v>
      </c>
      <c r="E373">
        <v>7</v>
      </c>
      <c r="F373">
        <v>418.3129055</v>
      </c>
      <c r="G373">
        <v>1108.5291999999999</v>
      </c>
      <c r="H373">
        <v>174.06</v>
      </c>
      <c r="I373">
        <v>0.17405999999999999</v>
      </c>
      <c r="J373">
        <v>1.7406E-4</v>
      </c>
      <c r="K373">
        <v>0.38373615700000002</v>
      </c>
      <c r="L373">
        <v>1.2500000000000001E-2</v>
      </c>
      <c r="M373">
        <v>3</v>
      </c>
      <c r="N373">
        <v>24.058192120000001</v>
      </c>
      <c r="O373">
        <v>29.4219476938658</v>
      </c>
      <c r="P373">
        <v>318.36423278291602</v>
      </c>
      <c r="Q373">
        <v>765.11471469097899</v>
      </c>
      <c r="R373">
        <v>2027.55399393109</v>
      </c>
      <c r="S373">
        <v>33.700000000000003</v>
      </c>
      <c r="T373">
        <v>0.32</v>
      </c>
      <c r="U373">
        <v>0.55000000000000004</v>
      </c>
    </row>
    <row r="374" spans="1:21" x14ac:dyDescent="0.25">
      <c r="A374" t="s">
        <v>63</v>
      </c>
      <c r="B374" t="s">
        <v>64</v>
      </c>
      <c r="C374">
        <v>7</v>
      </c>
      <c r="D374">
        <v>2</v>
      </c>
      <c r="E374">
        <v>14</v>
      </c>
      <c r="F374">
        <v>2275.6669069999998</v>
      </c>
      <c r="G374">
        <v>6030.517304</v>
      </c>
      <c r="H374">
        <v>946.90499999999997</v>
      </c>
      <c r="I374">
        <v>0.946905</v>
      </c>
      <c r="J374">
        <v>9.4690499999999995E-4</v>
      </c>
      <c r="K374">
        <v>2.0875657009999999</v>
      </c>
      <c r="L374">
        <v>1.2E-2</v>
      </c>
      <c r="M374">
        <v>3.1</v>
      </c>
      <c r="N374">
        <v>37.994242890000002</v>
      </c>
      <c r="O374">
        <v>42.442386359441798</v>
      </c>
      <c r="P374">
        <v>1334.6291586561599</v>
      </c>
      <c r="Q374">
        <v>3207.4721428891198</v>
      </c>
      <c r="R374">
        <v>8499.8011786561601</v>
      </c>
      <c r="S374">
        <v>42.5</v>
      </c>
      <c r="T374">
        <v>0.47</v>
      </c>
      <c r="U374">
        <v>0.05</v>
      </c>
    </row>
    <row r="375" spans="1:21" x14ac:dyDescent="0.25">
      <c r="A375" t="s">
        <v>65</v>
      </c>
      <c r="B375" t="s">
        <v>66</v>
      </c>
      <c r="C375">
        <v>7</v>
      </c>
      <c r="D375">
        <v>3</v>
      </c>
      <c r="E375">
        <v>21</v>
      </c>
      <c r="F375">
        <v>13000</v>
      </c>
      <c r="G375">
        <v>34450</v>
      </c>
      <c r="H375">
        <v>5409.3</v>
      </c>
      <c r="I375">
        <v>5.4093</v>
      </c>
      <c r="J375">
        <v>5.4092999999999997E-3</v>
      </c>
      <c r="K375">
        <v>11.92545097</v>
      </c>
      <c r="L375">
        <v>1.2699999999999999E-2</v>
      </c>
      <c r="M375">
        <v>3.1</v>
      </c>
      <c r="N375">
        <v>65.450847319999994</v>
      </c>
      <c r="O375">
        <v>52.671572109175699</v>
      </c>
      <c r="P375">
        <v>2758.6092771302801</v>
      </c>
      <c r="Q375">
        <v>6629.6786280468104</v>
      </c>
      <c r="R375">
        <v>17568.648364323999</v>
      </c>
      <c r="S375">
        <v>52.7</v>
      </c>
      <c r="T375">
        <v>0.35</v>
      </c>
      <c r="U375">
        <v>-0.5</v>
      </c>
    </row>
    <row r="376" spans="1:21" x14ac:dyDescent="0.25">
      <c r="A376" t="s">
        <v>67</v>
      </c>
      <c r="B376" t="s">
        <v>68</v>
      </c>
      <c r="C376">
        <v>7</v>
      </c>
      <c r="D376">
        <v>1</v>
      </c>
      <c r="E376">
        <v>7</v>
      </c>
      <c r="F376">
        <v>581.54999999999995</v>
      </c>
      <c r="G376">
        <v>1541.12</v>
      </c>
      <c r="H376">
        <v>241.982955</v>
      </c>
      <c r="I376">
        <v>0.241982955</v>
      </c>
      <c r="J376">
        <v>2.41983E-4</v>
      </c>
      <c r="K376">
        <v>0.53348046199999999</v>
      </c>
      <c r="L376">
        <v>1.29E-2</v>
      </c>
      <c r="M376">
        <v>3.05</v>
      </c>
      <c r="N376">
        <v>25.1795267</v>
      </c>
      <c r="O376">
        <v>36.671459170989699</v>
      </c>
      <c r="P376">
        <v>761.71181665508595</v>
      </c>
      <c r="Q376">
        <v>1830.59797321578</v>
      </c>
      <c r="R376">
        <v>4851.0846290218196</v>
      </c>
      <c r="S376">
        <v>40.6</v>
      </c>
      <c r="T376">
        <v>0.27</v>
      </c>
      <c r="U376">
        <v>-1.65</v>
      </c>
    </row>
    <row r="377" spans="1:21" x14ac:dyDescent="0.25">
      <c r="A377" t="s">
        <v>69</v>
      </c>
      <c r="B377" t="s">
        <v>70</v>
      </c>
      <c r="C377">
        <v>7</v>
      </c>
      <c r="D377">
        <v>1</v>
      </c>
      <c r="E377">
        <v>7</v>
      </c>
      <c r="F377">
        <v>314.44364339999998</v>
      </c>
      <c r="G377">
        <v>833.27565500000003</v>
      </c>
      <c r="H377">
        <v>130.84</v>
      </c>
      <c r="I377">
        <v>0.13084000000000001</v>
      </c>
      <c r="J377">
        <v>1.3083999999999999E-4</v>
      </c>
      <c r="K377">
        <v>0.28845248099999998</v>
      </c>
      <c r="L377">
        <v>0.01</v>
      </c>
      <c r="M377">
        <v>2.9</v>
      </c>
      <c r="N377">
        <v>26.276390169999999</v>
      </c>
      <c r="O377">
        <v>30.771383912721301</v>
      </c>
      <c r="P377">
        <v>206.836120365917</v>
      </c>
      <c r="Q377">
        <v>497.08272137927798</v>
      </c>
      <c r="R377">
        <v>1317.26921165509</v>
      </c>
      <c r="S377">
        <v>37.700000000000003</v>
      </c>
      <c r="T377">
        <v>0.24199999999999999</v>
      </c>
      <c r="U377">
        <v>0</v>
      </c>
    </row>
    <row r="378" spans="1:21" x14ac:dyDescent="0.25">
      <c r="A378" s="2" t="s">
        <v>71</v>
      </c>
      <c r="B378" t="s">
        <v>72</v>
      </c>
      <c r="C378">
        <v>7</v>
      </c>
      <c r="D378">
        <v>1</v>
      </c>
      <c r="E378">
        <v>7</v>
      </c>
      <c r="F378">
        <v>5.118961788</v>
      </c>
      <c r="G378">
        <v>13.565248739999999</v>
      </c>
      <c r="H378">
        <v>2.1299999999867998</v>
      </c>
      <c r="I378">
        <v>2.1299999999868E-3</v>
      </c>
      <c r="J378">
        <v>2.1299999999868002E-6</v>
      </c>
      <c r="K378">
        <v>4.6958405999709E-3</v>
      </c>
      <c r="L378" s="3">
        <v>1.0999999999999999E-2</v>
      </c>
      <c r="M378" s="3">
        <v>3.01</v>
      </c>
      <c r="N378">
        <v>5.7517012256396196</v>
      </c>
      <c r="O378" s="2">
        <v>8.2839286188619692</v>
      </c>
      <c r="P378" s="2">
        <v>6.3868114122370701</v>
      </c>
      <c r="Q378" s="2">
        <v>15.3492223317401</v>
      </c>
      <c r="R378" s="2">
        <v>40.675439179111301</v>
      </c>
      <c r="S378">
        <v>9</v>
      </c>
      <c r="T378">
        <v>0.32</v>
      </c>
      <c r="U378">
        <v>-0.91</v>
      </c>
    </row>
    <row r="379" spans="1:21" x14ac:dyDescent="0.25">
      <c r="A379" s="2" t="s">
        <v>49</v>
      </c>
      <c r="B379" t="s">
        <v>50</v>
      </c>
      <c r="C379">
        <v>7</v>
      </c>
      <c r="D379">
        <v>1</v>
      </c>
      <c r="E379">
        <v>7</v>
      </c>
      <c r="F379">
        <v>2275.6669069999998</v>
      </c>
      <c r="G379">
        <v>6030.517304</v>
      </c>
      <c r="H379">
        <v>946.90500000270004</v>
      </c>
      <c r="I379">
        <v>0.94690500000269995</v>
      </c>
      <c r="J379">
        <v>9.4690500000270004E-4</v>
      </c>
      <c r="K379">
        <v>2.0875657011059499</v>
      </c>
      <c r="L379" s="3">
        <v>1.2E-2</v>
      </c>
      <c r="M379" s="3">
        <v>3.1</v>
      </c>
      <c r="N379">
        <v>37.9942428895584</v>
      </c>
      <c r="O379" s="2">
        <v>43.059489889413399</v>
      </c>
      <c r="P379" s="2">
        <v>1395.7086685865499</v>
      </c>
      <c r="Q379" s="2">
        <v>3354.2626017460898</v>
      </c>
      <c r="R379" s="2">
        <v>8888.7958946271392</v>
      </c>
      <c r="S379" s="2">
        <v>54.3</v>
      </c>
      <c r="T379" s="2">
        <v>0.22500000000000001</v>
      </c>
      <c r="U379" s="2">
        <v>0</v>
      </c>
    </row>
    <row r="380" spans="1:21" x14ac:dyDescent="0.25">
      <c r="A380" t="s">
        <v>55</v>
      </c>
      <c r="B380" t="s">
        <v>56</v>
      </c>
      <c r="C380">
        <v>7</v>
      </c>
      <c r="D380">
        <v>1</v>
      </c>
      <c r="E380">
        <v>7</v>
      </c>
      <c r="F380">
        <v>6590.9637110000003</v>
      </c>
      <c r="G380">
        <v>17466.053830000001</v>
      </c>
      <c r="H380">
        <v>2742.5</v>
      </c>
      <c r="I380">
        <v>2.7425000000000002</v>
      </c>
      <c r="J380">
        <v>2.7425000000000001E-3</v>
      </c>
      <c r="K380">
        <v>6.0461703499999997</v>
      </c>
      <c r="L380">
        <v>1.2999999999999999E-2</v>
      </c>
      <c r="M380">
        <v>3</v>
      </c>
      <c r="N380">
        <v>59.529800620000003</v>
      </c>
      <c r="O380">
        <v>73.702120503668596</v>
      </c>
      <c r="P380">
        <v>5204.55140074882</v>
      </c>
      <c r="Q380">
        <v>12507.934152244199</v>
      </c>
      <c r="R380">
        <v>33146.025503447199</v>
      </c>
      <c r="S380">
        <v>152</v>
      </c>
      <c r="T380">
        <v>9.6000000000000002E-2</v>
      </c>
      <c r="U380">
        <v>0.09</v>
      </c>
    </row>
    <row r="381" spans="1:21" x14ac:dyDescent="0.25">
      <c r="A381" t="s">
        <v>75</v>
      </c>
      <c r="B381" t="s">
        <v>76</v>
      </c>
      <c r="C381">
        <v>7</v>
      </c>
      <c r="D381">
        <v>2</v>
      </c>
      <c r="E381">
        <v>14</v>
      </c>
      <c r="F381">
        <v>2275.6669069999998</v>
      </c>
      <c r="G381">
        <v>6030.517304</v>
      </c>
      <c r="H381">
        <v>946.90499999999997</v>
      </c>
      <c r="I381">
        <v>0.946905</v>
      </c>
      <c r="J381">
        <v>9.4690499999999995E-4</v>
      </c>
      <c r="K381">
        <v>2.0875657009999999</v>
      </c>
      <c r="L381">
        <v>2.5000000000000001E-3</v>
      </c>
      <c r="M381">
        <v>3.1</v>
      </c>
      <c r="N381">
        <v>63.01922132</v>
      </c>
      <c r="O381">
        <v>94.723622222742307</v>
      </c>
      <c r="P381">
        <v>3349.3515181154198</v>
      </c>
      <c r="Q381">
        <v>8049.3908149853996</v>
      </c>
      <c r="R381">
        <v>21330.885659711301</v>
      </c>
      <c r="S381">
        <v>122</v>
      </c>
      <c r="T381">
        <v>0.107</v>
      </c>
      <c r="U381">
        <v>0</v>
      </c>
    </row>
    <row r="382" spans="1:21" x14ac:dyDescent="0.25">
      <c r="A382" t="s">
        <v>73</v>
      </c>
      <c r="B382" t="s">
        <v>74</v>
      </c>
      <c r="C382">
        <v>7</v>
      </c>
      <c r="D382">
        <v>2</v>
      </c>
      <c r="E382">
        <v>14</v>
      </c>
      <c r="F382">
        <v>2275.6669069999998</v>
      </c>
      <c r="G382">
        <v>6030.517304</v>
      </c>
      <c r="H382">
        <v>946.90499999999997</v>
      </c>
      <c r="I382">
        <v>0.946905</v>
      </c>
      <c r="J382">
        <v>9.4690499999999995E-4</v>
      </c>
      <c r="K382">
        <v>2.0875657009999999</v>
      </c>
      <c r="L382">
        <v>1.4E-2</v>
      </c>
      <c r="M382">
        <v>2.8</v>
      </c>
      <c r="N382">
        <v>53.09623234</v>
      </c>
      <c r="O382">
        <v>42.948118856799802</v>
      </c>
      <c r="P382">
        <v>522.84341833367</v>
      </c>
      <c r="Q382">
        <v>1256.5330890018499</v>
      </c>
      <c r="R382">
        <v>3329.8126858549099</v>
      </c>
      <c r="S382">
        <v>43</v>
      </c>
      <c r="T382">
        <v>0.48</v>
      </c>
      <c r="U382">
        <v>0</v>
      </c>
    </row>
    <row r="383" spans="1:21" x14ac:dyDescent="0.25">
      <c r="A383" s="2" t="s">
        <v>51</v>
      </c>
      <c r="B383" t="s">
        <v>52</v>
      </c>
      <c r="C383">
        <v>7</v>
      </c>
      <c r="D383">
        <v>1</v>
      </c>
      <c r="E383">
        <v>7</v>
      </c>
      <c r="F383">
        <v>3445.5659700000001</v>
      </c>
      <c r="G383">
        <v>9130.7498190000006</v>
      </c>
      <c r="H383">
        <v>1433.7000001169999</v>
      </c>
      <c r="I383">
        <v>1.4337000001169999</v>
      </c>
      <c r="J383">
        <v>1.4337000001169999E-3</v>
      </c>
      <c r="K383">
        <v>3.1607636942579398</v>
      </c>
      <c r="L383" s="3">
        <v>1.24E-2</v>
      </c>
      <c r="M383" s="3">
        <v>3.2</v>
      </c>
      <c r="N383">
        <v>38.211926836032902</v>
      </c>
      <c r="O383" s="2">
        <v>15.9146721977712</v>
      </c>
      <c r="P383" s="2">
        <v>86.930928383652699</v>
      </c>
      <c r="Q383" s="2">
        <v>208.918357086404</v>
      </c>
      <c r="R383" s="2">
        <v>553.63364627897101</v>
      </c>
      <c r="S383">
        <v>20.9</v>
      </c>
      <c r="T383">
        <v>0.19500000000000001</v>
      </c>
      <c r="U383">
        <v>-0.35</v>
      </c>
    </row>
    <row r="384" spans="1:21" x14ac:dyDescent="0.25">
      <c r="A384" t="s">
        <v>85</v>
      </c>
      <c r="B384" t="s">
        <v>86</v>
      </c>
      <c r="C384">
        <v>7</v>
      </c>
      <c r="D384">
        <v>7</v>
      </c>
      <c r="E384">
        <v>49</v>
      </c>
      <c r="F384">
        <v>57132.702899999997</v>
      </c>
      <c r="G384">
        <v>151401.76300000001</v>
      </c>
      <c r="H384">
        <v>23772.917679999999</v>
      </c>
      <c r="I384">
        <v>23.772917679999999</v>
      </c>
      <c r="J384">
        <v>2.3772918000000001E-2</v>
      </c>
      <c r="K384">
        <v>52.41024977</v>
      </c>
      <c r="L384">
        <v>5.2399999999999999E-3</v>
      </c>
      <c r="M384">
        <v>3.141</v>
      </c>
      <c r="N384">
        <v>131.61625190000001</v>
      </c>
      <c r="O384" s="2">
        <v>308.37313391266599</v>
      </c>
      <c r="P384" s="2">
        <v>344763.02418618998</v>
      </c>
      <c r="Q384" s="2">
        <v>828558.09705885698</v>
      </c>
      <c r="R384" s="2">
        <v>2195678.9572059698</v>
      </c>
      <c r="S384">
        <v>309.24444444444401</v>
      </c>
      <c r="T384">
        <v>0.13655555555555601</v>
      </c>
      <c r="U384">
        <v>6</v>
      </c>
    </row>
    <row r="385" spans="1:21" x14ac:dyDescent="0.25">
      <c r="A385" t="s">
        <v>77</v>
      </c>
      <c r="B385" t="s">
        <v>78</v>
      </c>
      <c r="C385">
        <v>7</v>
      </c>
      <c r="D385">
        <v>3</v>
      </c>
      <c r="E385">
        <v>21</v>
      </c>
      <c r="F385">
        <v>182759.99249999999</v>
      </c>
      <c r="G385">
        <v>484313.98009999999</v>
      </c>
      <c r="H385">
        <v>76046.432879999993</v>
      </c>
      <c r="I385">
        <v>76.046432879999998</v>
      </c>
      <c r="J385">
        <v>7.6046432999999997E-2</v>
      </c>
      <c r="K385">
        <v>167.65348689999999</v>
      </c>
      <c r="L385">
        <v>3.5000000000000003E-2</v>
      </c>
      <c r="M385">
        <v>2.9</v>
      </c>
      <c r="N385">
        <v>153.1708558</v>
      </c>
      <c r="O385" s="2">
        <v>208.40126121119999</v>
      </c>
      <c r="P385" s="2">
        <v>185728.708506097</v>
      </c>
      <c r="Q385" s="2">
        <v>446355.94449915102</v>
      </c>
      <c r="R385" s="2">
        <v>1182843.2529227501</v>
      </c>
      <c r="S385">
        <v>208.40700000000001</v>
      </c>
      <c r="T385">
        <v>0.5</v>
      </c>
      <c r="U385">
        <v>0</v>
      </c>
    </row>
    <row r="386" spans="1:21" x14ac:dyDescent="0.25">
      <c r="A386" t="s">
        <v>79</v>
      </c>
      <c r="B386" t="s">
        <v>80</v>
      </c>
      <c r="C386">
        <v>7</v>
      </c>
      <c r="D386">
        <v>2</v>
      </c>
      <c r="E386">
        <v>14</v>
      </c>
      <c r="F386">
        <v>3445.5659700000001</v>
      </c>
      <c r="G386">
        <v>9130.7498190000006</v>
      </c>
      <c r="H386">
        <v>1433.7</v>
      </c>
      <c r="I386">
        <v>1.4337</v>
      </c>
      <c r="J386">
        <v>1.4337E-3</v>
      </c>
      <c r="K386">
        <v>3.1607636939999999</v>
      </c>
      <c r="L386">
        <v>3.3999999999999998E-3</v>
      </c>
      <c r="M386">
        <v>3.2850000000000001</v>
      </c>
      <c r="N386">
        <v>38.211926839999997</v>
      </c>
      <c r="O386">
        <v>54.356220407130401</v>
      </c>
      <c r="P386">
        <v>4428.1190491805901</v>
      </c>
      <c r="Q386">
        <v>10641.9587819769</v>
      </c>
      <c r="R386">
        <v>28201.190772238799</v>
      </c>
      <c r="S386">
        <v>59.9</v>
      </c>
      <c r="T386">
        <v>0.17</v>
      </c>
      <c r="U386">
        <v>0</v>
      </c>
    </row>
    <row r="387" spans="1:21" x14ac:dyDescent="0.25">
      <c r="A387" t="s">
        <v>81</v>
      </c>
      <c r="B387" t="s">
        <v>82</v>
      </c>
      <c r="C387">
        <v>7</v>
      </c>
      <c r="D387">
        <v>2</v>
      </c>
      <c r="E387">
        <v>14</v>
      </c>
      <c r="F387">
        <v>2275.6669069999998</v>
      </c>
      <c r="G387">
        <v>6030.517304</v>
      </c>
      <c r="H387">
        <v>946.90499999999997</v>
      </c>
      <c r="I387">
        <v>0.946905</v>
      </c>
      <c r="J387">
        <v>9.4690499999999995E-4</v>
      </c>
      <c r="K387">
        <v>2.0875657009999999</v>
      </c>
      <c r="L387">
        <v>1.4999999999999999E-2</v>
      </c>
      <c r="M387">
        <v>3</v>
      </c>
      <c r="N387">
        <v>39.817291709999999</v>
      </c>
      <c r="O387">
        <v>96.189638783903604</v>
      </c>
      <c r="P387">
        <v>13349.842458351101</v>
      </c>
      <c r="Q387">
        <v>32083.255127015502</v>
      </c>
      <c r="R387">
        <v>85020.626086591001</v>
      </c>
      <c r="S387">
        <v>106</v>
      </c>
      <c r="T387">
        <v>0.17</v>
      </c>
      <c r="U387">
        <v>0</v>
      </c>
    </row>
    <row r="388" spans="1:21" x14ac:dyDescent="0.25">
      <c r="A388" t="s">
        <v>83</v>
      </c>
      <c r="B388" t="s">
        <v>84</v>
      </c>
      <c r="C388">
        <v>7</v>
      </c>
      <c r="D388">
        <v>7</v>
      </c>
      <c r="E388">
        <v>49</v>
      </c>
      <c r="F388">
        <v>57132.702899999997</v>
      </c>
      <c r="G388">
        <v>151401.76300000001</v>
      </c>
      <c r="H388">
        <v>23772.917679999999</v>
      </c>
      <c r="I388">
        <v>23.772917679999999</v>
      </c>
      <c r="J388">
        <v>2.3772918000000001E-2</v>
      </c>
      <c r="K388">
        <v>52.41024977</v>
      </c>
      <c r="L388">
        <v>5.4000000000000003E-3</v>
      </c>
      <c r="M388">
        <v>3</v>
      </c>
      <c r="N388">
        <v>163.89394490000001</v>
      </c>
      <c r="O388">
        <v>279.04801918511998</v>
      </c>
      <c r="P388">
        <v>117335.81437704399</v>
      </c>
      <c r="Q388">
        <v>281989.460170737</v>
      </c>
      <c r="R388">
        <v>747272.06945245399</v>
      </c>
      <c r="S388">
        <v>280</v>
      </c>
      <c r="T388">
        <v>0.11600000000000001</v>
      </c>
      <c r="U388">
        <v>0</v>
      </c>
    </row>
    <row r="389" spans="1:21" x14ac:dyDescent="0.25">
      <c r="A389" t="s">
        <v>91</v>
      </c>
      <c r="B389" t="s">
        <v>92</v>
      </c>
      <c r="C389">
        <v>7</v>
      </c>
      <c r="D389">
        <v>2</v>
      </c>
      <c r="E389">
        <v>14</v>
      </c>
      <c r="F389">
        <v>2275.6669069999998</v>
      </c>
      <c r="G389">
        <v>6030.517304</v>
      </c>
      <c r="H389">
        <v>946.90499999999997</v>
      </c>
      <c r="I389">
        <v>0.946905</v>
      </c>
      <c r="J389">
        <v>9.4690499999999995E-4</v>
      </c>
      <c r="K389">
        <v>2.0875657009999999</v>
      </c>
      <c r="L389">
        <v>1.2999999999999999E-2</v>
      </c>
      <c r="M389">
        <v>3</v>
      </c>
      <c r="N389">
        <v>41.76261512</v>
      </c>
      <c r="O389">
        <v>55.9891170509717</v>
      </c>
      <c r="P389">
        <v>2281.67723045515</v>
      </c>
      <c r="Q389">
        <v>5483.4828898225196</v>
      </c>
      <c r="R389">
        <v>14531.229658029701</v>
      </c>
      <c r="S389">
        <v>60.2</v>
      </c>
      <c r="T389">
        <v>0.19</v>
      </c>
      <c r="U389">
        <v>0</v>
      </c>
    </row>
    <row r="390" spans="1:21" x14ac:dyDescent="0.25">
      <c r="A390" t="s">
        <v>87</v>
      </c>
      <c r="B390" t="s">
        <v>88</v>
      </c>
      <c r="C390">
        <v>7</v>
      </c>
      <c r="D390">
        <v>2</v>
      </c>
      <c r="E390">
        <v>14</v>
      </c>
      <c r="F390">
        <v>2275.6669069999998</v>
      </c>
      <c r="G390">
        <v>6030.517304</v>
      </c>
      <c r="H390">
        <v>946.90499999999997</v>
      </c>
      <c r="I390">
        <v>0.946905</v>
      </c>
      <c r="J390">
        <v>9.4690499999999995E-4</v>
      </c>
      <c r="K390">
        <v>2.0875657009999999</v>
      </c>
      <c r="L390">
        <v>6.0000000000000001E-3</v>
      </c>
      <c r="M390">
        <v>3.1</v>
      </c>
      <c r="N390">
        <v>47.514290099999997</v>
      </c>
      <c r="O390">
        <v>29.513340334047498</v>
      </c>
      <c r="P390">
        <v>216.375549994924</v>
      </c>
      <c r="Q390">
        <v>520.00853159078201</v>
      </c>
      <c r="R390">
        <v>1378.02260871557</v>
      </c>
      <c r="S390">
        <v>31.4</v>
      </c>
      <c r="T390">
        <v>0.19</v>
      </c>
      <c r="U390">
        <v>-0.8</v>
      </c>
    </row>
    <row r="391" spans="1:21" x14ac:dyDescent="0.25">
      <c r="A391" t="s">
        <v>93</v>
      </c>
      <c r="B391" t="s">
        <v>94</v>
      </c>
      <c r="C391">
        <v>7</v>
      </c>
      <c r="D391">
        <v>9</v>
      </c>
      <c r="E391">
        <v>63</v>
      </c>
      <c r="F391">
        <v>1772528859</v>
      </c>
      <c r="G391">
        <v>4697201478</v>
      </c>
      <c r="H391">
        <v>737549258.20000005</v>
      </c>
      <c r="I391">
        <v>737549.25820000004</v>
      </c>
      <c r="J391">
        <v>737.54925820000005</v>
      </c>
      <c r="K391">
        <v>1626015.8459999999</v>
      </c>
      <c r="L391" s="2">
        <v>1.7000000000000001E-2</v>
      </c>
      <c r="M391">
        <v>3</v>
      </c>
      <c r="N391">
        <v>1544.971047</v>
      </c>
      <c r="O391" s="2">
        <v>1584.95977097641</v>
      </c>
      <c r="P391" s="2">
        <v>67686748.473522097</v>
      </c>
      <c r="Q391" s="2">
        <v>162669426.75684199</v>
      </c>
      <c r="R391" s="2">
        <v>431073980.90563202</v>
      </c>
      <c r="S391">
        <v>1584.96</v>
      </c>
      <c r="T391" s="2">
        <v>0.25</v>
      </c>
      <c r="U391">
        <v>0</v>
      </c>
    </row>
    <row r="392" spans="1:21" x14ac:dyDescent="0.25">
      <c r="A392" t="s">
        <v>109</v>
      </c>
      <c r="B392" t="s">
        <v>110</v>
      </c>
      <c r="C392">
        <v>7</v>
      </c>
      <c r="D392">
        <v>5</v>
      </c>
      <c r="E392">
        <v>35</v>
      </c>
      <c r="F392">
        <v>7506.0987050000003</v>
      </c>
      <c r="G392">
        <v>19891.16157</v>
      </c>
      <c r="H392">
        <v>3123.287671</v>
      </c>
      <c r="I392">
        <v>3.1232876709999999</v>
      </c>
      <c r="J392">
        <v>3.1232880000000001E-3</v>
      </c>
      <c r="K392">
        <v>6.8856624660000003</v>
      </c>
      <c r="L392">
        <v>4.3E-3</v>
      </c>
      <c r="M392">
        <v>3.1</v>
      </c>
      <c r="N392">
        <v>77.748400239999995</v>
      </c>
      <c r="O392">
        <v>158.48017445841199</v>
      </c>
      <c r="P392">
        <v>28404.736933570301</v>
      </c>
      <c r="Q392">
        <v>68264.207963399007</v>
      </c>
      <c r="R392">
        <v>180900.151103007</v>
      </c>
      <c r="S392">
        <v>186</v>
      </c>
      <c r="T392">
        <v>4.5999999999999999E-2</v>
      </c>
      <c r="U392">
        <v>-6.54</v>
      </c>
    </row>
    <row r="393" spans="1:21" x14ac:dyDescent="0.25">
      <c r="A393" t="s">
        <v>99</v>
      </c>
      <c r="B393" t="s">
        <v>100</v>
      </c>
      <c r="C393">
        <v>7</v>
      </c>
      <c r="D393">
        <v>2</v>
      </c>
      <c r="E393">
        <v>14</v>
      </c>
      <c r="F393">
        <v>2275.6669069999998</v>
      </c>
      <c r="G393">
        <v>6030.517304</v>
      </c>
      <c r="H393">
        <v>946.90499999999997</v>
      </c>
      <c r="I393">
        <v>0.946905</v>
      </c>
      <c r="J393">
        <v>9.4690499999999995E-4</v>
      </c>
      <c r="K393">
        <v>2.0875657009999999</v>
      </c>
      <c r="L393">
        <v>1.4999999999999999E-2</v>
      </c>
      <c r="M393">
        <v>3.1</v>
      </c>
      <c r="N393">
        <v>35.355460659999999</v>
      </c>
      <c r="O393">
        <v>38.475855513561399</v>
      </c>
      <c r="P393">
        <v>1230.7644492500699</v>
      </c>
      <c r="Q393">
        <v>2957.8573642154902</v>
      </c>
      <c r="R393">
        <v>7838.3220151710502</v>
      </c>
      <c r="S393">
        <v>42.4</v>
      </c>
      <c r="T393">
        <v>0.17</v>
      </c>
      <c r="U393">
        <v>0</v>
      </c>
    </row>
    <row r="394" spans="1:21" x14ac:dyDescent="0.25">
      <c r="A394" t="s">
        <v>97</v>
      </c>
      <c r="B394" t="s">
        <v>98</v>
      </c>
      <c r="C394">
        <v>7</v>
      </c>
      <c r="D394">
        <v>2</v>
      </c>
      <c r="E394">
        <v>14</v>
      </c>
      <c r="F394">
        <v>27187.089510000002</v>
      </c>
      <c r="G394">
        <v>72045.787200000006</v>
      </c>
      <c r="H394">
        <v>11312.54795</v>
      </c>
      <c r="I394">
        <v>11.312547950000001</v>
      </c>
      <c r="J394">
        <v>1.1312548E-2</v>
      </c>
      <c r="K394">
        <v>24.93986945</v>
      </c>
      <c r="L394" s="2">
        <v>6.5000000000000002E-2</v>
      </c>
      <c r="M394">
        <v>3</v>
      </c>
      <c r="N394">
        <v>82.700882840000006</v>
      </c>
      <c r="O394">
        <v>23.599350139795298</v>
      </c>
      <c r="P394">
        <v>854.30606244627199</v>
      </c>
      <c r="Q394">
        <v>2053.1268023222101</v>
      </c>
      <c r="R394">
        <v>5440.7860261538599</v>
      </c>
      <c r="S394">
        <v>23.6</v>
      </c>
      <c r="T394">
        <v>0.75</v>
      </c>
      <c r="U394">
        <v>0</v>
      </c>
    </row>
    <row r="395" spans="1:21" x14ac:dyDescent="0.25">
      <c r="A395" s="2" t="s">
        <v>47</v>
      </c>
      <c r="B395" t="s">
        <v>48</v>
      </c>
      <c r="C395">
        <v>7</v>
      </c>
      <c r="D395">
        <v>1</v>
      </c>
      <c r="E395">
        <v>7</v>
      </c>
      <c r="F395">
        <v>314.44364339999998</v>
      </c>
      <c r="G395">
        <v>833.27565500000003</v>
      </c>
      <c r="H395">
        <v>130.84000001874</v>
      </c>
      <c r="I395">
        <v>0.13084000001873999</v>
      </c>
      <c r="J395">
        <v>1.3084000001873999E-4</v>
      </c>
      <c r="K395">
        <v>0.28845248084131497</v>
      </c>
      <c r="L395" s="3">
        <v>1.23E-2</v>
      </c>
      <c r="M395" s="3">
        <v>3.2</v>
      </c>
      <c r="N395">
        <v>18.1295101576066</v>
      </c>
      <c r="O395" s="2">
        <v>38.550351124251002</v>
      </c>
      <c r="P395" s="2">
        <v>1462.83651709122</v>
      </c>
      <c r="Q395" s="2">
        <v>3515.5888418438399</v>
      </c>
      <c r="R395" s="2">
        <v>9316.3104308861693</v>
      </c>
      <c r="S395" s="2">
        <v>39.200000000000003</v>
      </c>
      <c r="T395" s="2">
        <v>0.58571428571428596</v>
      </c>
      <c r="U395" s="2">
        <v>0</v>
      </c>
    </row>
    <row r="396" spans="1:21" x14ac:dyDescent="0.25">
      <c r="A396" t="s">
        <v>103</v>
      </c>
      <c r="B396" t="s">
        <v>104</v>
      </c>
      <c r="C396">
        <v>7</v>
      </c>
      <c r="D396">
        <v>1</v>
      </c>
      <c r="E396">
        <v>7</v>
      </c>
      <c r="F396">
        <v>2838.9569820000002</v>
      </c>
      <c r="G396">
        <v>7523.2360019999996</v>
      </c>
      <c r="H396">
        <v>1181.29</v>
      </c>
      <c r="I396">
        <v>1.18129</v>
      </c>
      <c r="J396">
        <v>1.18129E-3</v>
      </c>
      <c r="K396">
        <v>2.6042955600000002</v>
      </c>
      <c r="L396">
        <v>1.2999999999999999E-2</v>
      </c>
      <c r="M396">
        <v>2.8</v>
      </c>
      <c r="N396">
        <v>59.001336350000003</v>
      </c>
      <c r="O396">
        <v>46.849026666915002</v>
      </c>
      <c r="P396">
        <v>619.30552591043602</v>
      </c>
      <c r="Q396">
        <v>1488.35742828752</v>
      </c>
      <c r="R396">
        <v>3944.1471849619202</v>
      </c>
      <c r="S396">
        <v>65.400000000000006</v>
      </c>
      <c r="T396">
        <v>0.18</v>
      </c>
      <c r="U396">
        <v>0</v>
      </c>
    </row>
    <row r="397" spans="1:21" x14ac:dyDescent="0.25">
      <c r="A397" s="2" t="s">
        <v>105</v>
      </c>
      <c r="B397" t="s">
        <v>106</v>
      </c>
      <c r="C397">
        <v>7</v>
      </c>
      <c r="D397">
        <v>3</v>
      </c>
      <c r="E397">
        <v>21</v>
      </c>
      <c r="F397">
        <v>13000</v>
      </c>
      <c r="G397">
        <v>34450</v>
      </c>
      <c r="H397">
        <v>5409.3</v>
      </c>
      <c r="I397">
        <v>5.4093</v>
      </c>
      <c r="J397">
        <v>5.4092999999999997E-3</v>
      </c>
      <c r="K397">
        <v>11.9220972</v>
      </c>
      <c r="L397" s="3">
        <v>1.2699999999999999E-2</v>
      </c>
      <c r="M397" s="3">
        <v>3.1</v>
      </c>
      <c r="N397">
        <v>65.450847322550899</v>
      </c>
      <c r="O397" s="2">
        <v>105.78732899261701</v>
      </c>
      <c r="P397" s="2">
        <v>23963.378179590702</v>
      </c>
      <c r="Q397" s="2">
        <v>57590.430616656398</v>
      </c>
      <c r="R397" s="2">
        <v>152614.641134139</v>
      </c>
      <c r="S397">
        <v>109.97499999999999</v>
      </c>
      <c r="T397">
        <v>0.14749999999999999</v>
      </c>
      <c r="U397">
        <v>-1.1566666666666701</v>
      </c>
    </row>
    <row r="398" spans="1:21" x14ac:dyDescent="0.25">
      <c r="A398" t="s">
        <v>115</v>
      </c>
      <c r="B398" t="s">
        <v>116</v>
      </c>
      <c r="C398">
        <v>7</v>
      </c>
      <c r="D398">
        <v>7</v>
      </c>
      <c r="E398">
        <v>49</v>
      </c>
      <c r="F398">
        <v>9236056.2960000001</v>
      </c>
      <c r="G398">
        <v>24475549.18</v>
      </c>
      <c r="H398">
        <v>3843123.0249999999</v>
      </c>
      <c r="I398">
        <v>3843.1230249999999</v>
      </c>
      <c r="J398">
        <v>3.8431230250000001</v>
      </c>
      <c r="K398">
        <v>8472.6258830000006</v>
      </c>
      <c r="L398" s="2">
        <v>1.4999999999999999E-2</v>
      </c>
      <c r="M398">
        <v>3</v>
      </c>
      <c r="N398">
        <v>727.04522929999996</v>
      </c>
      <c r="O398" s="2">
        <v>271.77869950079503</v>
      </c>
      <c r="P398" s="2">
        <v>301118.54795210803</v>
      </c>
      <c r="Q398" s="2">
        <v>723668.704523211</v>
      </c>
      <c r="R398" s="2">
        <v>1917722.0669865101</v>
      </c>
      <c r="S398">
        <v>271.77999999999997</v>
      </c>
      <c r="T398">
        <v>0.25</v>
      </c>
      <c r="U398">
        <v>0</v>
      </c>
    </row>
    <row r="399" spans="1:21" x14ac:dyDescent="0.25">
      <c r="A399" t="s">
        <v>107</v>
      </c>
      <c r="B399" t="s">
        <v>108</v>
      </c>
      <c r="C399">
        <v>7</v>
      </c>
      <c r="D399">
        <v>5</v>
      </c>
      <c r="E399">
        <v>35</v>
      </c>
      <c r="F399">
        <v>7506.0987050000003</v>
      </c>
      <c r="G399">
        <v>19891.16157</v>
      </c>
      <c r="H399">
        <v>3123.287671</v>
      </c>
      <c r="I399">
        <v>3.1232876709999999</v>
      </c>
      <c r="J399">
        <v>3.1232880000000001E-3</v>
      </c>
      <c r="K399">
        <v>6.8856624660000003</v>
      </c>
      <c r="L399">
        <v>3.5999999999999999E-3</v>
      </c>
      <c r="M399">
        <v>3</v>
      </c>
      <c r="N399">
        <v>95.375427009999996</v>
      </c>
      <c r="O399">
        <v>121.376292898451</v>
      </c>
      <c r="P399">
        <v>6437.3053166414402</v>
      </c>
      <c r="Q399">
        <v>15470.572738864301</v>
      </c>
      <c r="R399">
        <v>40997.017757990398</v>
      </c>
      <c r="S399">
        <v>150</v>
      </c>
      <c r="T399">
        <v>4.1000000000000002E-2</v>
      </c>
      <c r="U399">
        <v>-5.4</v>
      </c>
    </row>
    <row r="400" spans="1:21" x14ac:dyDescent="0.25">
      <c r="A400" t="s">
        <v>41</v>
      </c>
      <c r="B400" t="s">
        <v>42</v>
      </c>
      <c r="C400">
        <v>7</v>
      </c>
      <c r="D400">
        <v>4</v>
      </c>
      <c r="E400">
        <v>28</v>
      </c>
      <c r="F400">
        <v>21167.198349999999</v>
      </c>
      <c r="G400">
        <v>56093.075620000003</v>
      </c>
      <c r="H400">
        <v>8807.6712329999991</v>
      </c>
      <c r="I400">
        <v>8.8076712330000007</v>
      </c>
      <c r="J400">
        <v>8.8076709999999996E-3</v>
      </c>
      <c r="K400">
        <v>19.417568150000001</v>
      </c>
      <c r="L400">
        <v>1.34E-2</v>
      </c>
      <c r="M400">
        <v>3.1</v>
      </c>
      <c r="N400">
        <v>75.282768129999994</v>
      </c>
      <c r="O400">
        <v>88.880092603551205</v>
      </c>
      <c r="P400">
        <v>14736.6491332853</v>
      </c>
      <c r="Q400">
        <v>35416.123848318501</v>
      </c>
      <c r="R400">
        <v>93852.7281980439</v>
      </c>
      <c r="S400">
        <v>91.5</v>
      </c>
      <c r="T400">
        <v>0.12690000000000001</v>
      </c>
      <c r="U400">
        <v>0</v>
      </c>
    </row>
    <row r="401" spans="1:21" x14ac:dyDescent="0.25">
      <c r="A401" t="s">
        <v>111</v>
      </c>
      <c r="B401" t="s">
        <v>112</v>
      </c>
      <c r="C401">
        <v>7</v>
      </c>
      <c r="D401">
        <v>2</v>
      </c>
      <c r="E401">
        <v>14</v>
      </c>
      <c r="F401">
        <v>2275.6669069999998</v>
      </c>
      <c r="G401">
        <v>6030.517304</v>
      </c>
      <c r="H401">
        <v>946.90499999999997</v>
      </c>
      <c r="I401">
        <v>0.946905</v>
      </c>
      <c r="J401">
        <v>9.4690499999999995E-4</v>
      </c>
      <c r="K401">
        <v>2.0875657009999999</v>
      </c>
      <c r="L401">
        <v>1.2200000000000001E-2</v>
      </c>
      <c r="M401">
        <v>2.9</v>
      </c>
      <c r="N401">
        <v>48.54991519</v>
      </c>
      <c r="O401">
        <v>91.930650839795206</v>
      </c>
      <c r="P401">
        <v>6031.0760049300598</v>
      </c>
      <c r="Q401">
        <v>14494.2946525596</v>
      </c>
      <c r="R401">
        <v>38409.880829283</v>
      </c>
      <c r="S401">
        <v>98.7</v>
      </c>
      <c r="T401">
        <v>0.158</v>
      </c>
      <c r="U401">
        <v>-2.96</v>
      </c>
    </row>
    <row r="402" spans="1:21" x14ac:dyDescent="0.25">
      <c r="A402" t="s">
        <v>113</v>
      </c>
      <c r="B402" t="s">
        <v>114</v>
      </c>
      <c r="C402">
        <v>7</v>
      </c>
      <c r="D402">
        <v>2</v>
      </c>
      <c r="E402">
        <v>14</v>
      </c>
      <c r="F402">
        <v>3445.5659700000001</v>
      </c>
      <c r="G402">
        <v>9130.7498190000006</v>
      </c>
      <c r="H402">
        <v>1433.7</v>
      </c>
      <c r="I402">
        <v>1.4337</v>
      </c>
      <c r="J402">
        <v>1.4337E-3</v>
      </c>
      <c r="K402">
        <v>3.1607636939999999</v>
      </c>
      <c r="L402">
        <v>1.2E-2</v>
      </c>
      <c r="M402">
        <v>3.05</v>
      </c>
      <c r="N402">
        <v>46.204151209999999</v>
      </c>
      <c r="O402">
        <v>81.6658447944763</v>
      </c>
      <c r="P402">
        <v>8145.2542658518996</v>
      </c>
      <c r="Q402">
        <v>19575.232554318402</v>
      </c>
      <c r="R402">
        <v>51874.366268943901</v>
      </c>
      <c r="S402">
        <v>85.9</v>
      </c>
      <c r="T402">
        <v>0.215</v>
      </c>
      <c r="U402">
        <v>0</v>
      </c>
    </row>
    <row r="403" spans="1:21" x14ac:dyDescent="0.25">
      <c r="A403" t="s">
        <v>117</v>
      </c>
      <c r="B403" t="s">
        <v>118</v>
      </c>
      <c r="C403">
        <v>7</v>
      </c>
      <c r="D403">
        <v>2</v>
      </c>
      <c r="E403">
        <v>14</v>
      </c>
      <c r="F403">
        <v>2275.6669069999998</v>
      </c>
      <c r="G403">
        <v>6030.517304</v>
      </c>
      <c r="H403">
        <v>946.90499999999997</v>
      </c>
      <c r="I403">
        <v>0.946905</v>
      </c>
      <c r="J403">
        <v>9.4690499999999995E-4</v>
      </c>
      <c r="K403">
        <v>2.0875657009999999</v>
      </c>
      <c r="L403">
        <v>1.4999999999999999E-2</v>
      </c>
      <c r="M403">
        <v>3</v>
      </c>
      <c r="N403">
        <v>39.817291709999999</v>
      </c>
      <c r="O403">
        <v>55.149102239474402</v>
      </c>
      <c r="P403">
        <v>2515.9766149775</v>
      </c>
      <c r="Q403">
        <v>6046.56720734798</v>
      </c>
      <c r="R403">
        <v>16023.4030994722</v>
      </c>
      <c r="S403">
        <v>73.2</v>
      </c>
      <c r="T403">
        <v>0.1</v>
      </c>
      <c r="U403">
        <v>0</v>
      </c>
    </row>
    <row r="404" spans="1:21" x14ac:dyDescent="0.25">
      <c r="A404" t="s">
        <v>123</v>
      </c>
      <c r="B404" t="s">
        <v>124</v>
      </c>
      <c r="C404">
        <v>7</v>
      </c>
      <c r="D404">
        <v>2</v>
      </c>
      <c r="E404">
        <v>14</v>
      </c>
      <c r="F404">
        <v>2275.6669069999998</v>
      </c>
      <c r="G404">
        <v>6030.517304</v>
      </c>
      <c r="H404">
        <v>946.90499999999997</v>
      </c>
      <c r="I404">
        <v>0.946905</v>
      </c>
      <c r="J404">
        <v>9.4690499999999995E-4</v>
      </c>
      <c r="K404">
        <v>2.0875657009999999</v>
      </c>
      <c r="L404">
        <v>9.4999999999999998E-3</v>
      </c>
      <c r="M404">
        <v>3.1</v>
      </c>
      <c r="N404">
        <v>40.96812293</v>
      </c>
      <c r="O404">
        <v>92.493348623870105</v>
      </c>
      <c r="P404">
        <v>11821.3251869711</v>
      </c>
      <c r="Q404">
        <v>28409.817800939902</v>
      </c>
      <c r="R404">
        <v>75286.017172490596</v>
      </c>
      <c r="S404">
        <v>111</v>
      </c>
      <c r="T404">
        <v>0.13</v>
      </c>
      <c r="U404">
        <v>0.22</v>
      </c>
    </row>
    <row r="405" spans="1:21" x14ac:dyDescent="0.25">
      <c r="A405" t="s">
        <v>121</v>
      </c>
      <c r="B405" t="s">
        <v>122</v>
      </c>
      <c r="C405">
        <v>7</v>
      </c>
      <c r="D405">
        <v>7</v>
      </c>
      <c r="E405">
        <v>49</v>
      </c>
      <c r="F405">
        <v>9236056.2960000001</v>
      </c>
      <c r="G405">
        <v>24475549.18</v>
      </c>
      <c r="H405">
        <v>3843123.0249999999</v>
      </c>
      <c r="I405">
        <v>3843.1230249999999</v>
      </c>
      <c r="J405">
        <v>3.8431230250000001</v>
      </c>
      <c r="K405">
        <v>8472.6258830000006</v>
      </c>
      <c r="L405" s="2">
        <v>1E-3</v>
      </c>
      <c r="M405">
        <v>3</v>
      </c>
      <c r="N405">
        <v>727.04522929999996</v>
      </c>
      <c r="O405" s="2">
        <v>2615.74748328133</v>
      </c>
      <c r="P405" s="2">
        <v>17897297.135248799</v>
      </c>
      <c r="Q405" s="2">
        <v>43012009.457459196</v>
      </c>
      <c r="R405" s="2">
        <v>113981825.06226701</v>
      </c>
      <c r="S405">
        <v>2615.7600000000002</v>
      </c>
      <c r="T405">
        <v>0.25</v>
      </c>
      <c r="U405">
        <v>0</v>
      </c>
    </row>
    <row r="406" spans="1:21" x14ac:dyDescent="0.25">
      <c r="A406" t="s">
        <v>119</v>
      </c>
      <c r="B406" t="s">
        <v>120</v>
      </c>
      <c r="C406">
        <v>7</v>
      </c>
      <c r="D406">
        <v>3</v>
      </c>
      <c r="E406">
        <v>21</v>
      </c>
      <c r="F406">
        <v>186004.12839999999</v>
      </c>
      <c r="G406">
        <v>492910.94010000001</v>
      </c>
      <c r="H406">
        <v>77396.31783</v>
      </c>
      <c r="I406">
        <v>77.396317830000001</v>
      </c>
      <c r="J406">
        <v>7.7396318000000006E-2</v>
      </c>
      <c r="K406">
        <v>170.62947019999999</v>
      </c>
      <c r="L406">
        <v>2.1399999999999999E-2</v>
      </c>
      <c r="M406">
        <v>2.96</v>
      </c>
      <c r="N406">
        <v>164.30247159999999</v>
      </c>
      <c r="O406" s="2">
        <v>132.28065322973401</v>
      </c>
      <c r="P406" s="2">
        <v>40742.053315997902</v>
      </c>
      <c r="Q406" s="2">
        <v>97914.091122321406</v>
      </c>
      <c r="R406" s="2">
        <v>259472.341474152</v>
      </c>
      <c r="S406">
        <v>133.76666666666699</v>
      </c>
      <c r="T406">
        <v>0.3</v>
      </c>
      <c r="U406">
        <v>6</v>
      </c>
    </row>
    <row r="407" spans="1:21" x14ac:dyDescent="0.25">
      <c r="A407" t="s">
        <v>89</v>
      </c>
      <c r="B407" t="s">
        <v>90</v>
      </c>
      <c r="C407">
        <v>7</v>
      </c>
      <c r="D407">
        <v>8</v>
      </c>
      <c r="E407">
        <v>56</v>
      </c>
      <c r="F407">
        <v>60000</v>
      </c>
      <c r="G407">
        <v>160000</v>
      </c>
      <c r="H407">
        <v>24966</v>
      </c>
      <c r="I407">
        <v>24.966000000000001</v>
      </c>
      <c r="J407">
        <v>2.4965999999999999E-2</v>
      </c>
      <c r="K407">
        <v>55.04054292</v>
      </c>
      <c r="L407" s="2">
        <v>0.05</v>
      </c>
      <c r="M407" s="2">
        <v>3.2</v>
      </c>
      <c r="N407">
        <v>183.45654730000001</v>
      </c>
      <c r="O407">
        <v>114.29726376783999</v>
      </c>
      <c r="P407">
        <v>2986.32793426841</v>
      </c>
      <c r="Q407">
        <v>7176.9476911040801</v>
      </c>
      <c r="R407">
        <v>19018.911381425802</v>
      </c>
      <c r="S407">
        <v>114.3</v>
      </c>
      <c r="T407">
        <v>0.19</v>
      </c>
      <c r="U407">
        <v>0</v>
      </c>
    </row>
    <row r="408" spans="1:21" x14ac:dyDescent="0.25">
      <c r="A408" t="s">
        <v>125</v>
      </c>
      <c r="B408" t="s">
        <v>126</v>
      </c>
      <c r="C408">
        <v>7</v>
      </c>
      <c r="D408">
        <v>1</v>
      </c>
      <c r="E408">
        <v>7</v>
      </c>
      <c r="F408">
        <v>9491.9490490000007</v>
      </c>
      <c r="G408">
        <v>25153.664980000001</v>
      </c>
      <c r="H408">
        <v>3949.599999</v>
      </c>
      <c r="I408">
        <v>3.9495999990000001</v>
      </c>
      <c r="J408">
        <v>3.9496000000000002E-3</v>
      </c>
      <c r="K408">
        <v>8.7073671499999996</v>
      </c>
      <c r="L408">
        <v>1.4999999999999999E-2</v>
      </c>
      <c r="M408">
        <v>2.9</v>
      </c>
      <c r="N408">
        <v>73.981780240000006</v>
      </c>
      <c r="O408">
        <v>68.464398684368305</v>
      </c>
      <c r="P408">
        <v>3154.5627713873801</v>
      </c>
      <c r="Q408">
        <v>7581.2611665161803</v>
      </c>
      <c r="R408">
        <v>20090.342091267899</v>
      </c>
      <c r="S408">
        <v>136</v>
      </c>
      <c r="T408">
        <v>0.1</v>
      </c>
      <c r="U408">
        <v>0</v>
      </c>
    </row>
    <row r="409" spans="1:21" x14ac:dyDescent="0.25">
      <c r="A409" t="s">
        <v>131</v>
      </c>
      <c r="B409" t="s">
        <v>132</v>
      </c>
      <c r="C409">
        <v>7</v>
      </c>
      <c r="D409">
        <v>2</v>
      </c>
      <c r="E409">
        <v>14</v>
      </c>
      <c r="F409">
        <v>3445.5659700000001</v>
      </c>
      <c r="G409">
        <v>9130.7498190000006</v>
      </c>
      <c r="H409">
        <v>1433.7</v>
      </c>
      <c r="I409">
        <v>1.4337</v>
      </c>
      <c r="J409">
        <v>1.4337E-3</v>
      </c>
      <c r="K409">
        <v>3.1607636939999999</v>
      </c>
      <c r="L409">
        <v>1.4E-2</v>
      </c>
      <c r="M409">
        <v>2.9</v>
      </c>
      <c r="N409">
        <v>53.419532879999998</v>
      </c>
      <c r="O409">
        <v>42.920980138027602</v>
      </c>
      <c r="P409">
        <v>760.09865717706396</v>
      </c>
      <c r="Q409">
        <v>1826.72111794536</v>
      </c>
      <c r="R409">
        <v>4840.8109625551997</v>
      </c>
      <c r="S409">
        <v>45.7</v>
      </c>
      <c r="T409">
        <v>0.2</v>
      </c>
      <c r="U409">
        <v>0</v>
      </c>
    </row>
    <row r="410" spans="1:21" x14ac:dyDescent="0.25">
      <c r="A410" t="s">
        <v>133</v>
      </c>
      <c r="B410" t="s">
        <v>134</v>
      </c>
      <c r="C410">
        <v>7</v>
      </c>
      <c r="D410">
        <v>3</v>
      </c>
      <c r="E410">
        <v>21</v>
      </c>
      <c r="F410">
        <v>13000</v>
      </c>
      <c r="G410">
        <v>34450</v>
      </c>
      <c r="H410">
        <v>5409.3</v>
      </c>
      <c r="I410">
        <v>5.4093</v>
      </c>
      <c r="J410">
        <v>5.4092999999999997E-3</v>
      </c>
      <c r="K410">
        <v>11.92545097</v>
      </c>
      <c r="L410">
        <v>1.2699999999999999E-2</v>
      </c>
      <c r="M410">
        <v>3.1</v>
      </c>
      <c r="N410">
        <v>65.450847319999994</v>
      </c>
      <c r="O410">
        <v>100.03996717916</v>
      </c>
      <c r="P410">
        <v>20153.092430026401</v>
      </c>
      <c r="Q410">
        <v>48433.291107970203</v>
      </c>
      <c r="R410">
        <v>128348.22143612101</v>
      </c>
      <c r="S410">
        <v>114</v>
      </c>
      <c r="T410">
        <v>0.1</v>
      </c>
      <c r="U410">
        <v>0</v>
      </c>
    </row>
    <row r="411" spans="1:21" x14ac:dyDescent="0.25">
      <c r="A411" t="s">
        <v>127</v>
      </c>
      <c r="B411" t="s">
        <v>128</v>
      </c>
      <c r="C411">
        <v>7</v>
      </c>
      <c r="D411">
        <v>2</v>
      </c>
      <c r="E411">
        <v>14</v>
      </c>
      <c r="F411">
        <v>3445.5659700000001</v>
      </c>
      <c r="G411">
        <v>9130.7498190000006</v>
      </c>
      <c r="H411">
        <v>1433.7</v>
      </c>
      <c r="I411">
        <v>1.4337</v>
      </c>
      <c r="J411">
        <v>1.4337E-3</v>
      </c>
      <c r="K411">
        <v>3.1607636939999999</v>
      </c>
      <c r="L411">
        <v>1.4E-2</v>
      </c>
      <c r="M411">
        <v>3</v>
      </c>
      <c r="N411">
        <v>46.785371589999997</v>
      </c>
      <c r="O411">
        <v>61.401599557901797</v>
      </c>
      <c r="P411">
        <v>3240.9108939090602</v>
      </c>
      <c r="Q411">
        <v>7788.77888466488</v>
      </c>
      <c r="R411">
        <v>20640.264044361898</v>
      </c>
      <c r="S411">
        <v>62.2</v>
      </c>
      <c r="T411">
        <v>0.31</v>
      </c>
      <c r="U411">
        <v>-0.05</v>
      </c>
    </row>
    <row r="412" spans="1:21" x14ac:dyDescent="0.25">
      <c r="A412" t="s">
        <v>135</v>
      </c>
      <c r="B412" t="s">
        <v>136</v>
      </c>
      <c r="C412">
        <v>7</v>
      </c>
      <c r="D412">
        <v>2</v>
      </c>
      <c r="E412">
        <v>14</v>
      </c>
      <c r="F412">
        <v>3445.5659700000001</v>
      </c>
      <c r="G412">
        <v>9130.7498190000006</v>
      </c>
      <c r="H412">
        <v>1433.7</v>
      </c>
      <c r="I412">
        <v>1.4337</v>
      </c>
      <c r="J412">
        <v>1.4337E-3</v>
      </c>
      <c r="K412">
        <v>3.1607636939999999</v>
      </c>
      <c r="L412">
        <v>1.2E-2</v>
      </c>
      <c r="M412">
        <v>3</v>
      </c>
      <c r="N412">
        <v>49.252205150000002</v>
      </c>
      <c r="O412">
        <v>45.370547132718301</v>
      </c>
      <c r="P412">
        <v>1120.7359308993</v>
      </c>
      <c r="Q412">
        <v>2693.4292980035998</v>
      </c>
      <c r="R412">
        <v>7137.5876397095499</v>
      </c>
      <c r="S412">
        <v>60.5</v>
      </c>
      <c r="T412">
        <v>9.9000000000000005E-2</v>
      </c>
      <c r="U412">
        <v>0</v>
      </c>
    </row>
    <row r="413" spans="1:21" x14ac:dyDescent="0.25">
      <c r="A413" t="s">
        <v>129</v>
      </c>
      <c r="B413" t="s">
        <v>130</v>
      </c>
      <c r="C413">
        <v>7</v>
      </c>
      <c r="D413">
        <v>2</v>
      </c>
      <c r="E413">
        <v>14</v>
      </c>
      <c r="F413">
        <v>2275.6669069999998</v>
      </c>
      <c r="G413">
        <v>6030.517304</v>
      </c>
      <c r="H413">
        <v>946.90499999999997</v>
      </c>
      <c r="I413">
        <v>0.946905</v>
      </c>
      <c r="J413">
        <v>9.4690499999999995E-4</v>
      </c>
      <c r="K413">
        <v>2.0875657009999999</v>
      </c>
      <c r="L413">
        <v>1.2500000000000001E-2</v>
      </c>
      <c r="M413">
        <v>2.88</v>
      </c>
      <c r="N413">
        <v>49.457807510000002</v>
      </c>
      <c r="O413">
        <v>71.461012665231095</v>
      </c>
      <c r="P413">
        <v>2732.9344287040599</v>
      </c>
      <c r="Q413">
        <v>6567.9750749917403</v>
      </c>
      <c r="R413">
        <v>17405.1339487281</v>
      </c>
      <c r="S413">
        <v>158</v>
      </c>
      <c r="T413">
        <v>4.2999999999999997E-2</v>
      </c>
      <c r="U413">
        <v>0</v>
      </c>
    </row>
    <row r="414" spans="1:21" x14ac:dyDescent="0.25">
      <c r="A414" t="s">
        <v>137</v>
      </c>
      <c r="B414" t="s">
        <v>138</v>
      </c>
      <c r="C414">
        <v>7</v>
      </c>
      <c r="D414">
        <v>1</v>
      </c>
      <c r="E414">
        <v>7</v>
      </c>
      <c r="F414">
        <v>2118.4811340000001</v>
      </c>
      <c r="G414">
        <v>5613.9750059999997</v>
      </c>
      <c r="H414">
        <v>881.49999990000003</v>
      </c>
      <c r="I414">
        <v>0.88149999999999995</v>
      </c>
      <c r="J414">
        <v>8.8150000000000001E-4</v>
      </c>
      <c r="K414">
        <v>1.94337253</v>
      </c>
      <c r="L414">
        <v>1.2500000000000001E-2</v>
      </c>
      <c r="M414">
        <v>2.82</v>
      </c>
      <c r="N414">
        <v>52.391361189999998</v>
      </c>
      <c r="O414">
        <v>45.207639893475097</v>
      </c>
      <c r="P414">
        <v>581.57722029877402</v>
      </c>
      <c r="Q414">
        <v>1397.68618192448</v>
      </c>
      <c r="R414">
        <v>3703.8683820998599</v>
      </c>
      <c r="S414">
        <v>50</v>
      </c>
      <c r="T414">
        <v>0.33500000000000002</v>
      </c>
      <c r="U414">
        <v>0</v>
      </c>
    </row>
    <row r="415" spans="1:21" x14ac:dyDescent="0.25">
      <c r="A415" t="s">
        <v>21</v>
      </c>
      <c r="B415" t="s">
        <v>22</v>
      </c>
      <c r="C415">
        <v>8</v>
      </c>
      <c r="D415">
        <v>1</v>
      </c>
      <c r="E415">
        <v>8</v>
      </c>
      <c r="F415">
        <v>314.44364339999998</v>
      </c>
      <c r="G415">
        <v>833.27565500000003</v>
      </c>
      <c r="H415">
        <v>130.84</v>
      </c>
      <c r="I415">
        <v>0.13084000000000001</v>
      </c>
      <c r="J415">
        <v>1.3083999999999999E-4</v>
      </c>
      <c r="K415">
        <v>0.28845248099999998</v>
      </c>
      <c r="L415">
        <v>1.6E-2</v>
      </c>
      <c r="M415">
        <v>3</v>
      </c>
      <c r="N415">
        <v>20.14683599</v>
      </c>
      <c r="O415">
        <v>11.858873271901199</v>
      </c>
      <c r="P415">
        <v>26.6839591327501</v>
      </c>
      <c r="Q415">
        <v>64.128716973684504</v>
      </c>
      <c r="R415">
        <v>169.941099980264</v>
      </c>
      <c r="S415">
        <v>13.8</v>
      </c>
      <c r="T415">
        <v>0.21</v>
      </c>
      <c r="U415">
        <v>-1.34</v>
      </c>
    </row>
    <row r="416" spans="1:21" x14ac:dyDescent="0.25">
      <c r="A416" t="s">
        <v>95</v>
      </c>
      <c r="B416" s="2" t="s">
        <v>96</v>
      </c>
      <c r="C416">
        <v>8</v>
      </c>
      <c r="D416">
        <v>2</v>
      </c>
      <c r="E416">
        <v>16</v>
      </c>
      <c r="F416">
        <v>2451.3338140000001</v>
      </c>
      <c r="G416">
        <v>6496.0346079999999</v>
      </c>
      <c r="H416">
        <v>1020</v>
      </c>
      <c r="I416">
        <v>1.02</v>
      </c>
      <c r="J416">
        <v>1.0200000000000001E-3</v>
      </c>
      <c r="K416">
        <v>2.2487124000000001</v>
      </c>
      <c r="L416">
        <v>0.01</v>
      </c>
      <c r="M416">
        <v>3</v>
      </c>
      <c r="N416">
        <v>42.275504699999999</v>
      </c>
      <c r="O416">
        <v>130.45634025894199</v>
      </c>
      <c r="P416">
        <v>29972.9397906187</v>
      </c>
      <c r="Q416">
        <v>72033.020405236006</v>
      </c>
      <c r="R416">
        <v>190887.50407387601</v>
      </c>
      <c r="S416">
        <v>136</v>
      </c>
      <c r="T416">
        <v>0.2</v>
      </c>
      <c r="U416">
        <v>0</v>
      </c>
    </row>
    <row r="417" spans="1:21" x14ac:dyDescent="0.25">
      <c r="A417" t="s">
        <v>101</v>
      </c>
      <c r="B417" t="s">
        <v>102</v>
      </c>
      <c r="C417">
        <v>8</v>
      </c>
      <c r="D417">
        <v>2</v>
      </c>
      <c r="E417">
        <v>16</v>
      </c>
      <c r="F417">
        <v>2451.3338140000001</v>
      </c>
      <c r="G417">
        <v>6496.0346079999999</v>
      </c>
      <c r="H417">
        <v>1020</v>
      </c>
      <c r="I417">
        <v>1.02</v>
      </c>
      <c r="J417">
        <v>1.0200000000000001E-3</v>
      </c>
      <c r="K417">
        <v>2.2487124000000001</v>
      </c>
      <c r="L417">
        <v>1.2E-2</v>
      </c>
      <c r="M417">
        <v>3.1</v>
      </c>
      <c r="N417">
        <v>38.916622109999999</v>
      </c>
      <c r="O417" s="2">
        <v>95.932072476032502</v>
      </c>
      <c r="P417" s="2">
        <v>16721.264219498698</v>
      </c>
      <c r="Q417" s="2">
        <v>40185.686660655498</v>
      </c>
      <c r="R417" s="2">
        <v>106492.069650737</v>
      </c>
      <c r="S417">
        <v>150.03333333333299</v>
      </c>
      <c r="T417">
        <v>0.11333333333333299</v>
      </c>
      <c r="U417">
        <v>7</v>
      </c>
    </row>
    <row r="418" spans="1:21" x14ac:dyDescent="0.25">
      <c r="A418" t="s">
        <v>37</v>
      </c>
      <c r="B418" t="s">
        <v>38</v>
      </c>
      <c r="C418">
        <v>8</v>
      </c>
      <c r="D418">
        <v>9</v>
      </c>
      <c r="E418">
        <v>72</v>
      </c>
      <c r="F418">
        <v>1772528860</v>
      </c>
      <c r="G418">
        <v>4697201480</v>
      </c>
      <c r="H418">
        <v>737549258.60000002</v>
      </c>
      <c r="I418">
        <v>737549.25859999994</v>
      </c>
      <c r="J418">
        <v>737.54925860000003</v>
      </c>
      <c r="K418">
        <v>1626015.8470000001</v>
      </c>
      <c r="L418" s="2">
        <v>6.0000000000000001E-3</v>
      </c>
      <c r="M418">
        <v>3</v>
      </c>
      <c r="N418">
        <v>1544.971047</v>
      </c>
      <c r="O418" s="2">
        <v>2097.36</v>
      </c>
      <c r="P418" s="2">
        <v>55356700.140481502</v>
      </c>
      <c r="Q418" s="2">
        <v>133037010.67166901</v>
      </c>
      <c r="R418" s="2">
        <v>352548078.27992302</v>
      </c>
      <c r="S418" s="2">
        <v>2097.36</v>
      </c>
      <c r="T418" s="2">
        <v>0.5</v>
      </c>
      <c r="U418" s="2">
        <v>0</v>
      </c>
    </row>
    <row r="419" spans="1:21" x14ac:dyDescent="0.25">
      <c r="A419" s="2" t="s">
        <v>31</v>
      </c>
      <c r="B419" t="s">
        <v>32</v>
      </c>
      <c r="C419">
        <v>8</v>
      </c>
      <c r="D419">
        <v>1</v>
      </c>
      <c r="E419">
        <v>8</v>
      </c>
      <c r="F419">
        <v>314.44364339999998</v>
      </c>
      <c r="G419">
        <v>833.27565500000003</v>
      </c>
      <c r="H419">
        <v>130.84000001874</v>
      </c>
      <c r="I419">
        <v>0.13084000001873999</v>
      </c>
      <c r="J419">
        <v>1.3084000001873999E-4</v>
      </c>
      <c r="K419">
        <v>0.28845248084131497</v>
      </c>
      <c r="L419" s="3">
        <v>1.1599999999999999E-2</v>
      </c>
      <c r="M419" s="3">
        <v>3</v>
      </c>
      <c r="N419">
        <v>22.4264663428077</v>
      </c>
      <c r="O419" s="2">
        <v>29.155042798247401</v>
      </c>
      <c r="P419" s="2">
        <v>287.474309221856</v>
      </c>
      <c r="Q419" s="2">
        <v>690.87793612558403</v>
      </c>
      <c r="R419" s="2">
        <v>1830.8265307327999</v>
      </c>
      <c r="S419" s="2">
        <v>29.1726666666667</v>
      </c>
      <c r="T419" s="2">
        <v>0.92646666666666699</v>
      </c>
      <c r="U419" s="2">
        <v>0</v>
      </c>
    </row>
    <row r="420" spans="1:21" x14ac:dyDescent="0.25">
      <c r="A420" t="s">
        <v>25</v>
      </c>
      <c r="B420" t="s">
        <v>26</v>
      </c>
      <c r="C420">
        <v>8</v>
      </c>
      <c r="D420">
        <v>3</v>
      </c>
      <c r="E420">
        <v>24</v>
      </c>
      <c r="F420">
        <v>187644.9615</v>
      </c>
      <c r="G420">
        <v>497259.14809999999</v>
      </c>
      <c r="H420">
        <v>78079.068480000002</v>
      </c>
      <c r="I420">
        <v>78.079068480000004</v>
      </c>
      <c r="J420">
        <v>7.8079068000000001E-2</v>
      </c>
      <c r="K420">
        <v>172.13467600000001</v>
      </c>
      <c r="L420">
        <v>2.1399999999999999E-2</v>
      </c>
      <c r="M420">
        <v>2.96</v>
      </c>
      <c r="N420">
        <v>164.790708</v>
      </c>
      <c r="O420">
        <v>311.61500444594401</v>
      </c>
      <c r="P420">
        <v>514664.39223161998</v>
      </c>
      <c r="Q420">
        <v>1236876.6936592599</v>
      </c>
      <c r="R420">
        <v>3277723.2381970501</v>
      </c>
      <c r="S420">
        <v>358.7</v>
      </c>
      <c r="T420">
        <v>9.1999999999999998E-2</v>
      </c>
      <c r="U420">
        <v>-1.929</v>
      </c>
    </row>
    <row r="421" spans="1:21" x14ac:dyDescent="0.25">
      <c r="A421" t="s">
        <v>33</v>
      </c>
      <c r="B421" t="s">
        <v>34</v>
      </c>
      <c r="C421">
        <v>8</v>
      </c>
      <c r="D421">
        <v>2</v>
      </c>
      <c r="E421">
        <v>16</v>
      </c>
      <c r="F421">
        <v>2451.3338140000001</v>
      </c>
      <c r="G421">
        <v>6496.0346079999999</v>
      </c>
      <c r="H421">
        <v>1020</v>
      </c>
      <c r="I421">
        <v>1.02</v>
      </c>
      <c r="J421">
        <v>1.0200000000000001E-3</v>
      </c>
      <c r="K421">
        <v>2.2487124000000001</v>
      </c>
      <c r="L421">
        <v>1.4999999999999999E-2</v>
      </c>
      <c r="M421">
        <v>3</v>
      </c>
      <c r="N421">
        <v>40.816551019999999</v>
      </c>
      <c r="O421">
        <v>57.075362949792002</v>
      </c>
      <c r="P421">
        <v>2788.9280146025999</v>
      </c>
      <c r="Q421">
        <v>6702.5426931088796</v>
      </c>
      <c r="R421">
        <v>17761.738136738499</v>
      </c>
      <c r="S421" s="4">
        <v>58.9</v>
      </c>
      <c r="T421" s="4">
        <v>0.22</v>
      </c>
      <c r="U421" s="4">
        <v>0.20699999999999999</v>
      </c>
    </row>
    <row r="422" spans="1:21" x14ac:dyDescent="0.25">
      <c r="A422" t="s">
        <v>29</v>
      </c>
      <c r="B422" t="s">
        <v>30</v>
      </c>
      <c r="C422">
        <v>8</v>
      </c>
      <c r="D422">
        <v>7</v>
      </c>
      <c r="E422" s="2">
        <v>56</v>
      </c>
      <c r="F422">
        <v>61342.911800000002</v>
      </c>
      <c r="G422">
        <v>162558.266</v>
      </c>
      <c r="H422">
        <v>25524.785599999999</v>
      </c>
      <c r="I422">
        <v>25.524785600000001</v>
      </c>
      <c r="J422">
        <v>2.5524786000000001E-2</v>
      </c>
      <c r="K422">
        <v>56.272452829999999</v>
      </c>
      <c r="L422">
        <v>3.2499999999999999E-3</v>
      </c>
      <c r="M422">
        <v>3</v>
      </c>
      <c r="N422">
        <v>198.7740015</v>
      </c>
      <c r="O422">
        <v>281.99073112187699</v>
      </c>
      <c r="P422">
        <v>72876.559528140206</v>
      </c>
      <c r="Q422">
        <v>175141.93590036099</v>
      </c>
      <c r="R422">
        <v>464126.13013595698</v>
      </c>
      <c r="S422">
        <v>282</v>
      </c>
      <c r="T422">
        <v>0.18</v>
      </c>
      <c r="U422">
        <v>-1.35</v>
      </c>
    </row>
    <row r="423" spans="1:21" x14ac:dyDescent="0.25">
      <c r="A423" t="s">
        <v>23</v>
      </c>
      <c r="B423" t="s">
        <v>24</v>
      </c>
      <c r="C423">
        <v>8</v>
      </c>
      <c r="D423">
        <v>3</v>
      </c>
      <c r="E423">
        <v>24</v>
      </c>
      <c r="F423">
        <v>187644.9615</v>
      </c>
      <c r="G423">
        <v>497259.14809999999</v>
      </c>
      <c r="H423">
        <v>78079.068480000002</v>
      </c>
      <c r="I423">
        <v>78.079068480000004</v>
      </c>
      <c r="J423">
        <v>7.8079068000000001E-2</v>
      </c>
      <c r="K423">
        <v>172.13467600000001</v>
      </c>
      <c r="L423">
        <v>2.5999999999999999E-2</v>
      </c>
      <c r="M423">
        <v>3</v>
      </c>
      <c r="N423">
        <v>209.75221239999999</v>
      </c>
      <c r="O423">
        <v>273.76640730768599</v>
      </c>
      <c r="P423">
        <v>164158.73057242401</v>
      </c>
      <c r="Q423">
        <v>394517.49716996902</v>
      </c>
      <c r="R423">
        <v>1045471.36750042</v>
      </c>
      <c r="S423">
        <v>314.89999999999998</v>
      </c>
      <c r="T423">
        <v>8.8999999999999996E-2</v>
      </c>
      <c r="U423">
        <v>-1.1299999999999999</v>
      </c>
    </row>
    <row r="424" spans="1:21" x14ac:dyDescent="0.25">
      <c r="A424" t="s">
        <v>27</v>
      </c>
      <c r="B424" t="s">
        <v>28</v>
      </c>
      <c r="C424">
        <v>8</v>
      </c>
      <c r="D424">
        <v>1</v>
      </c>
      <c r="E424">
        <v>8</v>
      </c>
      <c r="F424">
        <v>12774.81374</v>
      </c>
      <c r="G424">
        <v>33853.256419999998</v>
      </c>
      <c r="H424">
        <v>5315.5999970000003</v>
      </c>
      <c r="I424">
        <v>5.3155999969999996</v>
      </c>
      <c r="J424">
        <v>5.3156000000000002E-3</v>
      </c>
      <c r="K424">
        <v>11.718878070000001</v>
      </c>
      <c r="L424">
        <v>1.0999999999999999E-2</v>
      </c>
      <c r="M424">
        <v>2.9</v>
      </c>
      <c r="N424">
        <v>91.212642349999996</v>
      </c>
      <c r="O424">
        <v>75.308748758958799</v>
      </c>
      <c r="P424">
        <v>3049.61094600149</v>
      </c>
      <c r="Q424">
        <v>7329.0337563121702</v>
      </c>
      <c r="R424">
        <v>19421.939454227198</v>
      </c>
      <c r="S424">
        <v>81.53</v>
      </c>
      <c r="T424">
        <v>0.31</v>
      </c>
      <c r="U424">
        <v>-0.3</v>
      </c>
    </row>
    <row r="425" spans="1:21" x14ac:dyDescent="0.25">
      <c r="A425" t="s">
        <v>35</v>
      </c>
      <c r="B425" t="s">
        <v>36</v>
      </c>
      <c r="C425">
        <v>8</v>
      </c>
      <c r="D425">
        <v>1</v>
      </c>
      <c r="E425">
        <v>8</v>
      </c>
      <c r="F425">
        <v>314.44364339999998</v>
      </c>
      <c r="G425">
        <v>833.27565500000003</v>
      </c>
      <c r="H425">
        <v>130.84</v>
      </c>
      <c r="I425">
        <v>0.13084000000000001</v>
      </c>
      <c r="J425">
        <v>1.3083999999999999E-4</v>
      </c>
      <c r="K425">
        <v>0.28845248099999998</v>
      </c>
      <c r="L425">
        <v>2.1000000000000001E-2</v>
      </c>
      <c r="M425">
        <v>3</v>
      </c>
      <c r="N425">
        <v>18.400957129999998</v>
      </c>
      <c r="O425">
        <v>20.9996492931805</v>
      </c>
      <c r="P425">
        <v>194.471256475155</v>
      </c>
      <c r="Q425">
        <v>467.366634162835</v>
      </c>
      <c r="R425">
        <v>1238.5215805315099</v>
      </c>
      <c r="S425" s="4">
        <v>21.02</v>
      </c>
      <c r="T425" s="4">
        <v>0.86</v>
      </c>
      <c r="U425" s="4">
        <v>-6.9989999999999997E-2</v>
      </c>
    </row>
    <row r="426" spans="1:21" x14ac:dyDescent="0.25">
      <c r="A426" t="s">
        <v>39</v>
      </c>
      <c r="B426" t="s">
        <v>40</v>
      </c>
      <c r="C426">
        <v>8</v>
      </c>
      <c r="D426">
        <v>2</v>
      </c>
      <c r="E426">
        <v>16</v>
      </c>
      <c r="F426">
        <v>52871.905789999997</v>
      </c>
      <c r="G426">
        <v>140110.5503</v>
      </c>
      <c r="H426">
        <v>22000</v>
      </c>
      <c r="I426">
        <v>22</v>
      </c>
      <c r="J426">
        <v>2.1999999999999999E-2</v>
      </c>
      <c r="K426">
        <v>48.501640000000002</v>
      </c>
      <c r="L426">
        <v>1.2E-2</v>
      </c>
      <c r="M426">
        <v>3</v>
      </c>
      <c r="N426">
        <v>122.39034100000001</v>
      </c>
      <c r="O426">
        <v>124.589276776479</v>
      </c>
      <c r="P426">
        <v>23207.226476381598</v>
      </c>
      <c r="Q426">
        <v>55773.195088636297</v>
      </c>
      <c r="R426">
        <v>147798.96698488601</v>
      </c>
      <c r="S426">
        <v>150.93</v>
      </c>
      <c r="T426">
        <v>0.11</v>
      </c>
      <c r="U426">
        <v>0.13</v>
      </c>
    </row>
    <row r="427" spans="1:21" x14ac:dyDescent="0.25">
      <c r="A427" t="s">
        <v>45</v>
      </c>
      <c r="B427" t="s">
        <v>46</v>
      </c>
      <c r="C427">
        <v>8</v>
      </c>
      <c r="D427">
        <v>5</v>
      </c>
      <c r="E427">
        <v>40</v>
      </c>
      <c r="F427">
        <v>7633.7023829999998</v>
      </c>
      <c r="G427">
        <v>20229.311320000001</v>
      </c>
      <c r="H427">
        <v>3176.383562</v>
      </c>
      <c r="I427">
        <v>3.1763835619999998</v>
      </c>
      <c r="J427">
        <v>3.176384E-3</v>
      </c>
      <c r="K427">
        <v>7.0027187279999996</v>
      </c>
      <c r="L427">
        <v>3.96E-3</v>
      </c>
      <c r="M427">
        <v>3.2</v>
      </c>
      <c r="N427">
        <v>69.99617336</v>
      </c>
      <c r="O427" s="2">
        <v>300.67692214542598</v>
      </c>
      <c r="P427" s="2">
        <v>336988.82013305998</v>
      </c>
      <c r="Q427" s="2">
        <v>809874.59777231305</v>
      </c>
      <c r="R427" s="2">
        <v>2146167.6840966302</v>
      </c>
      <c r="S427" s="2">
        <v>300.78571428571399</v>
      </c>
      <c r="T427" s="2">
        <v>0.24014285714285699</v>
      </c>
      <c r="U427" s="2">
        <v>7</v>
      </c>
    </row>
    <row r="428" spans="1:21" x14ac:dyDescent="0.25">
      <c r="A428" t="s">
        <v>43</v>
      </c>
      <c r="B428" t="s">
        <v>44</v>
      </c>
      <c r="C428">
        <v>8</v>
      </c>
      <c r="D428">
        <v>2</v>
      </c>
      <c r="E428">
        <v>16</v>
      </c>
      <c r="F428">
        <v>2451.3338140000001</v>
      </c>
      <c r="G428">
        <v>6496.0346079999999</v>
      </c>
      <c r="H428">
        <v>1020</v>
      </c>
      <c r="I428">
        <v>1.02</v>
      </c>
      <c r="J428">
        <v>1.0200000000000001E-3</v>
      </c>
      <c r="K428">
        <v>2.2487124000000001</v>
      </c>
      <c r="L428">
        <v>1.44E-2</v>
      </c>
      <c r="M428">
        <v>3</v>
      </c>
      <c r="N428">
        <v>41.375751340000001</v>
      </c>
      <c r="O428" s="2">
        <v>47.596614563084003</v>
      </c>
      <c r="P428" s="2">
        <v>1552.7111885852801</v>
      </c>
      <c r="Q428" s="2">
        <v>3731.58180385791</v>
      </c>
      <c r="R428" s="2">
        <v>9888.6917802234693</v>
      </c>
      <c r="S428" s="2">
        <v>47.633333333333297</v>
      </c>
      <c r="T428" s="2">
        <v>0.44800000000000001</v>
      </c>
      <c r="U428" s="2">
        <v>0</v>
      </c>
    </row>
    <row r="429" spans="1:21" x14ac:dyDescent="0.25">
      <c r="A429" t="s">
        <v>53</v>
      </c>
      <c r="B429" t="s">
        <v>54</v>
      </c>
      <c r="C429">
        <v>8</v>
      </c>
      <c r="D429">
        <v>2</v>
      </c>
      <c r="E429">
        <v>16</v>
      </c>
      <c r="F429">
        <v>3970.9204519999998</v>
      </c>
      <c r="G429">
        <v>10522.939200000001</v>
      </c>
      <c r="H429">
        <v>1652.3</v>
      </c>
      <c r="I429">
        <v>1.6523000000000001</v>
      </c>
      <c r="J429">
        <v>1.6523E-3</v>
      </c>
      <c r="K429">
        <v>3.6426936259999998</v>
      </c>
      <c r="L429">
        <v>1.2E-2</v>
      </c>
      <c r="M429">
        <v>2.95</v>
      </c>
      <c r="N429">
        <v>55.208073880000001</v>
      </c>
      <c r="O429">
        <v>38.299135068517501</v>
      </c>
      <c r="P429">
        <v>561.80900521213903</v>
      </c>
      <c r="Q429">
        <v>1350.1778543911</v>
      </c>
      <c r="R429">
        <v>3577.97131413643</v>
      </c>
      <c r="S429">
        <v>41</v>
      </c>
      <c r="T429">
        <v>0.17</v>
      </c>
      <c r="U429">
        <v>0</v>
      </c>
    </row>
    <row r="430" spans="1:21" x14ac:dyDescent="0.25">
      <c r="A430" t="s">
        <v>57</v>
      </c>
      <c r="B430" t="s">
        <v>58</v>
      </c>
      <c r="C430">
        <v>8</v>
      </c>
      <c r="D430">
        <v>2</v>
      </c>
      <c r="E430">
        <v>16</v>
      </c>
      <c r="F430">
        <v>8090.60322</v>
      </c>
      <c r="G430">
        <v>21440.098529999999</v>
      </c>
      <c r="H430">
        <v>3366.5</v>
      </c>
      <c r="I430">
        <v>3.3664999999999998</v>
      </c>
      <c r="J430">
        <v>3.3665000000000001E-3</v>
      </c>
      <c r="K430">
        <v>7.42185323</v>
      </c>
      <c r="L430">
        <v>4.0000000000000001E-3</v>
      </c>
      <c r="M430">
        <v>3.1</v>
      </c>
      <c r="N430">
        <v>65.831265509999994</v>
      </c>
      <c r="O430">
        <v>72.778872474785601</v>
      </c>
      <c r="P430">
        <v>4548.8118772293401</v>
      </c>
      <c r="Q430">
        <v>10932.0160471746</v>
      </c>
      <c r="R430">
        <v>28969.842525012598</v>
      </c>
      <c r="S430">
        <v>72.900000000000006</v>
      </c>
      <c r="T430">
        <v>0.4</v>
      </c>
      <c r="U430">
        <v>0</v>
      </c>
    </row>
    <row r="431" spans="1:21" x14ac:dyDescent="0.25">
      <c r="A431" t="s">
        <v>59</v>
      </c>
      <c r="B431" t="s">
        <v>60</v>
      </c>
      <c r="C431">
        <v>8</v>
      </c>
      <c r="D431">
        <v>2</v>
      </c>
      <c r="E431">
        <v>16</v>
      </c>
      <c r="F431">
        <v>3970.9204519999998</v>
      </c>
      <c r="G431">
        <v>10522.939200000001</v>
      </c>
      <c r="H431">
        <v>1652.3</v>
      </c>
      <c r="I431">
        <v>1.6523000000000001</v>
      </c>
      <c r="J431">
        <v>1.6523E-3</v>
      </c>
      <c r="K431">
        <v>3.6426936259999998</v>
      </c>
      <c r="L431">
        <v>1.6799999999999999E-2</v>
      </c>
      <c r="M431">
        <v>3.1</v>
      </c>
      <c r="N431">
        <v>40.791912869999997</v>
      </c>
      <c r="O431">
        <v>175.68465062118801</v>
      </c>
      <c r="P431">
        <v>152751.020932416</v>
      </c>
      <c r="Q431">
        <v>367101.70856144303</v>
      </c>
      <c r="R431">
        <v>972819.52768782398</v>
      </c>
      <c r="S431">
        <v>263.2</v>
      </c>
      <c r="T431">
        <v>7.0000000000000007E-2</v>
      </c>
      <c r="U431">
        <v>0.27</v>
      </c>
    </row>
    <row r="432" spans="1:21" x14ac:dyDescent="0.25">
      <c r="A432" t="s">
        <v>61</v>
      </c>
      <c r="B432" t="s">
        <v>62</v>
      </c>
      <c r="C432">
        <v>8</v>
      </c>
      <c r="D432">
        <v>1</v>
      </c>
      <c r="E432">
        <v>8</v>
      </c>
      <c r="F432">
        <v>455.49146839999997</v>
      </c>
      <c r="G432">
        <v>1207.0523909999999</v>
      </c>
      <c r="H432">
        <v>189.53</v>
      </c>
      <c r="I432">
        <v>0.18953</v>
      </c>
      <c r="J432">
        <v>1.8953000000000001E-4</v>
      </c>
      <c r="K432">
        <v>0.41784162899999999</v>
      </c>
      <c r="L432">
        <v>1.2500000000000001E-2</v>
      </c>
      <c r="M432">
        <v>3</v>
      </c>
      <c r="N432">
        <v>24.750804309999999</v>
      </c>
      <c r="O432">
        <v>30.5934964373497</v>
      </c>
      <c r="P432">
        <v>357.92938568447698</v>
      </c>
      <c r="Q432">
        <v>860.20039818427495</v>
      </c>
      <c r="R432">
        <v>2279.5310551883299</v>
      </c>
      <c r="S432">
        <v>33.700000000000003</v>
      </c>
      <c r="T432">
        <v>0.32</v>
      </c>
      <c r="U432">
        <v>0.55000000000000004</v>
      </c>
    </row>
    <row r="433" spans="1:21" x14ac:dyDescent="0.25">
      <c r="A433" t="s">
        <v>63</v>
      </c>
      <c r="B433" t="s">
        <v>64</v>
      </c>
      <c r="C433">
        <v>8</v>
      </c>
      <c r="D433">
        <v>2</v>
      </c>
      <c r="E433">
        <v>16</v>
      </c>
      <c r="F433">
        <v>2451.3338140000001</v>
      </c>
      <c r="G433">
        <v>6496.0346079999999</v>
      </c>
      <c r="H433">
        <v>1020</v>
      </c>
      <c r="I433">
        <v>1.02</v>
      </c>
      <c r="J433">
        <v>1.0200000000000001E-3</v>
      </c>
      <c r="K433">
        <v>2.2487124000000001</v>
      </c>
      <c r="L433">
        <v>1.2E-2</v>
      </c>
      <c r="M433">
        <v>3.1</v>
      </c>
      <c r="N433">
        <v>38.916622109999999</v>
      </c>
      <c r="O433">
        <v>42.477494508301596</v>
      </c>
      <c r="P433">
        <v>1338.0545295157699</v>
      </c>
      <c r="Q433">
        <v>3215.7042285887301</v>
      </c>
      <c r="R433">
        <v>8521.6162057601505</v>
      </c>
      <c r="S433">
        <v>42.5</v>
      </c>
      <c r="T433">
        <v>0.47</v>
      </c>
      <c r="U433">
        <v>0.05</v>
      </c>
    </row>
    <row r="434" spans="1:21" x14ac:dyDescent="0.25">
      <c r="A434" t="s">
        <v>65</v>
      </c>
      <c r="B434" t="s">
        <v>66</v>
      </c>
      <c r="C434">
        <v>8</v>
      </c>
      <c r="D434">
        <v>3</v>
      </c>
      <c r="E434">
        <v>24</v>
      </c>
      <c r="F434">
        <v>18000</v>
      </c>
      <c r="G434">
        <v>40770</v>
      </c>
      <c r="H434">
        <v>7489.8</v>
      </c>
      <c r="I434">
        <v>7.4897999999999998</v>
      </c>
      <c r="J434">
        <v>7.4897999999999996E-3</v>
      </c>
      <c r="K434">
        <v>16.512162880000002</v>
      </c>
      <c r="L434">
        <v>1.2699999999999999E-2</v>
      </c>
      <c r="M434">
        <v>3.1</v>
      </c>
      <c r="N434">
        <v>72.695130840000004</v>
      </c>
      <c r="O434">
        <v>52.690052007873</v>
      </c>
      <c r="P434">
        <v>2761.6107551957498</v>
      </c>
      <c r="Q434">
        <v>6636.8919855701697</v>
      </c>
      <c r="R434">
        <v>17587.7637617609</v>
      </c>
      <c r="S434">
        <v>52.7</v>
      </c>
      <c r="T434">
        <v>0.35</v>
      </c>
      <c r="U434">
        <v>-0.5</v>
      </c>
    </row>
    <row r="435" spans="1:21" x14ac:dyDescent="0.25">
      <c r="A435" t="s">
        <v>67</v>
      </c>
      <c r="B435" t="s">
        <v>68</v>
      </c>
      <c r="C435">
        <v>8</v>
      </c>
      <c r="D435">
        <v>1</v>
      </c>
      <c r="E435">
        <v>8</v>
      </c>
      <c r="F435">
        <v>607.61</v>
      </c>
      <c r="G435">
        <v>1610.16</v>
      </c>
      <c r="H435">
        <v>252.82652100000001</v>
      </c>
      <c r="I435">
        <v>0.25282652100000003</v>
      </c>
      <c r="J435">
        <v>2.5282700000000001E-4</v>
      </c>
      <c r="K435">
        <v>0.55738640500000003</v>
      </c>
      <c r="L435">
        <v>1.29E-2</v>
      </c>
      <c r="M435">
        <v>3.05</v>
      </c>
      <c r="N435">
        <v>25.54403387</v>
      </c>
      <c r="O435">
        <v>37.601032488468398</v>
      </c>
      <c r="P435">
        <v>822.14611713593297</v>
      </c>
      <c r="Q435">
        <v>1975.8378205622</v>
      </c>
      <c r="R435">
        <v>5235.9702244898399</v>
      </c>
      <c r="S435">
        <v>40.6</v>
      </c>
      <c r="T435">
        <v>0.27</v>
      </c>
      <c r="U435">
        <v>-1.65</v>
      </c>
    </row>
    <row r="436" spans="1:21" x14ac:dyDescent="0.25">
      <c r="A436" t="s">
        <v>69</v>
      </c>
      <c r="B436" t="s">
        <v>70</v>
      </c>
      <c r="C436">
        <v>8</v>
      </c>
      <c r="D436">
        <v>1</v>
      </c>
      <c r="E436">
        <v>8</v>
      </c>
      <c r="F436">
        <v>345.5659698</v>
      </c>
      <c r="G436">
        <v>915.74981979999995</v>
      </c>
      <c r="H436">
        <v>143.79</v>
      </c>
      <c r="I436">
        <v>0.14379</v>
      </c>
      <c r="J436">
        <v>1.4379E-4</v>
      </c>
      <c r="K436">
        <v>0.31700231000000001</v>
      </c>
      <c r="L436">
        <v>0.01</v>
      </c>
      <c r="M436">
        <v>2.9</v>
      </c>
      <c r="N436">
        <v>27.145606300000001</v>
      </c>
      <c r="O436">
        <v>32.260647138796898</v>
      </c>
      <c r="P436">
        <v>237.220336363054</v>
      </c>
      <c r="Q436">
        <v>570.10414891385301</v>
      </c>
      <c r="R436">
        <v>1510.77599462171</v>
      </c>
      <c r="S436">
        <v>37.700000000000003</v>
      </c>
      <c r="T436">
        <v>0.24199999999999999</v>
      </c>
      <c r="U436">
        <v>0</v>
      </c>
    </row>
    <row r="437" spans="1:21" x14ac:dyDescent="0.25">
      <c r="A437" s="2" t="s">
        <v>71</v>
      </c>
      <c r="B437" t="s">
        <v>72</v>
      </c>
      <c r="C437">
        <v>8</v>
      </c>
      <c r="D437">
        <v>1</v>
      </c>
      <c r="E437">
        <v>8</v>
      </c>
      <c r="F437">
        <v>5.1309781299999999</v>
      </c>
      <c r="G437">
        <v>13.597092050000001</v>
      </c>
      <c r="H437">
        <v>2.134999999893</v>
      </c>
      <c r="I437">
        <v>2.1349999998929998E-3</v>
      </c>
      <c r="J437">
        <v>2.1349999998930001E-6</v>
      </c>
      <c r="K437">
        <v>4.7068636997641099E-3</v>
      </c>
      <c r="L437" s="3">
        <v>1.0999999999999999E-2</v>
      </c>
      <c r="M437" s="3">
        <v>3.01</v>
      </c>
      <c r="N437">
        <v>5.7561833111503402</v>
      </c>
      <c r="O437" s="2">
        <v>8.4800254561105906</v>
      </c>
      <c r="P437" s="2">
        <v>6.8528010659645897</v>
      </c>
      <c r="Q437" s="2">
        <v>16.469120562279699</v>
      </c>
      <c r="R437" s="2">
        <v>43.643169490041302</v>
      </c>
      <c r="S437">
        <v>9</v>
      </c>
      <c r="T437">
        <v>0.32</v>
      </c>
      <c r="U437">
        <v>-0.91</v>
      </c>
    </row>
    <row r="438" spans="1:21" x14ac:dyDescent="0.25">
      <c r="A438" s="2" t="s">
        <v>49</v>
      </c>
      <c r="B438" t="s">
        <v>50</v>
      </c>
      <c r="C438">
        <v>8</v>
      </c>
      <c r="D438">
        <v>1</v>
      </c>
      <c r="E438">
        <v>8</v>
      </c>
      <c r="F438">
        <v>2451.3338140000001</v>
      </c>
      <c r="G438">
        <v>6496.0346079999999</v>
      </c>
      <c r="H438">
        <v>1020.0000000054</v>
      </c>
      <c r="I438">
        <v>1.0200000000053999</v>
      </c>
      <c r="J438">
        <v>1.0200000000054001E-3</v>
      </c>
      <c r="K438">
        <v>2.2487124000118999</v>
      </c>
      <c r="L438" s="3">
        <v>1.2E-2</v>
      </c>
      <c r="M438" s="3">
        <v>3.1</v>
      </c>
      <c r="N438">
        <v>38.916622113975301</v>
      </c>
      <c r="O438" s="2">
        <v>45.324270369567799</v>
      </c>
      <c r="P438" s="2">
        <v>1636.08850313776</v>
      </c>
      <c r="Q438" s="2">
        <v>3931.9598729578402</v>
      </c>
      <c r="R438" s="2">
        <v>10419.693663338299</v>
      </c>
      <c r="S438" s="2">
        <v>54.3</v>
      </c>
      <c r="T438" s="2">
        <v>0.22500000000000001</v>
      </c>
      <c r="U438" s="2">
        <v>0</v>
      </c>
    </row>
    <row r="439" spans="1:21" x14ac:dyDescent="0.25">
      <c r="A439" t="s">
        <v>55</v>
      </c>
      <c r="B439" t="s">
        <v>56</v>
      </c>
      <c r="C439">
        <v>8</v>
      </c>
      <c r="D439">
        <v>1</v>
      </c>
      <c r="E439">
        <v>8</v>
      </c>
      <c r="F439">
        <v>10846.19082</v>
      </c>
      <c r="G439">
        <v>28742.40567</v>
      </c>
      <c r="H439">
        <v>4513.1000000000004</v>
      </c>
      <c r="I439">
        <v>4.5130999999999997</v>
      </c>
      <c r="J439">
        <v>4.5130999999999999E-3</v>
      </c>
      <c r="K439">
        <v>9.9496705219999999</v>
      </c>
      <c r="L439">
        <v>1.2999999999999999E-2</v>
      </c>
      <c r="M439">
        <v>3</v>
      </c>
      <c r="N439">
        <v>70.281960589999997</v>
      </c>
      <c r="O439">
        <v>80.869193943099205</v>
      </c>
      <c r="P439">
        <v>6875.3164990699797</v>
      </c>
      <c r="Q439">
        <v>16523.231192189302</v>
      </c>
      <c r="R439">
        <v>43786.5626593017</v>
      </c>
      <c r="S439">
        <v>152</v>
      </c>
      <c r="T439">
        <v>9.6000000000000002E-2</v>
      </c>
      <c r="U439">
        <v>0.09</v>
      </c>
    </row>
    <row r="440" spans="1:21" x14ac:dyDescent="0.25">
      <c r="A440" t="s">
        <v>75</v>
      </c>
      <c r="B440" t="s">
        <v>76</v>
      </c>
      <c r="C440">
        <v>8</v>
      </c>
      <c r="D440">
        <v>2</v>
      </c>
      <c r="E440">
        <v>16</v>
      </c>
      <c r="F440">
        <v>2451.3338140000001</v>
      </c>
      <c r="G440">
        <v>6496.0346079999999</v>
      </c>
      <c r="H440">
        <v>1020</v>
      </c>
      <c r="I440">
        <v>1.02</v>
      </c>
      <c r="J440">
        <v>1.0200000000000001E-3</v>
      </c>
      <c r="K440">
        <v>2.2487124000000001</v>
      </c>
      <c r="L440">
        <v>2.5000000000000001E-3</v>
      </c>
      <c r="M440">
        <v>3.1</v>
      </c>
      <c r="N440">
        <v>64.549127330000005</v>
      </c>
      <c r="O440">
        <v>99.978460452262397</v>
      </c>
      <c r="P440">
        <v>3959.5878935679498</v>
      </c>
      <c r="Q440">
        <v>9515.9526401536805</v>
      </c>
      <c r="R440">
        <v>25217.274496407299</v>
      </c>
      <c r="S440">
        <v>122</v>
      </c>
      <c r="T440">
        <v>0.107</v>
      </c>
      <c r="U440">
        <v>0</v>
      </c>
    </row>
    <row r="441" spans="1:21" x14ac:dyDescent="0.25">
      <c r="A441" t="s">
        <v>73</v>
      </c>
      <c r="B441" t="s">
        <v>74</v>
      </c>
      <c r="C441">
        <v>8</v>
      </c>
      <c r="D441">
        <v>2</v>
      </c>
      <c r="E441">
        <v>16</v>
      </c>
      <c r="F441">
        <v>2451.3338140000001</v>
      </c>
      <c r="G441">
        <v>6496.0346079999999</v>
      </c>
      <c r="H441">
        <v>1020</v>
      </c>
      <c r="I441">
        <v>1.02</v>
      </c>
      <c r="J441">
        <v>1.0200000000000001E-3</v>
      </c>
      <c r="K441">
        <v>2.2487124000000001</v>
      </c>
      <c r="L441">
        <v>1.4E-2</v>
      </c>
      <c r="M441">
        <v>2.8</v>
      </c>
      <c r="N441">
        <v>54.525190479999999</v>
      </c>
      <c r="O441">
        <v>42.980135079352401</v>
      </c>
      <c r="P441">
        <v>523.93547948044704</v>
      </c>
      <c r="Q441">
        <v>1259.157605096</v>
      </c>
      <c r="R441">
        <v>3336.7676535044102</v>
      </c>
      <c r="S441">
        <v>43</v>
      </c>
      <c r="T441">
        <v>0.48</v>
      </c>
      <c r="U441">
        <v>0</v>
      </c>
    </row>
    <row r="442" spans="1:21" x14ac:dyDescent="0.25">
      <c r="A442" s="2" t="s">
        <v>51</v>
      </c>
      <c r="B442" t="s">
        <v>52</v>
      </c>
      <c r="C442">
        <v>8</v>
      </c>
      <c r="D442">
        <v>1</v>
      </c>
      <c r="E442">
        <v>8</v>
      </c>
      <c r="F442">
        <v>3970.9204519999998</v>
      </c>
      <c r="G442">
        <v>10522.939200000001</v>
      </c>
      <c r="H442">
        <v>1652.3000000771999</v>
      </c>
      <c r="I442">
        <v>1.6523000000771999</v>
      </c>
      <c r="J442">
        <v>1.6523000000772E-3</v>
      </c>
      <c r="K442">
        <v>3.6426936261702001</v>
      </c>
      <c r="L442" s="3">
        <v>1.24E-2</v>
      </c>
      <c r="M442" s="3">
        <v>3.2</v>
      </c>
      <c r="N442">
        <v>39.944639456634</v>
      </c>
      <c r="O442" s="2">
        <v>16.7978995025559</v>
      </c>
      <c r="P442" s="2">
        <v>103.33266183026301</v>
      </c>
      <c r="Q442" s="2">
        <v>248.33612552334299</v>
      </c>
      <c r="R442" s="2">
        <v>658.09073263685798</v>
      </c>
      <c r="S442">
        <v>20.9</v>
      </c>
      <c r="T442">
        <v>0.19500000000000001</v>
      </c>
      <c r="U442">
        <v>-0.35</v>
      </c>
    </row>
    <row r="443" spans="1:21" x14ac:dyDescent="0.25">
      <c r="A443" t="s">
        <v>85</v>
      </c>
      <c r="B443" t="s">
        <v>86</v>
      </c>
      <c r="C443">
        <v>8</v>
      </c>
      <c r="D443">
        <v>7</v>
      </c>
      <c r="E443">
        <v>56</v>
      </c>
      <c r="F443">
        <v>61342.911800000002</v>
      </c>
      <c r="G443">
        <v>162558.266</v>
      </c>
      <c r="H443">
        <v>25524.785599999999</v>
      </c>
      <c r="I443">
        <v>25.524785600000001</v>
      </c>
      <c r="J443">
        <v>2.5524786000000001E-2</v>
      </c>
      <c r="K443">
        <v>56.272452829999999</v>
      </c>
      <c r="L443">
        <v>5.2399999999999999E-3</v>
      </c>
      <c r="M443">
        <v>3.141</v>
      </c>
      <c r="N443">
        <v>134.6296327</v>
      </c>
      <c r="O443" s="2">
        <v>308.86043578488801</v>
      </c>
      <c r="P443" s="2">
        <v>346477.15773133398</v>
      </c>
      <c r="Q443" s="2">
        <v>832677.62011856202</v>
      </c>
      <c r="R443" s="2">
        <v>2206595.69331419</v>
      </c>
      <c r="S443">
        <v>309.24444444444401</v>
      </c>
      <c r="T443">
        <v>0.13655555555555601</v>
      </c>
      <c r="U443">
        <v>7</v>
      </c>
    </row>
    <row r="444" spans="1:21" x14ac:dyDescent="0.25">
      <c r="A444" t="s">
        <v>77</v>
      </c>
      <c r="B444" t="s">
        <v>78</v>
      </c>
      <c r="C444">
        <v>8</v>
      </c>
      <c r="D444">
        <v>3</v>
      </c>
      <c r="E444">
        <v>24</v>
      </c>
      <c r="F444">
        <v>184322.0116</v>
      </c>
      <c r="G444">
        <v>488453.3308</v>
      </c>
      <c r="H444">
        <v>76696.389030000006</v>
      </c>
      <c r="I444">
        <v>76.696389030000006</v>
      </c>
      <c r="J444">
        <v>7.6696389000000004E-2</v>
      </c>
      <c r="K444">
        <v>169.0863932</v>
      </c>
      <c r="L444">
        <v>3.5000000000000003E-2</v>
      </c>
      <c r="M444">
        <v>2.9</v>
      </c>
      <c r="N444">
        <v>153.62102049999999</v>
      </c>
      <c r="O444" s="2">
        <v>208.405719503136</v>
      </c>
      <c r="P444" s="2">
        <v>185740.23119995199</v>
      </c>
      <c r="Q444" s="2">
        <v>446383.63662569498</v>
      </c>
      <c r="R444" s="2">
        <v>1182916.63705809</v>
      </c>
      <c r="S444">
        <v>208.40700000000001</v>
      </c>
      <c r="T444">
        <v>0.5</v>
      </c>
      <c r="U444">
        <v>0</v>
      </c>
    </row>
    <row r="445" spans="1:21" x14ac:dyDescent="0.25">
      <c r="A445" t="s">
        <v>79</v>
      </c>
      <c r="B445" t="s">
        <v>80</v>
      </c>
      <c r="C445">
        <v>8</v>
      </c>
      <c r="D445">
        <v>2</v>
      </c>
      <c r="E445">
        <v>16</v>
      </c>
      <c r="F445">
        <v>3970.9204519999998</v>
      </c>
      <c r="G445">
        <v>10522.939200000001</v>
      </c>
      <c r="H445">
        <v>1652.3</v>
      </c>
      <c r="I445">
        <v>1.6523000000000001</v>
      </c>
      <c r="J445">
        <v>1.6523E-3</v>
      </c>
      <c r="K445">
        <v>3.6426936259999998</v>
      </c>
      <c r="L445">
        <v>3.3999999999999998E-3</v>
      </c>
      <c r="M445">
        <v>3.2850000000000001</v>
      </c>
      <c r="N445">
        <v>39.944639459999998</v>
      </c>
      <c r="O445">
        <v>55.954102209858497</v>
      </c>
      <c r="P445">
        <v>4858.2948320605801</v>
      </c>
      <c r="Q445">
        <v>11675.786666812201</v>
      </c>
      <c r="R445">
        <v>30940.834667052401</v>
      </c>
      <c r="S445">
        <v>59.9</v>
      </c>
      <c r="T445">
        <v>0.17</v>
      </c>
      <c r="U445">
        <v>0</v>
      </c>
    </row>
    <row r="446" spans="1:21" x14ac:dyDescent="0.25">
      <c r="A446" t="s">
        <v>81</v>
      </c>
      <c r="B446" t="s">
        <v>82</v>
      </c>
      <c r="C446">
        <v>8</v>
      </c>
      <c r="D446">
        <v>2</v>
      </c>
      <c r="E446">
        <v>16</v>
      </c>
      <c r="F446">
        <v>2451.3338140000001</v>
      </c>
      <c r="G446">
        <v>6496.0346079999999</v>
      </c>
      <c r="H446">
        <v>1020</v>
      </c>
      <c r="I446">
        <v>1.02</v>
      </c>
      <c r="J446">
        <v>1.0200000000000001E-3</v>
      </c>
      <c r="K446">
        <v>2.2487124000000001</v>
      </c>
      <c r="L446">
        <v>1.4999999999999999E-2</v>
      </c>
      <c r="M446">
        <v>3</v>
      </c>
      <c r="N446">
        <v>40.816551019999999</v>
      </c>
      <c r="O446">
        <v>99.017276030801298</v>
      </c>
      <c r="P446">
        <v>14562.1058367269</v>
      </c>
      <c r="Q446">
        <v>34996.649451398502</v>
      </c>
      <c r="R446">
        <v>92741.121046206099</v>
      </c>
      <c r="S446">
        <v>106</v>
      </c>
      <c r="T446">
        <v>0.17</v>
      </c>
      <c r="U446">
        <v>0</v>
      </c>
    </row>
    <row r="447" spans="1:21" x14ac:dyDescent="0.25">
      <c r="A447" t="s">
        <v>83</v>
      </c>
      <c r="B447" t="s">
        <v>84</v>
      </c>
      <c r="C447">
        <v>8</v>
      </c>
      <c r="D447">
        <v>7</v>
      </c>
      <c r="E447">
        <v>56</v>
      </c>
      <c r="F447">
        <v>61342.911800000002</v>
      </c>
      <c r="G447">
        <v>162558.266</v>
      </c>
      <c r="H447">
        <v>25524.785599999999</v>
      </c>
      <c r="I447">
        <v>25.524785600000001</v>
      </c>
      <c r="J447">
        <v>2.5524786000000001E-2</v>
      </c>
      <c r="K447">
        <v>56.272452829999999</v>
      </c>
      <c r="L447">
        <v>5.4000000000000003E-3</v>
      </c>
      <c r="M447">
        <v>3</v>
      </c>
      <c r="N447">
        <v>167.82479069999999</v>
      </c>
      <c r="O447">
        <v>279.577349801872</v>
      </c>
      <c r="P447">
        <v>118004.81030881401</v>
      </c>
      <c r="Q447">
        <v>283597.23698345199</v>
      </c>
      <c r="R447">
        <v>751532.67800614797</v>
      </c>
      <c r="S447">
        <v>280</v>
      </c>
      <c r="T447">
        <v>0.11600000000000001</v>
      </c>
      <c r="U447">
        <v>0</v>
      </c>
    </row>
    <row r="448" spans="1:21" x14ac:dyDescent="0.25">
      <c r="A448" t="s">
        <v>91</v>
      </c>
      <c r="B448" t="s">
        <v>92</v>
      </c>
      <c r="C448">
        <v>8</v>
      </c>
      <c r="D448">
        <v>2</v>
      </c>
      <c r="E448">
        <v>16</v>
      </c>
      <c r="F448">
        <v>2451.3338140000001</v>
      </c>
      <c r="G448">
        <v>6496.0346079999999</v>
      </c>
      <c r="H448">
        <v>1020</v>
      </c>
      <c r="I448">
        <v>1.02</v>
      </c>
      <c r="J448">
        <v>1.0200000000000001E-3</v>
      </c>
      <c r="K448">
        <v>2.2487124000000001</v>
      </c>
      <c r="L448">
        <v>1.2999999999999999E-2</v>
      </c>
      <c r="M448">
        <v>3</v>
      </c>
      <c r="N448">
        <v>42.810694490000003</v>
      </c>
      <c r="O448">
        <v>57.320339652449299</v>
      </c>
      <c r="P448">
        <v>2448.3281037301599</v>
      </c>
      <c r="Q448">
        <v>5883.98967491026</v>
      </c>
      <c r="R448">
        <v>15592.5726385122</v>
      </c>
      <c r="S448">
        <v>60.2</v>
      </c>
      <c r="T448">
        <v>0.19</v>
      </c>
      <c r="U448">
        <v>0</v>
      </c>
    </row>
    <row r="449" spans="1:21" x14ac:dyDescent="0.25">
      <c r="A449" t="s">
        <v>87</v>
      </c>
      <c r="B449" t="s">
        <v>88</v>
      </c>
      <c r="C449">
        <v>8</v>
      </c>
      <c r="D449">
        <v>2</v>
      </c>
      <c r="E449">
        <v>16</v>
      </c>
      <c r="F449">
        <v>2451.3338140000001</v>
      </c>
      <c r="G449">
        <v>6496.0346079999999</v>
      </c>
      <c r="H449">
        <v>1020</v>
      </c>
      <c r="I449">
        <v>1.02</v>
      </c>
      <c r="J449">
        <v>1.0200000000000001E-3</v>
      </c>
      <c r="K449">
        <v>2.2487124000000001</v>
      </c>
      <c r="L449">
        <v>6.0000000000000001E-3</v>
      </c>
      <c r="M449">
        <v>3.1</v>
      </c>
      <c r="N449">
        <v>48.667785760000001</v>
      </c>
      <c r="O449">
        <v>30.1097862621376</v>
      </c>
      <c r="P449">
        <v>230.2210527645</v>
      </c>
      <c r="Q449">
        <v>553.28299150324494</v>
      </c>
      <c r="R449">
        <v>1466.1999274836</v>
      </c>
      <c r="S449">
        <v>31.4</v>
      </c>
      <c r="T449">
        <v>0.19</v>
      </c>
      <c r="U449">
        <v>-0.8</v>
      </c>
    </row>
    <row r="450" spans="1:21" x14ac:dyDescent="0.25">
      <c r="A450" t="s">
        <v>93</v>
      </c>
      <c r="B450" t="s">
        <v>94</v>
      </c>
      <c r="C450">
        <v>8</v>
      </c>
      <c r="D450">
        <v>9</v>
      </c>
      <c r="E450">
        <v>72</v>
      </c>
      <c r="F450">
        <v>1772528860</v>
      </c>
      <c r="G450">
        <v>4697201480</v>
      </c>
      <c r="H450">
        <v>737549258.60000002</v>
      </c>
      <c r="I450">
        <v>737549.25859999994</v>
      </c>
      <c r="J450">
        <v>737.54925860000003</v>
      </c>
      <c r="K450">
        <v>1626015.8470000001</v>
      </c>
      <c r="L450" s="2">
        <v>1.7000000000000001E-2</v>
      </c>
      <c r="M450">
        <v>3</v>
      </c>
      <c r="N450">
        <v>1544.971047</v>
      </c>
      <c r="O450" s="2">
        <v>1584.95997586109</v>
      </c>
      <c r="P450" s="2">
        <v>67686774.722730204</v>
      </c>
      <c r="Q450" s="2">
        <v>162669489.840736</v>
      </c>
      <c r="R450" s="2">
        <v>431074148.07795</v>
      </c>
      <c r="S450">
        <v>1584.96</v>
      </c>
      <c r="T450" s="2">
        <v>0.25</v>
      </c>
      <c r="U450">
        <v>0</v>
      </c>
    </row>
    <row r="451" spans="1:21" x14ac:dyDescent="0.25">
      <c r="A451" t="s">
        <v>109</v>
      </c>
      <c r="B451" t="s">
        <v>110</v>
      </c>
      <c r="C451">
        <v>8</v>
      </c>
      <c r="D451">
        <v>5</v>
      </c>
      <c r="E451">
        <v>40</v>
      </c>
      <c r="F451">
        <v>7633.7023829999998</v>
      </c>
      <c r="G451">
        <v>20229.311320000001</v>
      </c>
      <c r="H451">
        <v>3176.383562</v>
      </c>
      <c r="I451">
        <v>3.1763835619999998</v>
      </c>
      <c r="J451">
        <v>3.176384E-3</v>
      </c>
      <c r="K451">
        <v>7.0027187279999996</v>
      </c>
      <c r="L451">
        <v>4.3E-3</v>
      </c>
      <c r="M451">
        <v>3.1</v>
      </c>
      <c r="N451">
        <v>78.172330489999993</v>
      </c>
      <c r="O451">
        <v>164.134573872179</v>
      </c>
      <c r="P451">
        <v>31665.6697956155</v>
      </c>
      <c r="Q451">
        <v>76101.105012294007</v>
      </c>
      <c r="R451">
        <v>201667.928282579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99</v>
      </c>
      <c r="B452" t="s">
        <v>100</v>
      </c>
      <c r="C452">
        <v>8</v>
      </c>
      <c r="D452">
        <v>2</v>
      </c>
      <c r="E452">
        <v>16</v>
      </c>
      <c r="F452">
        <v>2451.3338140000001</v>
      </c>
      <c r="G452">
        <v>6496.0346079999999</v>
      </c>
      <c r="H452">
        <v>1020</v>
      </c>
      <c r="I452">
        <v>1.02</v>
      </c>
      <c r="J452">
        <v>1.0200000000000001E-3</v>
      </c>
      <c r="K452">
        <v>2.2487124000000001</v>
      </c>
      <c r="L452">
        <v>1.4999999999999999E-2</v>
      </c>
      <c r="M452">
        <v>3.1</v>
      </c>
      <c r="N452">
        <v>36.213778660000003</v>
      </c>
      <c r="O452">
        <v>39.606910412320502</v>
      </c>
      <c r="P452">
        <v>1346.42216903089</v>
      </c>
      <c r="Q452">
        <v>3235.8139125952798</v>
      </c>
      <c r="R452">
        <v>8574.9068683774894</v>
      </c>
      <c r="S452">
        <v>42.4</v>
      </c>
      <c r="T452">
        <v>0.17</v>
      </c>
      <c r="U452">
        <v>0</v>
      </c>
    </row>
    <row r="453" spans="1:21" x14ac:dyDescent="0.25">
      <c r="A453" t="s">
        <v>97</v>
      </c>
      <c r="B453" t="s">
        <v>98</v>
      </c>
      <c r="C453">
        <v>8</v>
      </c>
      <c r="D453">
        <v>2</v>
      </c>
      <c r="E453">
        <v>16</v>
      </c>
      <c r="F453">
        <v>27187.840120000001</v>
      </c>
      <c r="G453">
        <v>72047.776320000004</v>
      </c>
      <c r="H453">
        <v>11312.860269999999</v>
      </c>
      <c r="I453">
        <v>11.31286027</v>
      </c>
      <c r="J453">
        <v>1.1312859999999999E-2</v>
      </c>
      <c r="K453">
        <v>24.940558020000001</v>
      </c>
      <c r="L453" s="2">
        <v>6.5000000000000002E-2</v>
      </c>
      <c r="M453">
        <v>3</v>
      </c>
      <c r="N453">
        <v>82.701643930000003</v>
      </c>
      <c r="O453">
        <v>23.599854996588501</v>
      </c>
      <c r="P453">
        <v>854.36089168224396</v>
      </c>
      <c r="Q453">
        <v>2053.2585716948902</v>
      </c>
      <c r="R453">
        <v>5441.1352149914601</v>
      </c>
      <c r="S453">
        <v>23.6</v>
      </c>
      <c r="T453">
        <v>0.75</v>
      </c>
      <c r="U453">
        <v>0</v>
      </c>
    </row>
    <row r="454" spans="1:21" x14ac:dyDescent="0.25">
      <c r="A454" s="2" t="s">
        <v>47</v>
      </c>
      <c r="B454" t="s">
        <v>48</v>
      </c>
      <c r="C454">
        <v>8</v>
      </c>
      <c r="D454">
        <v>1</v>
      </c>
      <c r="E454">
        <v>8</v>
      </c>
      <c r="F454">
        <v>345.5659698</v>
      </c>
      <c r="G454">
        <v>915.74981979999995</v>
      </c>
      <c r="H454">
        <v>143.79000003377999</v>
      </c>
      <c r="I454">
        <v>0.14379000003378001</v>
      </c>
      <c r="J454">
        <v>1.4379000003378E-4</v>
      </c>
      <c r="K454">
        <v>0.31700230987447198</v>
      </c>
      <c r="L454" s="3">
        <v>1.23E-2</v>
      </c>
      <c r="M454" s="3">
        <v>3.2</v>
      </c>
      <c r="N454">
        <v>18.672173165729799</v>
      </c>
      <c r="O454" s="2">
        <v>38.838335227464299</v>
      </c>
      <c r="P454" s="2">
        <v>1498.0939513752</v>
      </c>
      <c r="Q454" s="2">
        <v>3600.3219211132</v>
      </c>
      <c r="R454" s="2">
        <v>9540.8530909499696</v>
      </c>
      <c r="S454" s="2">
        <v>39.200000000000003</v>
      </c>
      <c r="T454" s="2">
        <v>0.58571428571428596</v>
      </c>
      <c r="U454" s="2">
        <v>0</v>
      </c>
    </row>
    <row r="455" spans="1:21" x14ac:dyDescent="0.25">
      <c r="A455" t="s">
        <v>103</v>
      </c>
      <c r="B455" t="s">
        <v>104</v>
      </c>
      <c r="C455">
        <v>8</v>
      </c>
      <c r="D455">
        <v>1</v>
      </c>
      <c r="E455">
        <v>8</v>
      </c>
      <c r="F455">
        <v>3436.6738770000002</v>
      </c>
      <c r="G455">
        <v>9107.1857729999992</v>
      </c>
      <c r="H455">
        <v>1430</v>
      </c>
      <c r="I455">
        <v>1.43</v>
      </c>
      <c r="J455">
        <v>1.4300000000000001E-3</v>
      </c>
      <c r="K455">
        <v>3.1526065999999999</v>
      </c>
      <c r="L455">
        <v>1.2999999999999999E-2</v>
      </c>
      <c r="M455">
        <v>2.8</v>
      </c>
      <c r="N455">
        <v>63.168037949999999</v>
      </c>
      <c r="O455">
        <v>49.904924582189203</v>
      </c>
      <c r="P455">
        <v>739.17093633582795</v>
      </c>
      <c r="Q455">
        <v>1776.4261868200599</v>
      </c>
      <c r="R455">
        <v>4707.5293950731702</v>
      </c>
      <c r="S455">
        <v>65.400000000000006</v>
      </c>
      <c r="T455">
        <v>0.18</v>
      </c>
      <c r="U455">
        <v>0</v>
      </c>
    </row>
    <row r="456" spans="1:21" x14ac:dyDescent="0.25">
      <c r="A456" s="2" t="s">
        <v>105</v>
      </c>
      <c r="B456" t="s">
        <v>106</v>
      </c>
      <c r="C456">
        <v>8</v>
      </c>
      <c r="D456">
        <v>3</v>
      </c>
      <c r="E456">
        <v>24</v>
      </c>
      <c r="F456">
        <v>18000</v>
      </c>
      <c r="G456">
        <v>40770</v>
      </c>
      <c r="H456">
        <v>7489.8</v>
      </c>
      <c r="I456">
        <v>7.4897999999999998</v>
      </c>
      <c r="J456">
        <v>7.4897999999999996E-3</v>
      </c>
      <c r="K456">
        <v>16.507519200000001</v>
      </c>
      <c r="L456" s="3">
        <v>1.2699999999999999E-2</v>
      </c>
      <c r="M456" s="3">
        <v>3.1</v>
      </c>
      <c r="N456">
        <v>72.695130842069403</v>
      </c>
      <c r="O456" s="2">
        <v>107.28472146220599</v>
      </c>
      <c r="P456" s="2">
        <v>25030.593239997201</v>
      </c>
      <c r="Q456" s="2">
        <v>60155.234895451002</v>
      </c>
      <c r="R456" s="2">
        <v>159411.37247294499</v>
      </c>
      <c r="S456">
        <v>109.97499999999999</v>
      </c>
      <c r="T456">
        <v>0.14749999999999999</v>
      </c>
      <c r="U456">
        <v>-1.1566666666666701</v>
      </c>
    </row>
    <row r="457" spans="1:21" x14ac:dyDescent="0.25">
      <c r="A457" t="s">
        <v>115</v>
      </c>
      <c r="B457" t="s">
        <v>116</v>
      </c>
      <c r="C457">
        <v>8</v>
      </c>
      <c r="D457">
        <v>7</v>
      </c>
      <c r="E457">
        <v>56</v>
      </c>
      <c r="F457">
        <v>9236057.0460000001</v>
      </c>
      <c r="G457">
        <v>24475551.170000002</v>
      </c>
      <c r="H457">
        <v>3843123.3369999998</v>
      </c>
      <c r="I457">
        <v>3843.123337</v>
      </c>
      <c r="J457">
        <v>3.8431233370000002</v>
      </c>
      <c r="K457">
        <v>8472.6265710000007</v>
      </c>
      <c r="L457" s="2">
        <v>1.4999999999999999E-2</v>
      </c>
      <c r="M457">
        <v>3</v>
      </c>
      <c r="N457">
        <v>727.04524900000001</v>
      </c>
      <c r="O457" s="2">
        <v>271.77977400712501</v>
      </c>
      <c r="P457" s="2">
        <v>301122.11947996001</v>
      </c>
      <c r="Q457" s="2">
        <v>723677.28786339797</v>
      </c>
      <c r="R457" s="2">
        <v>1917744.812838</v>
      </c>
      <c r="S457">
        <v>271.77999999999997</v>
      </c>
      <c r="T457">
        <v>0.25</v>
      </c>
      <c r="U457">
        <v>0</v>
      </c>
    </row>
    <row r="458" spans="1:21" x14ac:dyDescent="0.25">
      <c r="A458" t="s">
        <v>107</v>
      </c>
      <c r="B458" t="s">
        <v>108</v>
      </c>
      <c r="C458">
        <v>8</v>
      </c>
      <c r="D458">
        <v>5</v>
      </c>
      <c r="E458">
        <v>40</v>
      </c>
      <c r="F458">
        <v>7633.7023829999998</v>
      </c>
      <c r="G458">
        <v>20229.311320000001</v>
      </c>
      <c r="H458">
        <v>3176.383562</v>
      </c>
      <c r="I458">
        <v>3.1763835619999998</v>
      </c>
      <c r="J458">
        <v>3.176384E-3</v>
      </c>
      <c r="K458">
        <v>7.0027187279999996</v>
      </c>
      <c r="L458">
        <v>3.5999999999999999E-3</v>
      </c>
      <c r="M458">
        <v>3</v>
      </c>
      <c r="N458">
        <v>95.912853749999996</v>
      </c>
      <c r="O458">
        <v>126.681773823976</v>
      </c>
      <c r="P458">
        <v>7318.8847471111603</v>
      </c>
      <c r="Q458">
        <v>17589.244765948501</v>
      </c>
      <c r="R458">
        <v>46611.498629763402</v>
      </c>
      <c r="S458">
        <v>150</v>
      </c>
      <c r="T458">
        <v>4.1000000000000002E-2</v>
      </c>
      <c r="U458">
        <v>-5.4</v>
      </c>
    </row>
    <row r="459" spans="1:21" x14ac:dyDescent="0.25">
      <c r="A459" t="s">
        <v>41</v>
      </c>
      <c r="B459" t="s">
        <v>42</v>
      </c>
      <c r="C459">
        <v>8</v>
      </c>
      <c r="D459">
        <v>4</v>
      </c>
      <c r="E459">
        <v>32</v>
      </c>
      <c r="F459">
        <v>24995.308690000002</v>
      </c>
      <c r="G459">
        <v>66237.568020000006</v>
      </c>
      <c r="H459">
        <v>10400.54795</v>
      </c>
      <c r="I459">
        <v>10.40054795</v>
      </c>
      <c r="J459">
        <v>1.0400548000000001E-2</v>
      </c>
      <c r="K459">
        <v>22.92925601</v>
      </c>
      <c r="L459">
        <v>1.34E-2</v>
      </c>
      <c r="M459">
        <v>3.1</v>
      </c>
      <c r="N459">
        <v>79.42995741</v>
      </c>
      <c r="O459">
        <v>89.922976874228397</v>
      </c>
      <c r="P459">
        <v>15279.315297302401</v>
      </c>
      <c r="Q459">
        <v>36720.2963165162</v>
      </c>
      <c r="R459">
        <v>97308.785238768003</v>
      </c>
      <c r="S459">
        <v>91.5</v>
      </c>
      <c r="T459">
        <v>0.12690000000000001</v>
      </c>
      <c r="U459">
        <v>0</v>
      </c>
    </row>
    <row r="460" spans="1:21" x14ac:dyDescent="0.25">
      <c r="A460" t="s">
        <v>111</v>
      </c>
      <c r="B460" t="s">
        <v>112</v>
      </c>
      <c r="C460">
        <v>8</v>
      </c>
      <c r="D460">
        <v>2</v>
      </c>
      <c r="E460">
        <v>16</v>
      </c>
      <c r="F460">
        <v>2451.3338140000001</v>
      </c>
      <c r="G460">
        <v>6496.0346079999999</v>
      </c>
      <c r="H460">
        <v>1020</v>
      </c>
      <c r="I460">
        <v>1.02</v>
      </c>
      <c r="J460">
        <v>1.0200000000000001E-3</v>
      </c>
      <c r="K460">
        <v>2.2487124000000001</v>
      </c>
      <c r="L460">
        <v>1.2200000000000001E-2</v>
      </c>
      <c r="M460">
        <v>2.9</v>
      </c>
      <c r="N460">
        <v>49.810884719999997</v>
      </c>
      <c r="O460">
        <v>93.764742023268397</v>
      </c>
      <c r="P460">
        <v>6386.6712780728703</v>
      </c>
      <c r="Q460">
        <v>15348.8855517252</v>
      </c>
      <c r="R460">
        <v>40674.546712071897</v>
      </c>
      <c r="S460">
        <v>98.7</v>
      </c>
      <c r="T460">
        <v>0.158</v>
      </c>
      <c r="U460">
        <v>-2.96</v>
      </c>
    </row>
    <row r="461" spans="1:21" x14ac:dyDescent="0.25">
      <c r="A461" t="s">
        <v>113</v>
      </c>
      <c r="B461" t="s">
        <v>114</v>
      </c>
      <c r="C461">
        <v>8</v>
      </c>
      <c r="D461">
        <v>2</v>
      </c>
      <c r="E461">
        <v>16</v>
      </c>
      <c r="F461">
        <v>3970.9204519999998</v>
      </c>
      <c r="G461">
        <v>10522.939200000001</v>
      </c>
      <c r="H461">
        <v>1652.3</v>
      </c>
      <c r="I461">
        <v>1.6523000000000001</v>
      </c>
      <c r="J461">
        <v>1.6523E-3</v>
      </c>
      <c r="K461">
        <v>3.6426936259999998</v>
      </c>
      <c r="L461">
        <v>1.2E-2</v>
      </c>
      <c r="M461">
        <v>3.05</v>
      </c>
      <c r="N461">
        <v>48.404724909999999</v>
      </c>
      <c r="O461">
        <v>83.145643530336798</v>
      </c>
      <c r="P461">
        <v>8603.8279654683902</v>
      </c>
      <c r="Q461">
        <v>20677.308256352801</v>
      </c>
      <c r="R461">
        <v>54794.866879334899</v>
      </c>
      <c r="S461">
        <v>85.9</v>
      </c>
      <c r="T461">
        <v>0.215</v>
      </c>
      <c r="U461">
        <v>0</v>
      </c>
    </row>
    <row r="462" spans="1:21" x14ac:dyDescent="0.25">
      <c r="A462" t="s">
        <v>117</v>
      </c>
      <c r="B462" t="s">
        <v>118</v>
      </c>
      <c r="C462">
        <v>8</v>
      </c>
      <c r="D462">
        <v>2</v>
      </c>
      <c r="E462">
        <v>16</v>
      </c>
      <c r="F462">
        <v>2451.3338140000001</v>
      </c>
      <c r="G462">
        <v>6496.0346079999999</v>
      </c>
      <c r="H462">
        <v>1020</v>
      </c>
      <c r="I462">
        <v>1.02</v>
      </c>
      <c r="J462">
        <v>1.0200000000000001E-3</v>
      </c>
      <c r="K462">
        <v>2.2487124000000001</v>
      </c>
      <c r="L462">
        <v>1.4999999999999999E-2</v>
      </c>
      <c r="M462">
        <v>3</v>
      </c>
      <c r="N462">
        <v>40.816551019999999</v>
      </c>
      <c r="O462">
        <v>58.421174882791199</v>
      </c>
      <c r="P462">
        <v>2990.9015578450098</v>
      </c>
      <c r="Q462">
        <v>7187.9393363254303</v>
      </c>
      <c r="R462">
        <v>19048.039241262399</v>
      </c>
      <c r="S462">
        <v>73.2</v>
      </c>
      <c r="T462">
        <v>0.1</v>
      </c>
      <c r="U462">
        <v>0</v>
      </c>
    </row>
    <row r="463" spans="1:21" x14ac:dyDescent="0.25">
      <c r="A463" t="s">
        <v>123</v>
      </c>
      <c r="B463" t="s">
        <v>124</v>
      </c>
      <c r="C463">
        <v>8</v>
      </c>
      <c r="D463">
        <v>2</v>
      </c>
      <c r="E463">
        <v>16</v>
      </c>
      <c r="F463">
        <v>2451.3338140000001</v>
      </c>
      <c r="G463">
        <v>6496.0346079999999</v>
      </c>
      <c r="H463">
        <v>1020</v>
      </c>
      <c r="I463">
        <v>1.02</v>
      </c>
      <c r="J463">
        <v>1.0200000000000001E-3</v>
      </c>
      <c r="K463">
        <v>2.2487124000000001</v>
      </c>
      <c r="L463">
        <v>9.4999999999999998E-3</v>
      </c>
      <c r="M463">
        <v>3.1</v>
      </c>
      <c r="N463">
        <v>41.962698490000001</v>
      </c>
      <c r="O463">
        <v>96.730417108521294</v>
      </c>
      <c r="P463">
        <v>13582.1678366007</v>
      </c>
      <c r="Q463">
        <v>32641.595377555099</v>
      </c>
      <c r="R463">
        <v>86500.227750520906</v>
      </c>
      <c r="S463">
        <v>111</v>
      </c>
      <c r="T463">
        <v>0.13</v>
      </c>
      <c r="U463">
        <v>0.22</v>
      </c>
    </row>
    <row r="464" spans="1:21" x14ac:dyDescent="0.25">
      <c r="A464" t="s">
        <v>121</v>
      </c>
      <c r="B464" t="s">
        <v>122</v>
      </c>
      <c r="C464">
        <v>8</v>
      </c>
      <c r="D464">
        <v>7</v>
      </c>
      <c r="E464">
        <v>56</v>
      </c>
      <c r="F464">
        <v>9236057.0460000001</v>
      </c>
      <c r="G464">
        <v>24475551.170000002</v>
      </c>
      <c r="H464">
        <v>3843123.3369999998</v>
      </c>
      <c r="I464">
        <v>3843.123337</v>
      </c>
      <c r="J464">
        <v>3.8431233370000002</v>
      </c>
      <c r="K464">
        <v>8472.6265710000007</v>
      </c>
      <c r="L464" s="2">
        <v>1E-3</v>
      </c>
      <c r="M464">
        <v>3</v>
      </c>
      <c r="N464">
        <v>727.04524900000001</v>
      </c>
      <c r="O464" s="2">
        <v>2615.7578249204398</v>
      </c>
      <c r="P464" s="2">
        <v>17897509.412757501</v>
      </c>
      <c r="Q464" s="2">
        <v>43012519.6172975</v>
      </c>
      <c r="R464" s="2">
        <v>113983176.985838</v>
      </c>
      <c r="S464">
        <v>2615.7600000000002</v>
      </c>
      <c r="T464">
        <v>0.25</v>
      </c>
      <c r="U464">
        <v>0</v>
      </c>
    </row>
    <row r="465" spans="1:21" x14ac:dyDescent="0.25">
      <c r="A465" t="s">
        <v>119</v>
      </c>
      <c r="B465" t="s">
        <v>120</v>
      </c>
      <c r="C465">
        <v>8</v>
      </c>
      <c r="D465">
        <v>3</v>
      </c>
      <c r="E465">
        <v>24</v>
      </c>
      <c r="F465">
        <v>187644.9615</v>
      </c>
      <c r="G465">
        <v>497259.14809999999</v>
      </c>
      <c r="H465">
        <v>78079.068480000002</v>
      </c>
      <c r="I465">
        <v>78.079068480000004</v>
      </c>
      <c r="J465">
        <v>7.8079068000000001E-2</v>
      </c>
      <c r="K465">
        <v>172.13467600000001</v>
      </c>
      <c r="L465">
        <v>2.1399999999999999E-2</v>
      </c>
      <c r="M465">
        <v>2.96</v>
      </c>
      <c r="N465">
        <v>164.790708</v>
      </c>
      <c r="O465" s="2">
        <v>132.951125201086</v>
      </c>
      <c r="P465" s="2">
        <v>41356.344500212603</v>
      </c>
      <c r="Q465" s="2">
        <v>99390.397741438603</v>
      </c>
      <c r="R465" s="2">
        <v>263384.55401481199</v>
      </c>
      <c r="S465">
        <v>133.76666666666699</v>
      </c>
      <c r="T465">
        <v>0.3</v>
      </c>
      <c r="U465">
        <v>7</v>
      </c>
    </row>
    <row r="466" spans="1:21" x14ac:dyDescent="0.25">
      <c r="A466" t="s">
        <v>89</v>
      </c>
      <c r="B466" t="s">
        <v>90</v>
      </c>
      <c r="C466">
        <v>8</v>
      </c>
      <c r="D466">
        <v>8</v>
      </c>
      <c r="E466">
        <v>64</v>
      </c>
      <c r="F466">
        <v>72000</v>
      </c>
      <c r="G466">
        <v>191000</v>
      </c>
      <c r="H466">
        <v>29959.200000000001</v>
      </c>
      <c r="I466">
        <v>29.959199999999999</v>
      </c>
      <c r="J466">
        <v>2.9959199999999998E-2</v>
      </c>
      <c r="K466">
        <v>66.048651500000005</v>
      </c>
      <c r="L466" s="2">
        <v>0.05</v>
      </c>
      <c r="M466" s="2">
        <v>3.2</v>
      </c>
      <c r="N466">
        <v>194.93589650000001</v>
      </c>
      <c r="O466">
        <v>114.299401553501</v>
      </c>
      <c r="P466">
        <v>2986.4955038558201</v>
      </c>
      <c r="Q466">
        <v>7177.3504058058697</v>
      </c>
      <c r="R466">
        <v>19019.978575385499</v>
      </c>
      <c r="S466">
        <v>114.3</v>
      </c>
      <c r="T466">
        <v>0.19</v>
      </c>
      <c r="U466">
        <v>0</v>
      </c>
    </row>
    <row r="467" spans="1:21" x14ac:dyDescent="0.25">
      <c r="A467" t="s">
        <v>125</v>
      </c>
      <c r="B467" t="s">
        <v>126</v>
      </c>
      <c r="C467">
        <v>8</v>
      </c>
      <c r="D467">
        <v>1</v>
      </c>
      <c r="E467">
        <v>8</v>
      </c>
      <c r="F467">
        <v>14744.532569999999</v>
      </c>
      <c r="G467">
        <v>39073.011299999998</v>
      </c>
      <c r="H467">
        <v>6135.2000019999996</v>
      </c>
      <c r="I467">
        <v>6.1352000020000004</v>
      </c>
      <c r="J467">
        <v>6.1352000000000004E-3</v>
      </c>
      <c r="K467">
        <v>13.52578463</v>
      </c>
      <c r="L467">
        <v>1.4999999999999999E-2</v>
      </c>
      <c r="M467">
        <v>2.9</v>
      </c>
      <c r="N467">
        <v>86.115610500000003</v>
      </c>
      <c r="O467">
        <v>74.891260880057899</v>
      </c>
      <c r="P467">
        <v>4092.0560363752302</v>
      </c>
      <c r="Q467">
        <v>9834.3091477414691</v>
      </c>
      <c r="R467">
        <v>26060.919241514901</v>
      </c>
      <c r="S467">
        <v>136</v>
      </c>
      <c r="T467">
        <v>0.1</v>
      </c>
      <c r="U467">
        <v>0</v>
      </c>
    </row>
    <row r="468" spans="1:21" x14ac:dyDescent="0.25">
      <c r="A468" t="s">
        <v>131</v>
      </c>
      <c r="B468" t="s">
        <v>132</v>
      </c>
      <c r="C468">
        <v>8</v>
      </c>
      <c r="D468">
        <v>2</v>
      </c>
      <c r="E468">
        <v>16</v>
      </c>
      <c r="F468">
        <v>3970.9204519999998</v>
      </c>
      <c r="G468">
        <v>10522.939200000001</v>
      </c>
      <c r="H468">
        <v>1652.3</v>
      </c>
      <c r="I468">
        <v>1.6523000000000001</v>
      </c>
      <c r="J468">
        <v>1.6523E-3</v>
      </c>
      <c r="K468">
        <v>3.6426936259999998</v>
      </c>
      <c r="L468">
        <v>1.4E-2</v>
      </c>
      <c r="M468">
        <v>2.9</v>
      </c>
      <c r="N468">
        <v>56.098600009999998</v>
      </c>
      <c r="O468">
        <v>43.837167278188701</v>
      </c>
      <c r="P468">
        <v>808.11140356816702</v>
      </c>
      <c r="Q468">
        <v>1942.1086363089801</v>
      </c>
      <c r="R468">
        <v>5146.5878862188001</v>
      </c>
      <c r="S468">
        <v>45.7</v>
      </c>
      <c r="T468">
        <v>0.2</v>
      </c>
      <c r="U468">
        <v>0</v>
      </c>
    </row>
    <row r="469" spans="1:21" x14ac:dyDescent="0.25">
      <c r="A469" t="s">
        <v>133</v>
      </c>
      <c r="B469" t="s">
        <v>134</v>
      </c>
      <c r="C469">
        <v>8</v>
      </c>
      <c r="D469">
        <v>3</v>
      </c>
      <c r="E469">
        <v>24</v>
      </c>
      <c r="F469">
        <v>18000</v>
      </c>
      <c r="G469">
        <v>40770</v>
      </c>
      <c r="H469">
        <v>7489.8</v>
      </c>
      <c r="I469">
        <v>7.4897999999999998</v>
      </c>
      <c r="J469">
        <v>7.4897999999999996E-3</v>
      </c>
      <c r="K469">
        <v>16.512162880000002</v>
      </c>
      <c r="L469">
        <v>1.2699999999999999E-2</v>
      </c>
      <c r="M469">
        <v>3.1</v>
      </c>
      <c r="N469">
        <v>72.695130840000004</v>
      </c>
      <c r="O469">
        <v>103.65815332500701</v>
      </c>
      <c r="P469">
        <v>22499.583071964</v>
      </c>
      <c r="Q469">
        <v>54072.538024426904</v>
      </c>
      <c r="R469">
        <v>143292.225764731</v>
      </c>
      <c r="S469">
        <v>114</v>
      </c>
      <c r="T469">
        <v>0.1</v>
      </c>
      <c r="U469">
        <v>0</v>
      </c>
    </row>
    <row r="470" spans="1:21" x14ac:dyDescent="0.25">
      <c r="A470" t="s">
        <v>127</v>
      </c>
      <c r="B470" t="s">
        <v>128</v>
      </c>
      <c r="C470">
        <v>8</v>
      </c>
      <c r="D470">
        <v>2</v>
      </c>
      <c r="E470">
        <v>16</v>
      </c>
      <c r="F470">
        <v>3970.9204519999998</v>
      </c>
      <c r="G470">
        <v>10522.939200000001</v>
      </c>
      <c r="H470">
        <v>1652.3</v>
      </c>
      <c r="I470">
        <v>1.6523000000000001</v>
      </c>
      <c r="J470">
        <v>1.6523E-3</v>
      </c>
      <c r="K470">
        <v>3.6426936259999998</v>
      </c>
      <c r="L470">
        <v>1.4E-2</v>
      </c>
      <c r="M470">
        <v>3</v>
      </c>
      <c r="N470">
        <v>49.051650180000003</v>
      </c>
      <c r="O470">
        <v>61.7705049232002</v>
      </c>
      <c r="P470">
        <v>3299.6774570688699</v>
      </c>
      <c r="Q470">
        <v>7930.0107115329902</v>
      </c>
      <c r="R470">
        <v>21014.5283855624</v>
      </c>
      <c r="S470">
        <v>62.2</v>
      </c>
      <c r="T470">
        <v>0.31</v>
      </c>
      <c r="U470">
        <v>-0.05</v>
      </c>
    </row>
    <row r="471" spans="1:21" x14ac:dyDescent="0.25">
      <c r="A471" t="s">
        <v>135</v>
      </c>
      <c r="B471" t="s">
        <v>136</v>
      </c>
      <c r="C471">
        <v>8</v>
      </c>
      <c r="D471">
        <v>2</v>
      </c>
      <c r="E471">
        <v>16</v>
      </c>
      <c r="F471">
        <v>3970.9204519999998</v>
      </c>
      <c r="G471">
        <v>10522.939200000001</v>
      </c>
      <c r="H471">
        <v>1652.3</v>
      </c>
      <c r="I471">
        <v>1.6523000000000001</v>
      </c>
      <c r="J471">
        <v>1.6523E-3</v>
      </c>
      <c r="K471">
        <v>3.6426936259999998</v>
      </c>
      <c r="L471">
        <v>1.2E-2</v>
      </c>
      <c r="M471">
        <v>3</v>
      </c>
      <c r="N471">
        <v>51.637976899999998</v>
      </c>
      <c r="O471">
        <v>48.088252973212398</v>
      </c>
      <c r="P471">
        <v>1334.43752153734</v>
      </c>
      <c r="Q471">
        <v>3207.01158744855</v>
      </c>
      <c r="R471">
        <v>8498.5807067386504</v>
      </c>
      <c r="S471">
        <v>60.5</v>
      </c>
      <c r="T471">
        <v>9.9000000000000005E-2</v>
      </c>
      <c r="U471">
        <v>0</v>
      </c>
    </row>
    <row r="472" spans="1:21" x14ac:dyDescent="0.25">
      <c r="A472" t="s">
        <v>129</v>
      </c>
      <c r="B472" t="s">
        <v>130</v>
      </c>
      <c r="C472">
        <v>8</v>
      </c>
      <c r="D472">
        <v>2</v>
      </c>
      <c r="E472">
        <v>16</v>
      </c>
      <c r="F472">
        <v>2451.3338140000001</v>
      </c>
      <c r="G472">
        <v>6496.0346079999999</v>
      </c>
      <c r="H472">
        <v>1020</v>
      </c>
      <c r="I472">
        <v>1.02</v>
      </c>
      <c r="J472">
        <v>1.0200000000000001E-3</v>
      </c>
      <c r="K472">
        <v>2.2487124000000001</v>
      </c>
      <c r="L472">
        <v>1.2500000000000001E-2</v>
      </c>
      <c r="M472">
        <v>2.88</v>
      </c>
      <c r="N472">
        <v>50.751393550000003</v>
      </c>
      <c r="O472">
        <v>78.5923244459823</v>
      </c>
      <c r="P472">
        <v>3594.2211705995601</v>
      </c>
      <c r="Q472">
        <v>8637.8783239595195</v>
      </c>
      <c r="R472">
        <v>22890.377558492699</v>
      </c>
      <c r="S472">
        <v>158</v>
      </c>
      <c r="T472">
        <v>4.2999999999999997E-2</v>
      </c>
      <c r="U472">
        <v>0</v>
      </c>
    </row>
    <row r="473" spans="1:21" x14ac:dyDescent="0.25">
      <c r="A473" t="s">
        <v>137</v>
      </c>
      <c r="B473" t="s">
        <v>138</v>
      </c>
      <c r="C473">
        <v>8</v>
      </c>
      <c r="D473">
        <v>1</v>
      </c>
      <c r="E473">
        <v>8</v>
      </c>
      <c r="F473">
        <v>2453.016102</v>
      </c>
      <c r="G473">
        <v>6500.492671</v>
      </c>
      <c r="H473">
        <v>1020.7</v>
      </c>
      <c r="I473">
        <v>1.0206999999999999</v>
      </c>
      <c r="J473">
        <v>1.0207E-3</v>
      </c>
      <c r="K473">
        <v>2.2502556340000002</v>
      </c>
      <c r="L473">
        <v>1.2500000000000001E-2</v>
      </c>
      <c r="M473">
        <v>2.82</v>
      </c>
      <c r="N473">
        <v>55.187376929999999</v>
      </c>
      <c r="O473">
        <v>46.5718422922861</v>
      </c>
      <c r="P473">
        <v>632.43813909693301</v>
      </c>
      <c r="Q473">
        <v>1519.91862316014</v>
      </c>
      <c r="R473">
        <v>4027.7843513743701</v>
      </c>
      <c r="S473">
        <v>50</v>
      </c>
      <c r="T473">
        <v>0.33500000000000002</v>
      </c>
      <c r="U473">
        <v>0</v>
      </c>
    </row>
    <row r="474" spans="1:21" x14ac:dyDescent="0.25">
      <c r="A474" t="s">
        <v>21</v>
      </c>
      <c r="B474" t="s">
        <v>22</v>
      </c>
      <c r="C474">
        <v>9</v>
      </c>
      <c r="D474">
        <v>1</v>
      </c>
      <c r="E474">
        <v>9</v>
      </c>
      <c r="F474">
        <v>345.5659698</v>
      </c>
      <c r="G474">
        <v>915.74981979999995</v>
      </c>
      <c r="H474">
        <v>143.79</v>
      </c>
      <c r="I474">
        <v>0.14379</v>
      </c>
      <c r="J474">
        <v>1.4379E-4</v>
      </c>
      <c r="K474">
        <v>0.31700231000000001</v>
      </c>
      <c r="L474">
        <v>1.6E-2</v>
      </c>
      <c r="M474">
        <v>3</v>
      </c>
      <c r="N474">
        <v>20.790721789999999</v>
      </c>
      <c r="O474">
        <v>12.2265532547714</v>
      </c>
      <c r="P474">
        <v>29.243686140799799</v>
      </c>
      <c r="Q474">
        <v>70.280428120162995</v>
      </c>
      <c r="R474">
        <v>186.24313451843199</v>
      </c>
      <c r="S474">
        <v>13.8</v>
      </c>
      <c r="T474">
        <v>0.21</v>
      </c>
      <c r="U474">
        <v>-1.34</v>
      </c>
    </row>
    <row r="475" spans="1:21" x14ac:dyDescent="0.25">
      <c r="A475" t="s">
        <v>95</v>
      </c>
      <c r="B475" s="2" t="s">
        <v>96</v>
      </c>
      <c r="C475">
        <v>9</v>
      </c>
      <c r="D475">
        <v>2</v>
      </c>
      <c r="E475">
        <v>18</v>
      </c>
      <c r="F475">
        <v>2643.5952900000002</v>
      </c>
      <c r="G475">
        <v>7005.5275179999999</v>
      </c>
      <c r="H475">
        <v>1100</v>
      </c>
      <c r="I475">
        <v>1.1000000000000001</v>
      </c>
      <c r="J475">
        <v>1.1000000000000001E-3</v>
      </c>
      <c r="K475">
        <v>2.4250820000000002</v>
      </c>
      <c r="L475">
        <v>0.01</v>
      </c>
      <c r="M475">
        <v>3</v>
      </c>
      <c r="N475">
        <v>43.353048229999999</v>
      </c>
      <c r="O475">
        <v>132.28397374716801</v>
      </c>
      <c r="P475">
        <v>31250.3917385233</v>
      </c>
      <c r="Q475">
        <v>75103.080361747794</v>
      </c>
      <c r="R475">
        <v>199023.16295863199</v>
      </c>
      <c r="S475">
        <v>136</v>
      </c>
      <c r="T475">
        <v>0.2</v>
      </c>
      <c r="U475">
        <v>0</v>
      </c>
    </row>
    <row r="476" spans="1:21" x14ac:dyDescent="0.25">
      <c r="A476" t="s">
        <v>101</v>
      </c>
      <c r="B476" t="s">
        <v>102</v>
      </c>
      <c r="C476">
        <v>9</v>
      </c>
      <c r="D476">
        <v>2</v>
      </c>
      <c r="E476">
        <v>18</v>
      </c>
      <c r="F476">
        <v>2643.5952900000002</v>
      </c>
      <c r="G476">
        <v>7005.5275179999999</v>
      </c>
      <c r="H476">
        <v>1100</v>
      </c>
      <c r="I476">
        <v>1.1000000000000001</v>
      </c>
      <c r="J476">
        <v>1.1000000000000001E-3</v>
      </c>
      <c r="K476">
        <v>2.4250820000000002</v>
      </c>
      <c r="L476">
        <v>1.2E-2</v>
      </c>
      <c r="M476">
        <v>3.1</v>
      </c>
      <c r="N476">
        <v>39.87616345</v>
      </c>
      <c r="O476" s="2">
        <v>101.728860660297</v>
      </c>
      <c r="P476" s="2">
        <v>20056.641216152198</v>
      </c>
      <c r="Q476" s="2">
        <v>48201.492949176201</v>
      </c>
      <c r="R476" s="2">
        <v>127733.956315317</v>
      </c>
      <c r="S476">
        <v>150.03333333333299</v>
      </c>
      <c r="T476">
        <v>0.11333333333333299</v>
      </c>
      <c r="U476">
        <v>8</v>
      </c>
    </row>
    <row r="477" spans="1:21" x14ac:dyDescent="0.25">
      <c r="A477" t="s">
        <v>37</v>
      </c>
      <c r="B477" t="s">
        <v>38</v>
      </c>
      <c r="C477">
        <v>9</v>
      </c>
      <c r="D477">
        <v>9</v>
      </c>
      <c r="E477">
        <v>81</v>
      </c>
      <c r="F477">
        <v>1772528862</v>
      </c>
      <c r="G477">
        <v>4697201484</v>
      </c>
      <c r="H477">
        <v>737549259.5</v>
      </c>
      <c r="I477">
        <v>737549.25950000004</v>
      </c>
      <c r="J477">
        <v>737.54925949999995</v>
      </c>
      <c r="K477">
        <v>1626015.848</v>
      </c>
      <c r="L477" s="2">
        <v>6.0000000000000001E-3</v>
      </c>
      <c r="M477">
        <v>3</v>
      </c>
      <c r="N477">
        <v>1544.971047</v>
      </c>
      <c r="O477" s="2">
        <v>2097.36</v>
      </c>
      <c r="P477" s="2">
        <v>55356700.140481502</v>
      </c>
      <c r="Q477" s="2">
        <v>133037010.67166901</v>
      </c>
      <c r="R477" s="2">
        <v>352548078.27992302</v>
      </c>
      <c r="S477" s="2">
        <v>2097.36</v>
      </c>
      <c r="T477" s="2">
        <v>0.5</v>
      </c>
      <c r="U477" s="2">
        <v>0</v>
      </c>
    </row>
    <row r="478" spans="1:21" x14ac:dyDescent="0.25">
      <c r="A478" s="2" t="s">
        <v>31</v>
      </c>
      <c r="B478" t="s">
        <v>32</v>
      </c>
      <c r="C478">
        <v>9</v>
      </c>
      <c r="D478">
        <v>1</v>
      </c>
      <c r="E478">
        <v>9</v>
      </c>
      <c r="F478">
        <v>345.5659698</v>
      </c>
      <c r="G478">
        <v>915.74981979999995</v>
      </c>
      <c r="H478">
        <v>143.79000003377999</v>
      </c>
      <c r="I478">
        <v>0.14379000003378001</v>
      </c>
      <c r="J478">
        <v>1.4379000003378E-4</v>
      </c>
      <c r="K478">
        <v>0.31700230987447198</v>
      </c>
      <c r="L478" s="3">
        <v>1.1599999999999999E-2</v>
      </c>
      <c r="M478" s="3">
        <v>3</v>
      </c>
      <c r="N478">
        <v>23.143208333852002</v>
      </c>
      <c r="O478" s="2">
        <v>29.165688491279099</v>
      </c>
      <c r="P478" s="2">
        <v>287.78932994100302</v>
      </c>
      <c r="Q478" s="2">
        <v>691.63501547945998</v>
      </c>
      <c r="R478" s="2">
        <v>1832.8327910205701</v>
      </c>
      <c r="S478" s="2">
        <v>29.1726666666667</v>
      </c>
      <c r="T478" s="2">
        <v>0.92646666666666699</v>
      </c>
      <c r="U478" s="2">
        <v>0</v>
      </c>
    </row>
    <row r="479" spans="1:21" x14ac:dyDescent="0.25">
      <c r="A479" t="s">
        <v>25</v>
      </c>
      <c r="B479" t="s">
        <v>26</v>
      </c>
      <c r="C479">
        <v>9</v>
      </c>
      <c r="D479">
        <v>3</v>
      </c>
      <c r="E479">
        <v>27</v>
      </c>
      <c r="F479">
        <v>188385.81349999999</v>
      </c>
      <c r="G479">
        <v>499222.4057</v>
      </c>
      <c r="H479">
        <v>78387.337</v>
      </c>
      <c r="I479">
        <v>78.387337000000002</v>
      </c>
      <c r="J479">
        <v>7.8387337000000001E-2</v>
      </c>
      <c r="K479">
        <v>172.8142909</v>
      </c>
      <c r="L479">
        <v>2.1399999999999999E-2</v>
      </c>
      <c r="M479">
        <v>2.96</v>
      </c>
      <c r="N479">
        <v>165.0102253</v>
      </c>
      <c r="O479">
        <v>322.97129652874702</v>
      </c>
      <c r="P479">
        <v>572188.33147296798</v>
      </c>
      <c r="Q479">
        <v>1375122.1616750001</v>
      </c>
      <c r="R479">
        <v>3644073.7284387499</v>
      </c>
      <c r="S479">
        <v>358.7</v>
      </c>
      <c r="T479">
        <v>9.1999999999999998E-2</v>
      </c>
      <c r="U479">
        <v>-1.929</v>
      </c>
    </row>
    <row r="480" spans="1:21" x14ac:dyDescent="0.25">
      <c r="A480" t="s">
        <v>33</v>
      </c>
      <c r="B480" t="s">
        <v>34</v>
      </c>
      <c r="C480">
        <v>9</v>
      </c>
      <c r="D480">
        <v>2</v>
      </c>
      <c r="E480">
        <v>18</v>
      </c>
      <c r="F480">
        <v>2643.5952900000002</v>
      </c>
      <c r="G480">
        <v>7005.5275179999999</v>
      </c>
      <c r="H480">
        <v>1100</v>
      </c>
      <c r="I480">
        <v>1.1000000000000001</v>
      </c>
      <c r="J480">
        <v>1.1000000000000001E-3</v>
      </c>
      <c r="K480">
        <v>2.4250820000000002</v>
      </c>
      <c r="L480">
        <v>1.4999999999999999E-2</v>
      </c>
      <c r="M480">
        <v>3</v>
      </c>
      <c r="N480">
        <v>41.85690786</v>
      </c>
      <c r="O480">
        <v>57.724867284408298</v>
      </c>
      <c r="P480">
        <v>2885.2276689179398</v>
      </c>
      <c r="Q480">
        <v>6933.9766135975597</v>
      </c>
      <c r="R480">
        <v>18375.038026033501</v>
      </c>
      <c r="S480" s="4">
        <v>58.9</v>
      </c>
      <c r="T480" s="4">
        <v>0.22</v>
      </c>
      <c r="U480" s="4">
        <v>0.20699999999999999</v>
      </c>
    </row>
    <row r="481" spans="1:21" x14ac:dyDescent="0.25">
      <c r="A481" t="s">
        <v>29</v>
      </c>
      <c r="B481" t="s">
        <v>30</v>
      </c>
      <c r="C481">
        <v>9</v>
      </c>
      <c r="D481">
        <v>7</v>
      </c>
      <c r="E481" s="2">
        <v>63</v>
      </c>
      <c r="F481">
        <v>64280.782099999997</v>
      </c>
      <c r="G481">
        <v>170344.27299999999</v>
      </c>
      <c r="H481">
        <v>26747.23343</v>
      </c>
      <c r="I481">
        <v>26.747233430000001</v>
      </c>
      <c r="J481">
        <v>2.6747232999999999E-2</v>
      </c>
      <c r="K481">
        <v>58.967485770000003</v>
      </c>
      <c r="L481">
        <v>3.2499999999999999E-3</v>
      </c>
      <c r="M481">
        <v>3</v>
      </c>
      <c r="N481">
        <v>201.89791579999999</v>
      </c>
      <c r="O481">
        <v>281.99737084539902</v>
      </c>
      <c r="P481">
        <v>72881.707480323705</v>
      </c>
      <c r="Q481">
        <v>175154.30781140001</v>
      </c>
      <c r="R481">
        <v>464158.91570021102</v>
      </c>
      <c r="S481">
        <v>282</v>
      </c>
      <c r="T481">
        <v>0.18</v>
      </c>
      <c r="U481">
        <v>-1.35</v>
      </c>
    </row>
    <row r="482" spans="1:21" x14ac:dyDescent="0.25">
      <c r="A482" t="s">
        <v>23</v>
      </c>
      <c r="B482" t="s">
        <v>24</v>
      </c>
      <c r="C482">
        <v>9</v>
      </c>
      <c r="D482">
        <v>3</v>
      </c>
      <c r="E482">
        <v>27</v>
      </c>
      <c r="F482">
        <v>188385.81349999999</v>
      </c>
      <c r="G482">
        <v>499222.4057</v>
      </c>
      <c r="H482">
        <v>78387.337</v>
      </c>
      <c r="I482">
        <v>78.387337000000002</v>
      </c>
      <c r="J482">
        <v>7.8387337000000001E-2</v>
      </c>
      <c r="K482">
        <v>172.8142909</v>
      </c>
      <c r="L482">
        <v>2.5999999999999999E-2</v>
      </c>
      <c r="M482">
        <v>3</v>
      </c>
      <c r="N482">
        <v>210.0486598</v>
      </c>
      <c r="O482">
        <v>283.40511574287001</v>
      </c>
      <c r="P482">
        <v>180796.821177259</v>
      </c>
      <c r="Q482">
        <v>434503.295307038</v>
      </c>
      <c r="R482">
        <v>1151433.73256365</v>
      </c>
      <c r="S482">
        <v>314.89999999999998</v>
      </c>
      <c r="T482">
        <v>8.8999999999999996E-2</v>
      </c>
      <c r="U482">
        <v>-1.1299999999999999</v>
      </c>
    </row>
    <row r="483" spans="1:21" x14ac:dyDescent="0.25">
      <c r="A483" t="s">
        <v>27</v>
      </c>
      <c r="B483" t="s">
        <v>28</v>
      </c>
      <c r="C483">
        <v>9</v>
      </c>
      <c r="D483">
        <v>1</v>
      </c>
      <c r="E483">
        <v>9</v>
      </c>
      <c r="F483">
        <v>13862.052390000001</v>
      </c>
      <c r="G483">
        <v>36734.438840000003</v>
      </c>
      <c r="H483">
        <v>5767.9999989999997</v>
      </c>
      <c r="I483">
        <v>5.7679999989999997</v>
      </c>
      <c r="J483">
        <v>5.7679999999999997E-3</v>
      </c>
      <c r="K483">
        <v>12.716248159999999</v>
      </c>
      <c r="L483">
        <v>1.0999999999999999E-2</v>
      </c>
      <c r="M483">
        <v>2.9</v>
      </c>
      <c r="N483">
        <v>93.818199050000004</v>
      </c>
      <c r="O483">
        <v>76.967042213351803</v>
      </c>
      <c r="P483">
        <v>3248.4530720549801</v>
      </c>
      <c r="Q483">
        <v>7806.9047634101898</v>
      </c>
      <c r="R483">
        <v>20688.297623037</v>
      </c>
      <c r="S483">
        <v>81.53</v>
      </c>
      <c r="T483">
        <v>0.31</v>
      </c>
      <c r="U483">
        <v>-0.3</v>
      </c>
    </row>
    <row r="484" spans="1:21" x14ac:dyDescent="0.25">
      <c r="A484" t="s">
        <v>35</v>
      </c>
      <c r="B484" t="s">
        <v>36</v>
      </c>
      <c r="C484">
        <v>9</v>
      </c>
      <c r="D484">
        <v>1</v>
      </c>
      <c r="E484">
        <v>9</v>
      </c>
      <c r="F484">
        <v>345.5659698</v>
      </c>
      <c r="G484">
        <v>915.74981979999995</v>
      </c>
      <c r="H484">
        <v>143.79</v>
      </c>
      <c r="I484">
        <v>0.14379</v>
      </c>
      <c r="J484">
        <v>1.4379E-4</v>
      </c>
      <c r="K484">
        <v>0.31700231000000001</v>
      </c>
      <c r="L484">
        <v>2.1000000000000001E-2</v>
      </c>
      <c r="M484">
        <v>3</v>
      </c>
      <c r="N484">
        <v>18.989045260000001</v>
      </c>
      <c r="O484">
        <v>21.0113883525256</v>
      </c>
      <c r="P484">
        <v>194.797574215157</v>
      </c>
      <c r="Q484">
        <v>468.15086329045101</v>
      </c>
      <c r="R484">
        <v>1240.5997877197001</v>
      </c>
      <c r="S484" s="4">
        <v>21.02</v>
      </c>
      <c r="T484" s="4">
        <v>0.86</v>
      </c>
      <c r="U484" s="4">
        <v>-6.9989999999999997E-2</v>
      </c>
    </row>
    <row r="485" spans="1:21" x14ac:dyDescent="0.25">
      <c r="A485" t="s">
        <v>39</v>
      </c>
      <c r="B485" t="s">
        <v>40</v>
      </c>
      <c r="C485">
        <v>9</v>
      </c>
      <c r="D485">
        <v>2</v>
      </c>
      <c r="E485">
        <v>18</v>
      </c>
      <c r="F485">
        <v>57678.44268</v>
      </c>
      <c r="G485">
        <v>152847.8731</v>
      </c>
      <c r="H485">
        <v>24000</v>
      </c>
      <c r="I485">
        <v>24</v>
      </c>
      <c r="J485">
        <v>2.4E-2</v>
      </c>
      <c r="K485">
        <v>52.910879999999999</v>
      </c>
      <c r="L485">
        <v>1.2E-2</v>
      </c>
      <c r="M485">
        <v>3</v>
      </c>
      <c r="N485">
        <v>125.992105</v>
      </c>
      <c r="O485">
        <v>129.79107446119801</v>
      </c>
      <c r="P485">
        <v>26237.093874199702</v>
      </c>
      <c r="Q485">
        <v>63054.779798605297</v>
      </c>
      <c r="R485">
        <v>167095.16646630401</v>
      </c>
      <c r="S485">
        <v>150.93</v>
      </c>
      <c r="T485">
        <v>0.11</v>
      </c>
      <c r="U485">
        <v>0.13</v>
      </c>
    </row>
    <row r="486" spans="1:21" x14ac:dyDescent="0.25">
      <c r="A486" t="s">
        <v>45</v>
      </c>
      <c r="B486" t="s">
        <v>46</v>
      </c>
      <c r="C486">
        <v>9</v>
      </c>
      <c r="D486">
        <v>5</v>
      </c>
      <c r="E486">
        <v>45</v>
      </c>
      <c r="F486">
        <v>7678.7389750000002</v>
      </c>
      <c r="G486">
        <v>20348.65828</v>
      </c>
      <c r="H486">
        <v>3195.1232869999999</v>
      </c>
      <c r="I486">
        <v>3.1951232869999999</v>
      </c>
      <c r="J486">
        <v>3.1951229999999998E-3</v>
      </c>
      <c r="K486">
        <v>7.044032702</v>
      </c>
      <c r="L486">
        <v>3.96E-3</v>
      </c>
      <c r="M486">
        <v>3.2</v>
      </c>
      <c r="N486">
        <v>70.124961499999998</v>
      </c>
      <c r="O486" s="2">
        <v>300.744082345626</v>
      </c>
      <c r="P486" s="2">
        <v>337229.74634921202</v>
      </c>
      <c r="Q486" s="2">
        <v>810453.60814518703</v>
      </c>
      <c r="R486" s="2">
        <v>2147702.0615847399</v>
      </c>
      <c r="S486" s="2">
        <v>300.78571428571399</v>
      </c>
      <c r="T486" s="2">
        <v>0.24014285714285699</v>
      </c>
      <c r="U486" s="2">
        <v>8</v>
      </c>
    </row>
    <row r="487" spans="1:21" x14ac:dyDescent="0.25">
      <c r="A487" t="s">
        <v>43</v>
      </c>
      <c r="B487" t="s">
        <v>44</v>
      </c>
      <c r="C487">
        <v>9</v>
      </c>
      <c r="D487">
        <v>2</v>
      </c>
      <c r="E487">
        <v>18</v>
      </c>
      <c r="F487">
        <v>2643.5952900000002</v>
      </c>
      <c r="G487">
        <v>7005.5275179999999</v>
      </c>
      <c r="H487">
        <v>1100</v>
      </c>
      <c r="I487">
        <v>1.1000000000000001</v>
      </c>
      <c r="J487">
        <v>1.1000000000000001E-3</v>
      </c>
      <c r="K487">
        <v>2.4250820000000002</v>
      </c>
      <c r="L487">
        <v>1.44E-2</v>
      </c>
      <c r="M487">
        <v>3</v>
      </c>
      <c r="N487">
        <v>42.430361419999997</v>
      </c>
      <c r="O487" s="2">
        <v>47.618344760866002</v>
      </c>
      <c r="P487" s="2">
        <v>1554.8388269591901</v>
      </c>
      <c r="Q487" s="2">
        <v>3736.6950900244801</v>
      </c>
      <c r="R487" s="2">
        <v>9902.2419885648796</v>
      </c>
      <c r="S487" s="2">
        <v>47.633333333333297</v>
      </c>
      <c r="T487" s="2">
        <v>0.44800000000000001</v>
      </c>
      <c r="U487" s="2">
        <v>0</v>
      </c>
    </row>
    <row r="488" spans="1:21" x14ac:dyDescent="0.25">
      <c r="A488" t="s">
        <v>53</v>
      </c>
      <c r="B488" t="s">
        <v>54</v>
      </c>
      <c r="C488">
        <v>9</v>
      </c>
      <c r="D488">
        <v>2</v>
      </c>
      <c r="E488">
        <v>18</v>
      </c>
      <c r="F488">
        <v>4109.5890410000002</v>
      </c>
      <c r="G488">
        <v>10890.410959999999</v>
      </c>
      <c r="H488">
        <v>1710</v>
      </c>
      <c r="I488">
        <v>1.71</v>
      </c>
      <c r="J488">
        <v>1.7099999999999999E-3</v>
      </c>
      <c r="K488">
        <v>3.7699001999999999</v>
      </c>
      <c r="L488">
        <v>1.2E-2</v>
      </c>
      <c r="M488">
        <v>2.95</v>
      </c>
      <c r="N488">
        <v>55.854206490000003</v>
      </c>
      <c r="O488">
        <v>39.077604495980502</v>
      </c>
      <c r="P488">
        <v>596.16798297115497</v>
      </c>
      <c r="Q488">
        <v>1432.7517014447401</v>
      </c>
      <c r="R488">
        <v>3796.79200882856</v>
      </c>
      <c r="S488">
        <v>41</v>
      </c>
      <c r="T488">
        <v>0.17</v>
      </c>
      <c r="U488">
        <v>0</v>
      </c>
    </row>
    <row r="489" spans="1:21" x14ac:dyDescent="0.25">
      <c r="A489" t="s">
        <v>57</v>
      </c>
      <c r="B489" t="s">
        <v>58</v>
      </c>
      <c r="C489">
        <v>9</v>
      </c>
      <c r="D489">
        <v>2</v>
      </c>
      <c r="E489">
        <v>18</v>
      </c>
      <c r="F489">
        <v>8291.2761339999997</v>
      </c>
      <c r="G489">
        <v>21971.88176</v>
      </c>
      <c r="H489">
        <v>3449.9999990000001</v>
      </c>
      <c r="I489">
        <v>3.4499999990000001</v>
      </c>
      <c r="J489">
        <v>3.4499999999999999E-3</v>
      </c>
      <c r="K489">
        <v>7.6059389990000001</v>
      </c>
      <c r="L489">
        <v>4.0000000000000001E-3</v>
      </c>
      <c r="M489">
        <v>3.1</v>
      </c>
      <c r="N489">
        <v>66.371102100000002</v>
      </c>
      <c r="O489">
        <v>72.845573894569299</v>
      </c>
      <c r="P489">
        <v>4561.3302233118602</v>
      </c>
      <c r="Q489">
        <v>10962.1009932993</v>
      </c>
      <c r="R489">
        <v>29049.567632243299</v>
      </c>
      <c r="S489">
        <v>72.900000000000006</v>
      </c>
      <c r="T489">
        <v>0.4</v>
      </c>
      <c r="U489">
        <v>0</v>
      </c>
    </row>
    <row r="490" spans="1:21" x14ac:dyDescent="0.25">
      <c r="A490" t="s">
        <v>59</v>
      </c>
      <c r="B490" t="s">
        <v>60</v>
      </c>
      <c r="C490">
        <v>9</v>
      </c>
      <c r="D490">
        <v>2</v>
      </c>
      <c r="E490">
        <v>18</v>
      </c>
      <c r="F490">
        <v>4109.5890410000002</v>
      </c>
      <c r="G490">
        <v>10890.410959999999</v>
      </c>
      <c r="H490">
        <v>1710</v>
      </c>
      <c r="I490">
        <v>1.71</v>
      </c>
      <c r="J490">
        <v>1.7099999999999999E-3</v>
      </c>
      <c r="K490">
        <v>3.7699001999999999</v>
      </c>
      <c r="L490">
        <v>1.6799999999999999E-2</v>
      </c>
      <c r="M490">
        <v>3.1</v>
      </c>
      <c r="N490">
        <v>41.246095969999999</v>
      </c>
      <c r="O490">
        <v>187.117810293726</v>
      </c>
      <c r="P490">
        <v>185723.20694256501</v>
      </c>
      <c r="Q490">
        <v>446342.722765118</v>
      </c>
      <c r="R490">
        <v>1182808.21532756</v>
      </c>
      <c r="S490">
        <v>263.2</v>
      </c>
      <c r="T490">
        <v>7.0000000000000007E-2</v>
      </c>
      <c r="U490">
        <v>0.27</v>
      </c>
    </row>
    <row r="491" spans="1:21" x14ac:dyDescent="0.25">
      <c r="A491" t="s">
        <v>61</v>
      </c>
      <c r="B491" t="s">
        <v>62</v>
      </c>
      <c r="C491">
        <v>9</v>
      </c>
      <c r="D491">
        <v>1</v>
      </c>
      <c r="E491">
        <v>9</v>
      </c>
      <c r="F491">
        <v>520.11535690000005</v>
      </c>
      <c r="G491">
        <v>1378.3056959999999</v>
      </c>
      <c r="H491">
        <v>216.42</v>
      </c>
      <c r="I491">
        <v>0.21642</v>
      </c>
      <c r="J491">
        <v>2.1641999999999999E-4</v>
      </c>
      <c r="K491">
        <v>0.47712386000000001</v>
      </c>
      <c r="L491">
        <v>1.2500000000000001E-2</v>
      </c>
      <c r="M491">
        <v>3</v>
      </c>
      <c r="N491">
        <v>25.869962149999999</v>
      </c>
      <c r="O491">
        <v>31.444215429315499</v>
      </c>
      <c r="P491">
        <v>388.626402273748</v>
      </c>
      <c r="Q491">
        <v>933.97356951152994</v>
      </c>
      <c r="R491">
        <v>2475.0299592055499</v>
      </c>
      <c r="S491">
        <v>33.700000000000003</v>
      </c>
      <c r="T491">
        <v>0.32</v>
      </c>
      <c r="U491">
        <v>0.55000000000000004</v>
      </c>
    </row>
    <row r="492" spans="1:21" x14ac:dyDescent="0.25">
      <c r="A492" t="s">
        <v>63</v>
      </c>
      <c r="B492" t="s">
        <v>64</v>
      </c>
      <c r="C492">
        <v>9</v>
      </c>
      <c r="D492">
        <v>2</v>
      </c>
      <c r="E492">
        <v>18</v>
      </c>
      <c r="F492">
        <v>2643.5952900000002</v>
      </c>
      <c r="G492">
        <v>7005.5275179999999</v>
      </c>
      <c r="H492">
        <v>1100</v>
      </c>
      <c r="I492">
        <v>1.1000000000000001</v>
      </c>
      <c r="J492">
        <v>1.1000000000000001E-3</v>
      </c>
      <c r="K492">
        <v>2.4250820000000002</v>
      </c>
      <c r="L492">
        <v>1.2E-2</v>
      </c>
      <c r="M492">
        <v>3.1</v>
      </c>
      <c r="N492">
        <v>39.87616345</v>
      </c>
      <c r="O492">
        <v>42.4912087284942</v>
      </c>
      <c r="P492">
        <v>1339.3941906285199</v>
      </c>
      <c r="Q492">
        <v>3218.9237938680999</v>
      </c>
      <c r="R492">
        <v>8530.1480537504704</v>
      </c>
      <c r="S492">
        <v>42.5</v>
      </c>
      <c r="T492">
        <v>0.47</v>
      </c>
      <c r="U492">
        <v>0.05</v>
      </c>
    </row>
    <row r="493" spans="1:21" x14ac:dyDescent="0.25">
      <c r="A493" t="s">
        <v>65</v>
      </c>
      <c r="B493" t="s">
        <v>66</v>
      </c>
      <c r="C493">
        <v>9</v>
      </c>
      <c r="D493">
        <v>3</v>
      </c>
      <c r="E493">
        <v>27</v>
      </c>
      <c r="F493">
        <v>30000</v>
      </c>
      <c r="G493">
        <v>79500</v>
      </c>
      <c r="H493">
        <v>12483</v>
      </c>
      <c r="I493">
        <v>12.483000000000001</v>
      </c>
      <c r="J493">
        <v>1.2482999999999999E-2</v>
      </c>
      <c r="K493">
        <v>27.52027146</v>
      </c>
      <c r="L493">
        <v>1.2699999999999999E-2</v>
      </c>
      <c r="M493">
        <v>3.1</v>
      </c>
      <c r="N493">
        <v>85.717488009999997</v>
      </c>
      <c r="O493">
        <v>52.696518822026903</v>
      </c>
      <c r="P493">
        <v>2762.6616079782798</v>
      </c>
      <c r="Q493">
        <v>6639.4174669028698</v>
      </c>
      <c r="R493">
        <v>17594.4562872926</v>
      </c>
      <c r="S493">
        <v>52.7</v>
      </c>
      <c r="T493">
        <v>0.35</v>
      </c>
      <c r="U493">
        <v>-0.5</v>
      </c>
    </row>
    <row r="494" spans="1:21" x14ac:dyDescent="0.25">
      <c r="A494" t="s">
        <v>67</v>
      </c>
      <c r="B494" t="s">
        <v>68</v>
      </c>
      <c r="C494">
        <v>9</v>
      </c>
      <c r="D494">
        <v>1</v>
      </c>
      <c r="E494">
        <v>9</v>
      </c>
      <c r="F494">
        <v>704.28</v>
      </c>
      <c r="G494">
        <v>1866.37</v>
      </c>
      <c r="H494">
        <v>293.05090799999999</v>
      </c>
      <c r="I494">
        <v>0.293050908</v>
      </c>
      <c r="J494">
        <v>2.9305100000000001E-4</v>
      </c>
      <c r="K494">
        <v>0.64606589299999995</v>
      </c>
      <c r="L494">
        <v>1.29E-2</v>
      </c>
      <c r="M494">
        <v>3.05</v>
      </c>
      <c r="N494">
        <v>26.810973130000001</v>
      </c>
      <c r="O494">
        <v>38.3106496975144</v>
      </c>
      <c r="P494">
        <v>870.39069088429505</v>
      </c>
      <c r="Q494">
        <v>2091.7824822982302</v>
      </c>
      <c r="R494">
        <v>5543.2235780903202</v>
      </c>
      <c r="S494">
        <v>40.6</v>
      </c>
      <c r="T494">
        <v>0.27</v>
      </c>
      <c r="U494">
        <v>-1.65</v>
      </c>
    </row>
    <row r="495" spans="1:21" x14ac:dyDescent="0.25">
      <c r="A495" t="s">
        <v>69</v>
      </c>
      <c r="B495" t="s">
        <v>70</v>
      </c>
      <c r="C495">
        <v>9</v>
      </c>
      <c r="D495">
        <v>1</v>
      </c>
      <c r="E495">
        <v>9</v>
      </c>
      <c r="F495">
        <v>372.74693589999998</v>
      </c>
      <c r="G495">
        <v>987.77937999999995</v>
      </c>
      <c r="H495">
        <v>155.1</v>
      </c>
      <c r="I495">
        <v>0.15509999999999999</v>
      </c>
      <c r="J495">
        <v>1.551E-4</v>
      </c>
      <c r="K495">
        <v>0.341936562</v>
      </c>
      <c r="L495">
        <v>0.01</v>
      </c>
      <c r="M495">
        <v>2.9</v>
      </c>
      <c r="N495">
        <v>27.86368495</v>
      </c>
      <c r="O495">
        <v>33.429802434428296</v>
      </c>
      <c r="P495">
        <v>263.01956122966197</v>
      </c>
      <c r="Q495">
        <v>632.10661194343197</v>
      </c>
      <c r="R495">
        <v>1675.0825216501</v>
      </c>
      <c r="S495">
        <v>37.700000000000003</v>
      </c>
      <c r="T495">
        <v>0.24199999999999999</v>
      </c>
      <c r="U495">
        <v>0</v>
      </c>
    </row>
    <row r="496" spans="1:21" x14ac:dyDescent="0.25">
      <c r="A496" s="2" t="s">
        <v>71</v>
      </c>
      <c r="B496" t="s">
        <v>72</v>
      </c>
      <c r="C496">
        <v>9</v>
      </c>
      <c r="D496">
        <v>1</v>
      </c>
      <c r="E496">
        <v>9</v>
      </c>
      <c r="F496">
        <v>5.1429944729999999</v>
      </c>
      <c r="G496">
        <v>13.628935350000001</v>
      </c>
      <c r="H496">
        <v>2.1400000002152999</v>
      </c>
      <c r="I496">
        <v>2.1400000002153E-3</v>
      </c>
      <c r="J496">
        <v>2.1400000002152999E-6</v>
      </c>
      <c r="K496">
        <v>4.7178868004746502E-3</v>
      </c>
      <c r="L496" s="3">
        <v>1.0999999999999999E-2</v>
      </c>
      <c r="M496" s="3">
        <v>3.01</v>
      </c>
      <c r="N496">
        <v>5.7606583930870299</v>
      </c>
      <c r="O496" s="2">
        <v>8.6224209856518694</v>
      </c>
      <c r="P496" s="2">
        <v>7.2050441633690196</v>
      </c>
      <c r="Q496" s="2">
        <v>17.3156552832709</v>
      </c>
      <c r="R496" s="2">
        <v>45.8864865006679</v>
      </c>
      <c r="S496">
        <v>9</v>
      </c>
      <c r="T496">
        <v>0.32</v>
      </c>
      <c r="U496">
        <v>-0.91</v>
      </c>
    </row>
    <row r="497" spans="1:21" x14ac:dyDescent="0.25">
      <c r="A497" s="2" t="s">
        <v>49</v>
      </c>
      <c r="B497" t="s">
        <v>50</v>
      </c>
      <c r="C497">
        <v>9</v>
      </c>
      <c r="D497">
        <v>1</v>
      </c>
      <c r="E497">
        <v>9</v>
      </c>
      <c r="F497">
        <v>2643.5952900000002</v>
      </c>
      <c r="G497">
        <v>7005.5275179999999</v>
      </c>
      <c r="H497">
        <v>1100.000000169</v>
      </c>
      <c r="I497">
        <v>1.100000000169</v>
      </c>
      <c r="J497">
        <v>1.1000000001690001E-3</v>
      </c>
      <c r="K497">
        <v>2.4250820003725799</v>
      </c>
      <c r="L497" s="3">
        <v>1.2E-2</v>
      </c>
      <c r="M497" s="3">
        <v>3.1</v>
      </c>
      <c r="N497">
        <v>39.876163449959897</v>
      </c>
      <c r="O497" s="2">
        <v>47.132734314900802</v>
      </c>
      <c r="P497" s="2">
        <v>1847.06175226286</v>
      </c>
      <c r="Q497" s="2">
        <v>4438.9852253373101</v>
      </c>
      <c r="R497" s="2">
        <v>11763.310847143901</v>
      </c>
      <c r="S497" s="2">
        <v>54.3</v>
      </c>
      <c r="T497" s="2">
        <v>0.22500000000000001</v>
      </c>
      <c r="U497" s="2">
        <v>0</v>
      </c>
    </row>
    <row r="498" spans="1:21" x14ac:dyDescent="0.25">
      <c r="A498" t="s">
        <v>55</v>
      </c>
      <c r="B498" t="s">
        <v>56</v>
      </c>
      <c r="C498">
        <v>9</v>
      </c>
      <c r="D498">
        <v>1</v>
      </c>
      <c r="E498">
        <v>9</v>
      </c>
      <c r="F498">
        <v>18022.110069999999</v>
      </c>
      <c r="G498">
        <v>47758.591679999998</v>
      </c>
      <c r="H498">
        <v>7499</v>
      </c>
      <c r="I498">
        <v>7.4989999999999997</v>
      </c>
      <c r="J498">
        <v>7.4989999999999996E-3</v>
      </c>
      <c r="K498">
        <v>16.532445379999999</v>
      </c>
      <c r="L498">
        <v>1.2999999999999999E-2</v>
      </c>
      <c r="M498">
        <v>3</v>
      </c>
      <c r="N498">
        <v>83.244075370000004</v>
      </c>
      <c r="O498">
        <v>87.380222263343697</v>
      </c>
      <c r="P498">
        <v>8673.2684272407605</v>
      </c>
      <c r="Q498">
        <v>20844.192326942499</v>
      </c>
      <c r="R498">
        <v>55237.109666397599</v>
      </c>
      <c r="S498">
        <v>152</v>
      </c>
      <c r="T498">
        <v>9.6000000000000002E-2</v>
      </c>
      <c r="U498">
        <v>0.09</v>
      </c>
    </row>
    <row r="499" spans="1:21" x14ac:dyDescent="0.25">
      <c r="A499" t="s">
        <v>75</v>
      </c>
      <c r="B499" t="s">
        <v>76</v>
      </c>
      <c r="C499">
        <v>9</v>
      </c>
      <c r="D499">
        <v>2</v>
      </c>
      <c r="E499">
        <v>18</v>
      </c>
      <c r="F499">
        <v>2643.5952900000002</v>
      </c>
      <c r="G499">
        <v>7005.5275179999999</v>
      </c>
      <c r="H499">
        <v>1100</v>
      </c>
      <c r="I499">
        <v>1.1000000000000001</v>
      </c>
      <c r="J499">
        <v>1.1000000000000001E-3</v>
      </c>
      <c r="K499">
        <v>2.4250820000000002</v>
      </c>
      <c r="L499">
        <v>2.5000000000000001E-3</v>
      </c>
      <c r="M499">
        <v>3.1</v>
      </c>
      <c r="N499">
        <v>66.140672339999995</v>
      </c>
      <c r="O499">
        <v>104.220945610421</v>
      </c>
      <c r="P499">
        <v>4504.0223547646401</v>
      </c>
      <c r="Q499">
        <v>10824.3748011647</v>
      </c>
      <c r="R499">
        <v>28684.5932230865</v>
      </c>
      <c r="S499">
        <v>122</v>
      </c>
      <c r="T499">
        <v>0.107</v>
      </c>
      <c r="U499">
        <v>0</v>
      </c>
    </row>
    <row r="500" spans="1:21" x14ac:dyDescent="0.25">
      <c r="A500" t="s">
        <v>73</v>
      </c>
      <c r="B500" t="s">
        <v>74</v>
      </c>
      <c r="C500">
        <v>9</v>
      </c>
      <c r="D500">
        <v>2</v>
      </c>
      <c r="E500">
        <v>18</v>
      </c>
      <c r="F500">
        <v>2643.5952900000002</v>
      </c>
      <c r="G500">
        <v>7005.5275179999999</v>
      </c>
      <c r="H500">
        <v>1100</v>
      </c>
      <c r="I500">
        <v>1.1000000000000001</v>
      </c>
      <c r="J500">
        <v>1.1000000000000001E-3</v>
      </c>
      <c r="K500">
        <v>2.4250820000000002</v>
      </c>
      <c r="L500">
        <v>1.4E-2</v>
      </c>
      <c r="M500">
        <v>2.8</v>
      </c>
      <c r="N500">
        <v>56.015575650000002</v>
      </c>
      <c r="O500">
        <v>42.992393863203603</v>
      </c>
      <c r="P500">
        <v>524.35400980298004</v>
      </c>
      <c r="Q500">
        <v>1260.1634458134599</v>
      </c>
      <c r="R500">
        <v>3339.4331314056599</v>
      </c>
      <c r="S500">
        <v>43</v>
      </c>
      <c r="T500">
        <v>0.48</v>
      </c>
      <c r="U500">
        <v>0</v>
      </c>
    </row>
    <row r="501" spans="1:21" x14ac:dyDescent="0.25">
      <c r="A501" s="2" t="s">
        <v>51</v>
      </c>
      <c r="B501" t="s">
        <v>52</v>
      </c>
      <c r="C501">
        <v>9</v>
      </c>
      <c r="D501">
        <v>1</v>
      </c>
      <c r="E501">
        <v>9</v>
      </c>
      <c r="F501">
        <v>4109.5890410000002</v>
      </c>
      <c r="G501">
        <v>10890.410959999999</v>
      </c>
      <c r="H501">
        <v>1709.9999999601</v>
      </c>
      <c r="I501">
        <v>1.7099999999601001</v>
      </c>
      <c r="J501">
        <v>1.7099999999601E-3</v>
      </c>
      <c r="K501">
        <v>3.7699001999120401</v>
      </c>
      <c r="L501" s="3">
        <v>1.24E-2</v>
      </c>
      <c r="M501" s="3">
        <v>3.2</v>
      </c>
      <c r="N501">
        <v>40.375415800387898</v>
      </c>
      <c r="O501" s="2">
        <v>17.524649539874201</v>
      </c>
      <c r="P501" s="2">
        <v>118.331284386763</v>
      </c>
      <c r="Q501" s="2">
        <v>284.38184183312501</v>
      </c>
      <c r="R501" s="2">
        <v>753.61188085778201</v>
      </c>
      <c r="S501">
        <v>20.9</v>
      </c>
      <c r="T501">
        <v>0.19500000000000001</v>
      </c>
      <c r="U501">
        <v>-0.35</v>
      </c>
    </row>
    <row r="502" spans="1:21" x14ac:dyDescent="0.25">
      <c r="A502" t="s">
        <v>85</v>
      </c>
      <c r="B502" t="s">
        <v>86</v>
      </c>
      <c r="C502">
        <v>9</v>
      </c>
      <c r="D502">
        <v>7</v>
      </c>
      <c r="E502">
        <v>63</v>
      </c>
      <c r="F502">
        <v>64280.782099999997</v>
      </c>
      <c r="G502">
        <v>170344.27299999999</v>
      </c>
      <c r="H502">
        <v>26747.23343</v>
      </c>
      <c r="I502">
        <v>26.747233430000001</v>
      </c>
      <c r="J502">
        <v>2.6747232999999999E-2</v>
      </c>
      <c r="K502">
        <v>58.967485770000003</v>
      </c>
      <c r="L502">
        <v>5.2399999999999999E-3</v>
      </c>
      <c r="M502">
        <v>3.141</v>
      </c>
      <c r="N502">
        <v>136.64977099999999</v>
      </c>
      <c r="O502" s="2">
        <v>309.07520208453201</v>
      </c>
      <c r="P502" s="2">
        <v>347234.46066853101</v>
      </c>
      <c r="Q502" s="2">
        <v>834497.6223709</v>
      </c>
      <c r="R502" s="2">
        <v>2211418.6992828799</v>
      </c>
      <c r="S502">
        <v>309.24444444444401</v>
      </c>
      <c r="T502">
        <v>0.13655555555555601</v>
      </c>
      <c r="U502">
        <v>8</v>
      </c>
    </row>
    <row r="503" spans="1:21" x14ac:dyDescent="0.25">
      <c r="A503" t="s">
        <v>77</v>
      </c>
      <c r="B503" t="s">
        <v>78</v>
      </c>
      <c r="C503">
        <v>9</v>
      </c>
      <c r="D503">
        <v>3</v>
      </c>
      <c r="E503">
        <v>27</v>
      </c>
      <c r="F503">
        <v>185026.83429999999</v>
      </c>
      <c r="G503">
        <v>490321.11090000003</v>
      </c>
      <c r="H503">
        <v>76989.66575</v>
      </c>
      <c r="I503">
        <v>76.98966575</v>
      </c>
      <c r="J503">
        <v>7.6989665999999998E-2</v>
      </c>
      <c r="K503">
        <v>169.7329569</v>
      </c>
      <c r="L503">
        <v>3.5000000000000003E-2</v>
      </c>
      <c r="M503">
        <v>2.9</v>
      </c>
      <c r="N503">
        <v>153.8233281</v>
      </c>
      <c r="O503" s="2">
        <v>208.40671428253</v>
      </c>
      <c r="P503" s="2">
        <v>185742.802324388</v>
      </c>
      <c r="Q503" s="2">
        <v>446389.81572792202</v>
      </c>
      <c r="R503" s="2">
        <v>1182933.01167899</v>
      </c>
      <c r="S503">
        <v>208.40700000000001</v>
      </c>
      <c r="T503">
        <v>0.5</v>
      </c>
      <c r="U503">
        <v>0</v>
      </c>
    </row>
    <row r="504" spans="1:21" x14ac:dyDescent="0.25">
      <c r="A504" t="s">
        <v>79</v>
      </c>
      <c r="B504" t="s">
        <v>80</v>
      </c>
      <c r="C504">
        <v>9</v>
      </c>
      <c r="D504">
        <v>2</v>
      </c>
      <c r="E504">
        <v>18</v>
      </c>
      <c r="F504">
        <v>4109.5890410000002</v>
      </c>
      <c r="G504">
        <v>10890.410959999999</v>
      </c>
      <c r="H504">
        <v>1710</v>
      </c>
      <c r="I504">
        <v>1.71</v>
      </c>
      <c r="J504">
        <v>1.7099999999999999E-3</v>
      </c>
      <c r="K504">
        <v>3.7699001999999999</v>
      </c>
      <c r="L504">
        <v>3.3999999999999998E-3</v>
      </c>
      <c r="M504">
        <v>3.2850000000000001</v>
      </c>
      <c r="N504">
        <v>40.375415799999999</v>
      </c>
      <c r="O504">
        <v>57.091427056322701</v>
      </c>
      <c r="P504">
        <v>5181.4171851236797</v>
      </c>
      <c r="Q504">
        <v>12452.3364218305</v>
      </c>
      <c r="R504">
        <v>32998.691517850901</v>
      </c>
      <c r="S504">
        <v>59.9</v>
      </c>
      <c r="T504">
        <v>0.17</v>
      </c>
      <c r="U504">
        <v>0</v>
      </c>
    </row>
    <row r="505" spans="1:21" x14ac:dyDescent="0.25">
      <c r="A505" t="s">
        <v>81</v>
      </c>
      <c r="B505" t="s">
        <v>82</v>
      </c>
      <c r="C505">
        <v>9</v>
      </c>
      <c r="D505">
        <v>2</v>
      </c>
      <c r="E505">
        <v>18</v>
      </c>
      <c r="F505">
        <v>2643.5952900000002</v>
      </c>
      <c r="G505">
        <v>7005.5275179999999</v>
      </c>
      <c r="H505">
        <v>1100</v>
      </c>
      <c r="I505">
        <v>1.1000000000000001</v>
      </c>
      <c r="J505">
        <v>1.1000000000000001E-3</v>
      </c>
      <c r="K505">
        <v>2.4250820000000002</v>
      </c>
      <c r="L505">
        <v>1.4999999999999999E-2</v>
      </c>
      <c r="M505">
        <v>3</v>
      </c>
      <c r="N505">
        <v>41.85690786</v>
      </c>
      <c r="O505">
        <v>101.029904306681</v>
      </c>
      <c r="P505">
        <v>15468.246487307701</v>
      </c>
      <c r="Q505">
        <v>37174.3486837483</v>
      </c>
      <c r="R505">
        <v>98512.024011932997</v>
      </c>
      <c r="S505">
        <v>106</v>
      </c>
      <c r="T505">
        <v>0.17</v>
      </c>
      <c r="U505">
        <v>0</v>
      </c>
    </row>
    <row r="506" spans="1:21" x14ac:dyDescent="0.25">
      <c r="A506" t="s">
        <v>83</v>
      </c>
      <c r="B506" t="s">
        <v>84</v>
      </c>
      <c r="C506">
        <v>9</v>
      </c>
      <c r="D506">
        <v>7</v>
      </c>
      <c r="E506">
        <v>63</v>
      </c>
      <c r="F506">
        <v>64280.782099999997</v>
      </c>
      <c r="G506">
        <v>170344.27299999999</v>
      </c>
      <c r="H506">
        <v>26747.23343</v>
      </c>
      <c r="I506">
        <v>26.747233430000001</v>
      </c>
      <c r="J506">
        <v>2.6747232999999999E-2</v>
      </c>
      <c r="K506">
        <v>58.967485770000003</v>
      </c>
      <c r="L506">
        <v>5.4000000000000003E-3</v>
      </c>
      <c r="M506">
        <v>3</v>
      </c>
      <c r="N506">
        <v>170.46231</v>
      </c>
      <c r="O506">
        <v>279.812356313083</v>
      </c>
      <c r="P506">
        <v>118302.637183698</v>
      </c>
      <c r="Q506">
        <v>284312.994913959</v>
      </c>
      <c r="R506">
        <v>753429.43652199197</v>
      </c>
      <c r="S506">
        <v>280</v>
      </c>
      <c r="T506">
        <v>0.11600000000000001</v>
      </c>
      <c r="U506">
        <v>0</v>
      </c>
    </row>
    <row r="507" spans="1:21" x14ac:dyDescent="0.25">
      <c r="A507" t="s">
        <v>91</v>
      </c>
      <c r="B507" t="s">
        <v>92</v>
      </c>
      <c r="C507">
        <v>9</v>
      </c>
      <c r="D507">
        <v>2</v>
      </c>
      <c r="E507">
        <v>18</v>
      </c>
      <c r="F507">
        <v>2643.5952900000002</v>
      </c>
      <c r="G507">
        <v>7005.5275179999999</v>
      </c>
      <c r="H507">
        <v>1100</v>
      </c>
      <c r="I507">
        <v>1.1000000000000001</v>
      </c>
      <c r="J507">
        <v>1.1000000000000001E-3</v>
      </c>
      <c r="K507">
        <v>2.4250820000000002</v>
      </c>
      <c r="L507">
        <v>1.2999999999999999E-2</v>
      </c>
      <c r="M507">
        <v>3</v>
      </c>
      <c r="N507">
        <v>43.901879260000001</v>
      </c>
      <c r="O507">
        <v>58.230711416670999</v>
      </c>
      <c r="P507">
        <v>2566.84497585294</v>
      </c>
      <c r="Q507">
        <v>6168.8175338931596</v>
      </c>
      <c r="R507">
        <v>16347.3664648169</v>
      </c>
      <c r="S507">
        <v>60.2</v>
      </c>
      <c r="T507">
        <v>0.19</v>
      </c>
      <c r="U507">
        <v>0</v>
      </c>
    </row>
    <row r="508" spans="1:21" x14ac:dyDescent="0.25">
      <c r="A508" t="s">
        <v>87</v>
      </c>
      <c r="B508" t="s">
        <v>88</v>
      </c>
      <c r="C508">
        <v>9</v>
      </c>
      <c r="D508">
        <v>2</v>
      </c>
      <c r="E508">
        <v>18</v>
      </c>
      <c r="F508">
        <v>2643.5952900000002</v>
      </c>
      <c r="G508">
        <v>7005.5275179999999</v>
      </c>
      <c r="H508">
        <v>1100</v>
      </c>
      <c r="I508">
        <v>1.1000000000000001</v>
      </c>
      <c r="J508">
        <v>1.1000000000000001E-3</v>
      </c>
      <c r="K508">
        <v>2.4250820000000002</v>
      </c>
      <c r="L508">
        <v>6.0000000000000001E-3</v>
      </c>
      <c r="M508">
        <v>3.1</v>
      </c>
      <c r="N508">
        <v>49.867755070000001</v>
      </c>
      <c r="O508">
        <v>30.517672615040301</v>
      </c>
      <c r="P508">
        <v>240.02728929089099</v>
      </c>
      <c r="Q508">
        <v>576.850010312162</v>
      </c>
      <c r="R508">
        <v>1528.65252732723</v>
      </c>
      <c r="S508">
        <v>31.4</v>
      </c>
      <c r="T508">
        <v>0.19</v>
      </c>
      <c r="U508">
        <v>-0.8</v>
      </c>
    </row>
    <row r="509" spans="1:21" x14ac:dyDescent="0.25">
      <c r="A509" t="s">
        <v>93</v>
      </c>
      <c r="B509" t="s">
        <v>94</v>
      </c>
      <c r="C509">
        <v>9</v>
      </c>
      <c r="D509">
        <v>9</v>
      </c>
      <c r="E509">
        <v>81</v>
      </c>
      <c r="F509">
        <v>1772528862</v>
      </c>
      <c r="G509">
        <v>4697201484</v>
      </c>
      <c r="H509">
        <v>737549259.5</v>
      </c>
      <c r="I509">
        <v>737549.25950000004</v>
      </c>
      <c r="J509">
        <v>737.54925949999995</v>
      </c>
      <c r="K509">
        <v>1626015.848</v>
      </c>
      <c r="L509" s="2">
        <v>1.7000000000000001E-2</v>
      </c>
      <c r="M509">
        <v>3</v>
      </c>
      <c r="N509">
        <v>1544.971047</v>
      </c>
      <c r="O509" s="2">
        <v>1584.95999745578</v>
      </c>
      <c r="P509" s="2">
        <v>67686777.489376798</v>
      </c>
      <c r="Q509" s="2">
        <v>162669496.48973</v>
      </c>
      <c r="R509" s="2">
        <v>431074165.69778502</v>
      </c>
      <c r="S509">
        <v>1584.96</v>
      </c>
      <c r="T509" s="2">
        <v>0.25</v>
      </c>
      <c r="U509">
        <v>0</v>
      </c>
    </row>
    <row r="510" spans="1:21" x14ac:dyDescent="0.25">
      <c r="A510" t="s">
        <v>109</v>
      </c>
      <c r="B510" t="s">
        <v>110</v>
      </c>
      <c r="C510">
        <v>9</v>
      </c>
      <c r="D510">
        <v>5</v>
      </c>
      <c r="E510">
        <v>45</v>
      </c>
      <c r="F510">
        <v>7678.7389750000002</v>
      </c>
      <c r="G510">
        <v>20348.65828</v>
      </c>
      <c r="H510">
        <v>3195.1232869999999</v>
      </c>
      <c r="I510">
        <v>3.1951232869999999</v>
      </c>
      <c r="J510">
        <v>3.1951229999999998E-3</v>
      </c>
      <c r="K510">
        <v>7.044032702</v>
      </c>
      <c r="L510">
        <v>4.3E-3</v>
      </c>
      <c r="M510">
        <v>3.1</v>
      </c>
      <c r="N510">
        <v>78.320806329999996</v>
      </c>
      <c r="O510">
        <v>168.62718420839201</v>
      </c>
      <c r="P510">
        <v>34430.551456728099</v>
      </c>
      <c r="Q510">
        <v>82745.857862840901</v>
      </c>
      <c r="R510">
        <v>219276.52333652799</v>
      </c>
      <c r="S510">
        <v>186</v>
      </c>
      <c r="T510">
        <v>4.5999999999999999E-2</v>
      </c>
      <c r="U510">
        <v>-6.54</v>
      </c>
    </row>
    <row r="511" spans="1:21" x14ac:dyDescent="0.25">
      <c r="A511" t="s">
        <v>99</v>
      </c>
      <c r="B511" t="s">
        <v>100</v>
      </c>
      <c r="C511">
        <v>9</v>
      </c>
      <c r="D511">
        <v>2</v>
      </c>
      <c r="E511">
        <v>18</v>
      </c>
      <c r="F511">
        <v>2643.5952900000002</v>
      </c>
      <c r="G511">
        <v>7005.5275179999999</v>
      </c>
      <c r="H511">
        <v>1100</v>
      </c>
      <c r="I511">
        <v>1.1000000000000001</v>
      </c>
      <c r="J511">
        <v>1.1000000000000001E-3</v>
      </c>
      <c r="K511">
        <v>2.4250820000000002</v>
      </c>
      <c r="L511">
        <v>1.4999999999999999E-2</v>
      </c>
      <c r="M511">
        <v>3.1</v>
      </c>
      <c r="N511">
        <v>37.106677779999998</v>
      </c>
      <c r="O511">
        <v>40.411961722672501</v>
      </c>
      <c r="P511">
        <v>1433.0853330964401</v>
      </c>
      <c r="Q511">
        <v>3444.08876014525</v>
      </c>
      <c r="R511">
        <v>9126.8352143849297</v>
      </c>
      <c r="S511">
        <v>42.4</v>
      </c>
      <c r="T511">
        <v>0.17</v>
      </c>
      <c r="U511">
        <v>0</v>
      </c>
    </row>
    <row r="512" spans="1:21" x14ac:dyDescent="0.25">
      <c r="A512" t="s">
        <v>97</v>
      </c>
      <c r="B512" t="s">
        <v>98</v>
      </c>
      <c r="C512">
        <v>9</v>
      </c>
      <c r="D512">
        <v>2</v>
      </c>
      <c r="E512">
        <v>18</v>
      </c>
      <c r="F512">
        <v>27188.59073</v>
      </c>
      <c r="G512">
        <v>72049.765429999999</v>
      </c>
      <c r="H512">
        <v>11313.1726</v>
      </c>
      <c r="I512">
        <v>11.3131726</v>
      </c>
      <c r="J512">
        <v>1.1313172999999999E-2</v>
      </c>
      <c r="K512">
        <v>24.941246580000001</v>
      </c>
      <c r="L512" s="2">
        <v>6.5000000000000002E-2</v>
      </c>
      <c r="M512">
        <v>3</v>
      </c>
      <c r="N512">
        <v>82.702405010000007</v>
      </c>
      <c r="O512">
        <v>23.599967645365599</v>
      </c>
      <c r="P512">
        <v>854.37312605856403</v>
      </c>
      <c r="Q512">
        <v>2053.2879741854499</v>
      </c>
      <c r="R512">
        <v>5441.2131315914303</v>
      </c>
      <c r="S512">
        <v>23.6</v>
      </c>
      <c r="T512">
        <v>0.75</v>
      </c>
      <c r="U512">
        <v>0</v>
      </c>
    </row>
    <row r="513" spans="1:21" x14ac:dyDescent="0.25">
      <c r="A513" s="2" t="s">
        <v>47</v>
      </c>
      <c r="B513" t="s">
        <v>48</v>
      </c>
      <c r="C513">
        <v>9</v>
      </c>
      <c r="D513">
        <v>1</v>
      </c>
      <c r="E513">
        <v>9</v>
      </c>
      <c r="F513">
        <v>372.74693589999998</v>
      </c>
      <c r="G513">
        <v>987.77937999999995</v>
      </c>
      <c r="H513">
        <v>155.10000002799001</v>
      </c>
      <c r="I513">
        <v>0.15510000002798999</v>
      </c>
      <c r="J513">
        <v>1.5510000002799001E-4</v>
      </c>
      <c r="K513">
        <v>0.34193656206170697</v>
      </c>
      <c r="L513" s="3">
        <v>1.23E-2</v>
      </c>
      <c r="M513" s="3">
        <v>3.2</v>
      </c>
      <c r="N513">
        <v>19.119249450601199</v>
      </c>
      <c r="O513" s="2">
        <v>38.998658302082802</v>
      </c>
      <c r="P513" s="2">
        <v>1517.97298458809</v>
      </c>
      <c r="Q513" s="2">
        <v>3648.0965743525499</v>
      </c>
      <c r="R513" s="2">
        <v>9667.4559220342508</v>
      </c>
      <c r="S513" s="2">
        <v>39.200000000000003</v>
      </c>
      <c r="T513" s="2">
        <v>0.58571428571428596</v>
      </c>
      <c r="U513" s="2">
        <v>0</v>
      </c>
    </row>
    <row r="514" spans="1:21" x14ac:dyDescent="0.25">
      <c r="A514" t="s">
        <v>103</v>
      </c>
      <c r="B514" t="s">
        <v>104</v>
      </c>
      <c r="C514">
        <v>9</v>
      </c>
      <c r="D514">
        <v>1</v>
      </c>
      <c r="E514">
        <v>9</v>
      </c>
      <c r="F514">
        <v>3845.2295119999999</v>
      </c>
      <c r="G514">
        <v>10189.85821</v>
      </c>
      <c r="H514">
        <v>1600</v>
      </c>
      <c r="I514">
        <v>1.6</v>
      </c>
      <c r="J514">
        <v>1.6000000000000001E-3</v>
      </c>
      <c r="K514">
        <v>3.5273919999999999</v>
      </c>
      <c r="L514">
        <v>1.2999999999999999E-2</v>
      </c>
      <c r="M514">
        <v>2.8</v>
      </c>
      <c r="N514">
        <v>65.753704429999999</v>
      </c>
      <c r="O514">
        <v>52.457425079931603</v>
      </c>
      <c r="P514">
        <v>849.96856780960195</v>
      </c>
      <c r="Q514">
        <v>2042.70263833118</v>
      </c>
      <c r="R514">
        <v>5413.16199157762</v>
      </c>
      <c r="S514">
        <v>65.400000000000006</v>
      </c>
      <c r="T514">
        <v>0.18</v>
      </c>
      <c r="U514">
        <v>0</v>
      </c>
    </row>
    <row r="515" spans="1:21" x14ac:dyDescent="0.25">
      <c r="A515" s="2" t="s">
        <v>105</v>
      </c>
      <c r="B515" t="s">
        <v>106</v>
      </c>
      <c r="C515">
        <v>9</v>
      </c>
      <c r="D515">
        <v>3</v>
      </c>
      <c r="E515">
        <v>27</v>
      </c>
      <c r="F515">
        <v>30000</v>
      </c>
      <c r="G515">
        <v>79500</v>
      </c>
      <c r="H515">
        <v>12483</v>
      </c>
      <c r="I515">
        <v>12.483000000000001</v>
      </c>
      <c r="J515">
        <v>1.2482999999999999E-2</v>
      </c>
      <c r="K515">
        <v>27.512532</v>
      </c>
      <c r="L515" s="3">
        <v>1.2699999999999999E-2</v>
      </c>
      <c r="M515" s="3">
        <v>3.1</v>
      </c>
      <c r="N515">
        <v>85.717488006455099</v>
      </c>
      <c r="O515" s="2">
        <v>108.24668882222301</v>
      </c>
      <c r="P515" s="2">
        <v>25732.9185013606</v>
      </c>
      <c r="Q515" s="2">
        <v>61843.111034271897</v>
      </c>
      <c r="R515" s="2">
        <v>163884.24424082099</v>
      </c>
      <c r="S515">
        <v>109.97499999999999</v>
      </c>
      <c r="T515">
        <v>0.14749999999999999</v>
      </c>
      <c r="U515">
        <v>-1.1566666666666701</v>
      </c>
    </row>
    <row r="516" spans="1:21" x14ac:dyDescent="0.25">
      <c r="A516" t="s">
        <v>115</v>
      </c>
      <c r="B516" t="s">
        <v>116</v>
      </c>
      <c r="C516">
        <v>9</v>
      </c>
      <c r="D516">
        <v>7</v>
      </c>
      <c r="E516">
        <v>63</v>
      </c>
      <c r="F516">
        <v>9236057.7970000003</v>
      </c>
      <c r="G516">
        <v>24475553.16</v>
      </c>
      <c r="H516">
        <v>3843123.6490000002</v>
      </c>
      <c r="I516">
        <v>3843.1236490000001</v>
      </c>
      <c r="J516">
        <v>3.8431236489999998</v>
      </c>
      <c r="K516">
        <v>8472.6272599999993</v>
      </c>
      <c r="L516" s="2">
        <v>1.4999999999999999E-2</v>
      </c>
      <c r="M516">
        <v>3</v>
      </c>
      <c r="N516">
        <v>727.04526869999995</v>
      </c>
      <c r="O516" s="2">
        <v>271.77996072832701</v>
      </c>
      <c r="P516" s="2">
        <v>301122.74012131902</v>
      </c>
      <c r="Q516" s="2">
        <v>723678.77943119197</v>
      </c>
      <c r="R516" s="2">
        <v>1917748.76549266</v>
      </c>
      <c r="S516">
        <v>271.77999999999997</v>
      </c>
      <c r="T516">
        <v>0.25</v>
      </c>
      <c r="U516">
        <v>0</v>
      </c>
    </row>
    <row r="517" spans="1:21" x14ac:dyDescent="0.25">
      <c r="A517" t="s">
        <v>107</v>
      </c>
      <c r="B517" t="s">
        <v>108</v>
      </c>
      <c r="C517">
        <v>9</v>
      </c>
      <c r="D517">
        <v>5</v>
      </c>
      <c r="E517">
        <v>45</v>
      </c>
      <c r="F517">
        <v>7678.7389750000002</v>
      </c>
      <c r="G517">
        <v>20348.65828</v>
      </c>
      <c r="H517">
        <v>3195.1232869999999</v>
      </c>
      <c r="I517">
        <v>3.1951232869999999</v>
      </c>
      <c r="J517">
        <v>3.1951229999999998E-3</v>
      </c>
      <c r="K517">
        <v>7.044032702</v>
      </c>
      <c r="L517">
        <v>3.5999999999999999E-3</v>
      </c>
      <c r="M517">
        <v>3</v>
      </c>
      <c r="N517">
        <v>96.101103210000005</v>
      </c>
      <c r="O517">
        <v>131.003869622228</v>
      </c>
      <c r="P517">
        <v>8093.8448123255803</v>
      </c>
      <c r="Q517">
        <v>19451.681836879499</v>
      </c>
      <c r="R517">
        <v>51546.956867730798</v>
      </c>
      <c r="S517">
        <v>150</v>
      </c>
      <c r="T517">
        <v>4.1000000000000002E-2</v>
      </c>
      <c r="U517">
        <v>-5.4</v>
      </c>
    </row>
    <row r="518" spans="1:21" x14ac:dyDescent="0.25">
      <c r="A518" t="s">
        <v>41</v>
      </c>
      <c r="B518" t="s">
        <v>42</v>
      </c>
      <c r="C518">
        <v>9</v>
      </c>
      <c r="D518">
        <v>4</v>
      </c>
      <c r="E518">
        <v>36</v>
      </c>
      <c r="F518">
        <v>28445.111649999999</v>
      </c>
      <c r="G518">
        <v>75379.545880000005</v>
      </c>
      <c r="H518">
        <v>11836.01096</v>
      </c>
      <c r="I518">
        <v>11.836010959999999</v>
      </c>
      <c r="J518">
        <v>1.1836011E-2</v>
      </c>
      <c r="K518">
        <v>26.093906480000001</v>
      </c>
      <c r="L518">
        <v>1.34E-2</v>
      </c>
      <c r="M518">
        <v>3.1</v>
      </c>
      <c r="N518">
        <v>82.812701989999994</v>
      </c>
      <c r="O518">
        <v>90.550729066764205</v>
      </c>
      <c r="P518">
        <v>15612.4063975565</v>
      </c>
      <c r="Q518">
        <v>37520.803647095803</v>
      </c>
      <c r="R518">
        <v>99430.129664803797</v>
      </c>
      <c r="S518">
        <v>91.5</v>
      </c>
      <c r="T518">
        <v>0.12690000000000001</v>
      </c>
      <c r="U518">
        <v>0</v>
      </c>
    </row>
    <row r="519" spans="1:21" x14ac:dyDescent="0.25">
      <c r="A519" t="s">
        <v>111</v>
      </c>
      <c r="B519" t="s">
        <v>112</v>
      </c>
      <c r="C519">
        <v>9</v>
      </c>
      <c r="D519">
        <v>2</v>
      </c>
      <c r="E519">
        <v>18</v>
      </c>
      <c r="F519">
        <v>2643.5952900000002</v>
      </c>
      <c r="G519">
        <v>7005.5275179999999</v>
      </c>
      <c r="H519">
        <v>1100</v>
      </c>
      <c r="I519">
        <v>1.1000000000000001</v>
      </c>
      <c r="J519">
        <v>1.1000000000000001E-3</v>
      </c>
      <c r="K519">
        <v>2.4250820000000002</v>
      </c>
      <c r="L519">
        <v>1.2200000000000001E-2</v>
      </c>
      <c r="M519">
        <v>2.9</v>
      </c>
      <c r="N519">
        <v>51.12484671</v>
      </c>
      <c r="O519">
        <v>95.101903533048699</v>
      </c>
      <c r="P519">
        <v>6654.3944211897197</v>
      </c>
      <c r="Q519">
        <v>15992.296133596999</v>
      </c>
      <c r="R519">
        <v>42379.584754032097</v>
      </c>
      <c r="S519">
        <v>98.7</v>
      </c>
      <c r="T519">
        <v>0.158</v>
      </c>
      <c r="U519">
        <v>-2.96</v>
      </c>
    </row>
    <row r="520" spans="1:21" x14ac:dyDescent="0.25">
      <c r="A520" t="s">
        <v>113</v>
      </c>
      <c r="B520" t="s">
        <v>114</v>
      </c>
      <c r="C520">
        <v>9</v>
      </c>
      <c r="D520">
        <v>2</v>
      </c>
      <c r="E520">
        <v>18</v>
      </c>
      <c r="F520">
        <v>4109.5890410000002</v>
      </c>
      <c r="G520">
        <v>10890.410959999999</v>
      </c>
      <c r="H520">
        <v>1710</v>
      </c>
      <c r="I520">
        <v>1.71</v>
      </c>
      <c r="J520">
        <v>1.7099999999999999E-3</v>
      </c>
      <c r="K520">
        <v>3.7699001999999999</v>
      </c>
      <c r="L520">
        <v>1.2E-2</v>
      </c>
      <c r="M520">
        <v>3.05</v>
      </c>
      <c r="N520">
        <v>48.952555150000002</v>
      </c>
      <c r="O520">
        <v>84.1082660663741</v>
      </c>
      <c r="P520">
        <v>8911.2621458725098</v>
      </c>
      <c r="Q520">
        <v>21416.155121058699</v>
      </c>
      <c r="R520">
        <v>56752.811070805401</v>
      </c>
      <c r="S520">
        <v>85.9</v>
      </c>
      <c r="T520">
        <v>0.215</v>
      </c>
      <c r="U520">
        <v>0</v>
      </c>
    </row>
    <row r="521" spans="1:21" x14ac:dyDescent="0.25">
      <c r="A521" t="s">
        <v>117</v>
      </c>
      <c r="B521" t="s">
        <v>118</v>
      </c>
      <c r="C521">
        <v>9</v>
      </c>
      <c r="D521">
        <v>2</v>
      </c>
      <c r="E521">
        <v>18</v>
      </c>
      <c r="F521">
        <v>2643.5952900000002</v>
      </c>
      <c r="G521">
        <v>7005.5275179999999</v>
      </c>
      <c r="H521">
        <v>1100</v>
      </c>
      <c r="I521">
        <v>1.1000000000000001</v>
      </c>
      <c r="J521">
        <v>1.1000000000000001E-3</v>
      </c>
      <c r="K521">
        <v>2.4250820000000002</v>
      </c>
      <c r="L521">
        <v>1.4999999999999999E-2</v>
      </c>
      <c r="M521">
        <v>3</v>
      </c>
      <c r="N521">
        <v>41.85690786</v>
      </c>
      <c r="O521">
        <v>61.1001213821799</v>
      </c>
      <c r="P521">
        <v>3421.50735657306</v>
      </c>
      <c r="Q521">
        <v>8222.8006646793001</v>
      </c>
      <c r="R521">
        <v>21790.421761400099</v>
      </c>
      <c r="S521">
        <v>73.2</v>
      </c>
      <c r="T521">
        <v>0.1</v>
      </c>
      <c r="U521">
        <v>0</v>
      </c>
    </row>
    <row r="522" spans="1:21" x14ac:dyDescent="0.25">
      <c r="A522" t="s">
        <v>123</v>
      </c>
      <c r="B522" t="s">
        <v>124</v>
      </c>
      <c r="C522">
        <v>9</v>
      </c>
      <c r="D522">
        <v>2</v>
      </c>
      <c r="E522">
        <v>18</v>
      </c>
      <c r="F522">
        <v>2643.5952900000002</v>
      </c>
      <c r="G522">
        <v>7005.5275179999999</v>
      </c>
      <c r="H522">
        <v>1100</v>
      </c>
      <c r="I522">
        <v>1.1000000000000001</v>
      </c>
      <c r="J522">
        <v>1.1000000000000001E-3</v>
      </c>
      <c r="K522">
        <v>2.4250820000000002</v>
      </c>
      <c r="L522">
        <v>9.4999999999999998E-3</v>
      </c>
      <c r="M522">
        <v>3.1</v>
      </c>
      <c r="N522">
        <v>42.997344910000002</v>
      </c>
      <c r="O522">
        <v>99.997415482769895</v>
      </c>
      <c r="P522">
        <v>15055.279034998401</v>
      </c>
      <c r="Q522">
        <v>36181.877036766302</v>
      </c>
      <c r="R522">
        <v>95881.974147430607</v>
      </c>
      <c r="S522">
        <v>111</v>
      </c>
      <c r="T522">
        <v>0.13</v>
      </c>
      <c r="U522">
        <v>0.22</v>
      </c>
    </row>
    <row r="523" spans="1:21" x14ac:dyDescent="0.25">
      <c r="A523" t="s">
        <v>121</v>
      </c>
      <c r="B523" t="s">
        <v>122</v>
      </c>
      <c r="C523">
        <v>9</v>
      </c>
      <c r="D523">
        <v>7</v>
      </c>
      <c r="E523">
        <v>63</v>
      </c>
      <c r="F523">
        <v>9236057.7970000003</v>
      </c>
      <c r="G523">
        <v>24475553.16</v>
      </c>
      <c r="H523">
        <v>3843123.6490000002</v>
      </c>
      <c r="I523">
        <v>3843.1236490000001</v>
      </c>
      <c r="J523">
        <v>3.8431236489999998</v>
      </c>
      <c r="K523">
        <v>8472.6272599999993</v>
      </c>
      <c r="L523" s="2">
        <v>1E-3</v>
      </c>
      <c r="M523">
        <v>3</v>
      </c>
      <c r="N523">
        <v>727.04526869999995</v>
      </c>
      <c r="O523" s="2">
        <v>2615.7596220278501</v>
      </c>
      <c r="P523" s="2">
        <v>17897546.301228501</v>
      </c>
      <c r="Q523" s="2">
        <v>43012608.270195797</v>
      </c>
      <c r="R523" s="2">
        <v>113983411.91601899</v>
      </c>
      <c r="S523">
        <v>2615.7600000000002</v>
      </c>
      <c r="T523">
        <v>0.25</v>
      </c>
      <c r="U523">
        <v>0</v>
      </c>
    </row>
    <row r="524" spans="1:21" x14ac:dyDescent="0.25">
      <c r="A524" t="s">
        <v>119</v>
      </c>
      <c r="B524" t="s">
        <v>120</v>
      </c>
      <c r="C524">
        <v>9</v>
      </c>
      <c r="D524">
        <v>3</v>
      </c>
      <c r="E524">
        <v>27</v>
      </c>
      <c r="F524">
        <v>188385.81349999999</v>
      </c>
      <c r="G524">
        <v>499222.4057</v>
      </c>
      <c r="H524">
        <v>78387.337</v>
      </c>
      <c r="I524">
        <v>78.387337000000002</v>
      </c>
      <c r="J524">
        <v>7.8387337000000001E-2</v>
      </c>
      <c r="K524">
        <v>172.8142909</v>
      </c>
      <c r="L524">
        <v>2.1399999999999999E-2</v>
      </c>
      <c r="M524">
        <v>2.96</v>
      </c>
      <c r="N524">
        <v>165.0102253</v>
      </c>
      <c r="O524" s="2">
        <v>133.31908802063899</v>
      </c>
      <c r="P524" s="2">
        <v>41696.066099314703</v>
      </c>
      <c r="Q524" s="2">
        <v>100206.839940675</v>
      </c>
      <c r="R524" s="2">
        <v>265548.12584278802</v>
      </c>
      <c r="S524">
        <v>133.76666666666699</v>
      </c>
      <c r="T524">
        <v>0.3</v>
      </c>
      <c r="U524">
        <v>8</v>
      </c>
    </row>
    <row r="525" spans="1:21" x14ac:dyDescent="0.25">
      <c r="A525" t="s">
        <v>89</v>
      </c>
      <c r="B525" t="s">
        <v>90</v>
      </c>
      <c r="C525">
        <v>9</v>
      </c>
      <c r="D525">
        <v>8</v>
      </c>
      <c r="E525">
        <v>72</v>
      </c>
      <c r="F525">
        <v>84000</v>
      </c>
      <c r="G525">
        <v>223000</v>
      </c>
      <c r="H525">
        <v>34952.400000000001</v>
      </c>
      <c r="I525">
        <v>34.952399999999997</v>
      </c>
      <c r="J525">
        <v>3.4952400000000002E-2</v>
      </c>
      <c r="K525">
        <v>77.056760089999997</v>
      </c>
      <c r="L525" s="2">
        <v>0.05</v>
      </c>
      <c r="M525" s="2">
        <v>3.2</v>
      </c>
      <c r="N525">
        <v>205.2001631</v>
      </c>
      <c r="O525">
        <v>114.299869112637</v>
      </c>
      <c r="P525">
        <v>2986.5321541518801</v>
      </c>
      <c r="Q525">
        <v>7177.4384863058904</v>
      </c>
      <c r="R525">
        <v>19020.211988710598</v>
      </c>
      <c r="S525">
        <v>114.3</v>
      </c>
      <c r="T525">
        <v>0.19</v>
      </c>
      <c r="U525">
        <v>0</v>
      </c>
    </row>
    <row r="526" spans="1:21" x14ac:dyDescent="0.25">
      <c r="A526" t="s">
        <v>125</v>
      </c>
      <c r="B526" t="s">
        <v>126</v>
      </c>
      <c r="C526">
        <v>9</v>
      </c>
      <c r="D526">
        <v>1</v>
      </c>
      <c r="E526">
        <v>9</v>
      </c>
      <c r="F526">
        <v>21457.662420000001</v>
      </c>
      <c r="G526">
        <v>56862.805410000001</v>
      </c>
      <c r="H526">
        <v>8928.5333329999994</v>
      </c>
      <c r="I526">
        <v>8.9285333330000007</v>
      </c>
      <c r="J526">
        <v>8.9285330000000006E-3</v>
      </c>
      <c r="K526">
        <v>19.684023159999999</v>
      </c>
      <c r="L526">
        <v>1.4999999999999999E-2</v>
      </c>
      <c r="M526">
        <v>2.9</v>
      </c>
      <c r="N526">
        <v>98.010368600000007</v>
      </c>
      <c r="O526">
        <v>80.706526275278506</v>
      </c>
      <c r="P526">
        <v>5083.0731391647396</v>
      </c>
      <c r="Q526">
        <v>12215.9892794154</v>
      </c>
      <c r="R526">
        <v>32372.371590450799</v>
      </c>
      <c r="S526">
        <v>136</v>
      </c>
      <c r="T526">
        <v>0.1</v>
      </c>
      <c r="U526">
        <v>0</v>
      </c>
    </row>
    <row r="527" spans="1:21" x14ac:dyDescent="0.25">
      <c r="A527" t="s">
        <v>131</v>
      </c>
      <c r="B527" t="s">
        <v>132</v>
      </c>
      <c r="C527">
        <v>9</v>
      </c>
      <c r="D527">
        <v>2</v>
      </c>
      <c r="E527">
        <v>18</v>
      </c>
      <c r="F527">
        <v>4109.5890410000002</v>
      </c>
      <c r="G527">
        <v>10890.410959999999</v>
      </c>
      <c r="H527">
        <v>1710</v>
      </c>
      <c r="I527">
        <v>1.71</v>
      </c>
      <c r="J527">
        <v>1.7099999999999999E-3</v>
      </c>
      <c r="K527">
        <v>3.7699001999999999</v>
      </c>
      <c r="L527">
        <v>1.4E-2</v>
      </c>
      <c r="M527">
        <v>2.9</v>
      </c>
      <c r="N527">
        <v>56.766542010000002</v>
      </c>
      <c r="O527">
        <v>44.4513058841587</v>
      </c>
      <c r="P527">
        <v>841.38188165621102</v>
      </c>
      <c r="Q527">
        <v>2022.06652645088</v>
      </c>
      <c r="R527">
        <v>5358.4762950948298</v>
      </c>
      <c r="S527">
        <v>45.7</v>
      </c>
      <c r="T527">
        <v>0.2</v>
      </c>
      <c r="U527">
        <v>0</v>
      </c>
    </row>
    <row r="528" spans="1:21" x14ac:dyDescent="0.25">
      <c r="A528" t="s">
        <v>133</v>
      </c>
      <c r="B528" t="s">
        <v>134</v>
      </c>
      <c r="C528">
        <v>9</v>
      </c>
      <c r="D528">
        <v>3</v>
      </c>
      <c r="E528">
        <v>27</v>
      </c>
      <c r="F528">
        <v>30000</v>
      </c>
      <c r="G528">
        <v>79500</v>
      </c>
      <c r="H528">
        <v>12483</v>
      </c>
      <c r="I528">
        <v>12.483000000000001</v>
      </c>
      <c r="J528">
        <v>1.2482999999999999E-2</v>
      </c>
      <c r="K528">
        <v>27.52027146</v>
      </c>
      <c r="L528">
        <v>1.2699999999999999E-2</v>
      </c>
      <c r="M528">
        <v>3.1</v>
      </c>
      <c r="N528">
        <v>85.717488009999997</v>
      </c>
      <c r="O528">
        <v>106.33857154766901</v>
      </c>
      <c r="P528">
        <v>24352.596306280098</v>
      </c>
      <c r="Q528">
        <v>58525.826258784298</v>
      </c>
      <c r="R528">
        <v>155093.43958577799</v>
      </c>
      <c r="S528">
        <v>114</v>
      </c>
      <c r="T528">
        <v>0.1</v>
      </c>
      <c r="U528">
        <v>0</v>
      </c>
    </row>
    <row r="529" spans="1:21" x14ac:dyDescent="0.25">
      <c r="A529" t="s">
        <v>127</v>
      </c>
      <c r="B529" t="s">
        <v>128</v>
      </c>
      <c r="C529">
        <v>9</v>
      </c>
      <c r="D529">
        <v>2</v>
      </c>
      <c r="E529">
        <v>18</v>
      </c>
      <c r="F529">
        <v>4109.5890410000002</v>
      </c>
      <c r="G529">
        <v>10890.410959999999</v>
      </c>
      <c r="H529">
        <v>1710</v>
      </c>
      <c r="I529">
        <v>1.71</v>
      </c>
      <c r="J529">
        <v>1.7099999999999999E-3</v>
      </c>
      <c r="K529">
        <v>3.7699001999999999</v>
      </c>
      <c r="L529">
        <v>1.4E-2</v>
      </c>
      <c r="M529">
        <v>3</v>
      </c>
      <c r="N529">
        <v>49.616107700000001</v>
      </c>
      <c r="O529">
        <v>61.9689555124612</v>
      </c>
      <c r="P529">
        <v>3331.58243878855</v>
      </c>
      <c r="Q529">
        <v>8006.6869473408997</v>
      </c>
      <c r="R529">
        <v>21217.720410453399</v>
      </c>
      <c r="S529">
        <v>62.2</v>
      </c>
      <c r="T529">
        <v>0.31</v>
      </c>
      <c r="U529">
        <v>-0.05</v>
      </c>
    </row>
    <row r="530" spans="1:21" x14ac:dyDescent="0.25">
      <c r="A530" t="s">
        <v>135</v>
      </c>
      <c r="B530" t="s">
        <v>136</v>
      </c>
      <c r="C530">
        <v>9</v>
      </c>
      <c r="D530">
        <v>2</v>
      </c>
      <c r="E530">
        <v>18</v>
      </c>
      <c r="F530">
        <v>4109.5890410000002</v>
      </c>
      <c r="G530">
        <v>10890.410959999999</v>
      </c>
      <c r="H530">
        <v>1710</v>
      </c>
      <c r="I530">
        <v>1.71</v>
      </c>
      <c r="J530">
        <v>1.7099999999999999E-3</v>
      </c>
      <c r="K530">
        <v>3.7699001999999999</v>
      </c>
      <c r="L530">
        <v>1.2E-2</v>
      </c>
      <c r="M530">
        <v>3</v>
      </c>
      <c r="N530">
        <v>52.232196340000002</v>
      </c>
      <c r="O530">
        <v>50.317776914450299</v>
      </c>
      <c r="P530">
        <v>1528.78207527939</v>
      </c>
      <c r="Q530">
        <v>3674.07372093101</v>
      </c>
      <c r="R530">
        <v>9736.2953604671693</v>
      </c>
      <c r="S530">
        <v>60.5</v>
      </c>
      <c r="T530">
        <v>9.9000000000000005E-2</v>
      </c>
      <c r="U530">
        <v>0</v>
      </c>
    </row>
    <row r="531" spans="1:21" x14ac:dyDescent="0.25">
      <c r="A531" t="s">
        <v>129</v>
      </c>
      <c r="B531" t="s">
        <v>130</v>
      </c>
      <c r="C531">
        <v>9</v>
      </c>
      <c r="D531">
        <v>2</v>
      </c>
      <c r="E531">
        <v>18</v>
      </c>
      <c r="F531">
        <v>2643.5952900000002</v>
      </c>
      <c r="G531">
        <v>7005.5275179999999</v>
      </c>
      <c r="H531">
        <v>1100</v>
      </c>
      <c r="I531">
        <v>1.1000000000000001</v>
      </c>
      <c r="J531">
        <v>1.1000000000000001E-3</v>
      </c>
      <c r="K531">
        <v>2.4250820000000002</v>
      </c>
      <c r="L531">
        <v>1.2500000000000001E-2</v>
      </c>
      <c r="M531">
        <v>2.88</v>
      </c>
      <c r="N531">
        <v>52.099584669999999</v>
      </c>
      <c r="O531">
        <v>85.135974997031994</v>
      </c>
      <c r="P531">
        <v>4525.1791917624996</v>
      </c>
      <c r="Q531">
        <v>10875.2203599195</v>
      </c>
      <c r="R531">
        <v>28819.3339537867</v>
      </c>
      <c r="S531">
        <v>158</v>
      </c>
      <c r="T531">
        <v>4.2999999999999997E-2</v>
      </c>
      <c r="U531">
        <v>0</v>
      </c>
    </row>
    <row r="532" spans="1:21" x14ac:dyDescent="0.25">
      <c r="A532" t="s">
        <v>137</v>
      </c>
      <c r="B532" t="s">
        <v>138</v>
      </c>
      <c r="C532">
        <v>9</v>
      </c>
      <c r="D532">
        <v>1</v>
      </c>
      <c r="E532">
        <v>9</v>
      </c>
      <c r="F532">
        <v>2682.2879109999999</v>
      </c>
      <c r="G532">
        <v>7108.0629650000001</v>
      </c>
      <c r="H532">
        <v>1116.0999999999999</v>
      </c>
      <c r="I532">
        <v>1.1161000000000001</v>
      </c>
      <c r="J532">
        <v>1.1161000000000001E-3</v>
      </c>
      <c r="K532">
        <v>2.4605763810000001</v>
      </c>
      <c r="L532">
        <v>1.2500000000000001E-2</v>
      </c>
      <c r="M532">
        <v>2.82</v>
      </c>
      <c r="N532">
        <v>56.963988270000002</v>
      </c>
      <c r="O532">
        <v>47.547708225649203</v>
      </c>
      <c r="P532">
        <v>670.52573986895095</v>
      </c>
      <c r="Q532">
        <v>1611.4533522445299</v>
      </c>
      <c r="R532">
        <v>4270.35138344801</v>
      </c>
      <c r="S532">
        <v>50</v>
      </c>
      <c r="T532">
        <v>0.33500000000000002</v>
      </c>
      <c r="U532">
        <v>0</v>
      </c>
    </row>
    <row r="533" spans="1:21" x14ac:dyDescent="0.25">
      <c r="A533" t="s">
        <v>21</v>
      </c>
      <c r="B533" t="s">
        <v>22</v>
      </c>
      <c r="C533">
        <v>10</v>
      </c>
      <c r="D533">
        <v>1</v>
      </c>
      <c r="E533">
        <v>10</v>
      </c>
      <c r="F533">
        <v>372.74693589999998</v>
      </c>
      <c r="G533">
        <v>987.77937999999995</v>
      </c>
      <c r="H533">
        <v>155.1</v>
      </c>
      <c r="I533">
        <v>0.15509999999999999</v>
      </c>
      <c r="J533">
        <v>1.551E-4</v>
      </c>
      <c r="K533">
        <v>0.341936562</v>
      </c>
      <c r="L533">
        <v>1.6E-2</v>
      </c>
      <c r="M533">
        <v>3</v>
      </c>
      <c r="N533">
        <v>21.32213089</v>
      </c>
      <c r="O533">
        <v>12.5245888564447</v>
      </c>
      <c r="P533">
        <v>31.4347794283191</v>
      </c>
      <c r="Q533">
        <v>75.546213478296295</v>
      </c>
      <c r="R533">
        <v>200.19746571748499</v>
      </c>
      <c r="S533">
        <v>13.8</v>
      </c>
      <c r="T533">
        <v>0.21</v>
      </c>
      <c r="U533">
        <v>-1.34</v>
      </c>
    </row>
    <row r="534" spans="1:21" x14ac:dyDescent="0.25">
      <c r="A534" t="s">
        <v>95</v>
      </c>
      <c r="B534" s="2" t="s">
        <v>96</v>
      </c>
      <c r="C534">
        <v>10</v>
      </c>
      <c r="D534">
        <v>2</v>
      </c>
      <c r="E534">
        <v>20</v>
      </c>
      <c r="F534">
        <v>3076.18361</v>
      </c>
      <c r="G534">
        <v>8151.8865660000001</v>
      </c>
      <c r="H534">
        <v>1280</v>
      </c>
      <c r="I534">
        <v>1.28</v>
      </c>
      <c r="J534">
        <v>1.2800000000000001E-3</v>
      </c>
      <c r="K534">
        <v>2.8219135999999998</v>
      </c>
      <c r="L534">
        <v>0.01</v>
      </c>
      <c r="M534">
        <v>3</v>
      </c>
      <c r="N534">
        <v>45.599358580000001</v>
      </c>
      <c r="O534">
        <v>133.50907311113201</v>
      </c>
      <c r="P534">
        <v>32126.699489423499</v>
      </c>
      <c r="Q534">
        <v>77209.083127669903</v>
      </c>
      <c r="R534">
        <v>204604.07028832499</v>
      </c>
      <c r="S534">
        <v>136</v>
      </c>
      <c r="T534">
        <v>0.2</v>
      </c>
      <c r="U534">
        <v>0</v>
      </c>
    </row>
    <row r="535" spans="1:21" x14ac:dyDescent="0.25">
      <c r="A535" t="s">
        <v>101</v>
      </c>
      <c r="B535" t="s">
        <v>102</v>
      </c>
      <c r="C535">
        <v>10</v>
      </c>
      <c r="D535">
        <v>2</v>
      </c>
      <c r="E535">
        <v>20</v>
      </c>
      <c r="F535">
        <v>3076.18361</v>
      </c>
      <c r="G535">
        <v>8151.8865660000001</v>
      </c>
      <c r="H535">
        <v>1280</v>
      </c>
      <c r="I535">
        <v>1.28</v>
      </c>
      <c r="J535">
        <v>1.2800000000000001E-3</v>
      </c>
      <c r="K535">
        <v>2.8219135999999998</v>
      </c>
      <c r="L535">
        <v>1.2E-2</v>
      </c>
      <c r="M535">
        <v>3.1</v>
      </c>
      <c r="N535">
        <v>41.874029010000001</v>
      </c>
      <c r="O535" s="2">
        <v>106.904540339497</v>
      </c>
      <c r="P535" s="2">
        <v>23392.105426918799</v>
      </c>
      <c r="Q535" s="2">
        <v>56217.508836622801</v>
      </c>
      <c r="R535" s="2">
        <v>148976.39841705101</v>
      </c>
      <c r="S535">
        <v>150.03333333333299</v>
      </c>
      <c r="T535">
        <v>0.11333333333333299</v>
      </c>
      <c r="U535">
        <v>9</v>
      </c>
    </row>
    <row r="536" spans="1:21" x14ac:dyDescent="0.25">
      <c r="A536" t="s">
        <v>37</v>
      </c>
      <c r="B536" t="s">
        <v>38</v>
      </c>
      <c r="C536">
        <v>10</v>
      </c>
      <c r="D536">
        <v>9</v>
      </c>
      <c r="E536">
        <v>90</v>
      </c>
      <c r="F536">
        <v>1772528862</v>
      </c>
      <c r="G536">
        <v>4697201485</v>
      </c>
      <c r="H536">
        <v>737549259.5</v>
      </c>
      <c r="I536">
        <v>737549.25950000004</v>
      </c>
      <c r="J536">
        <v>737.54925949999995</v>
      </c>
      <c r="K536">
        <v>1626015.848</v>
      </c>
      <c r="L536" s="2">
        <v>6.0000000000000001E-3</v>
      </c>
      <c r="M536">
        <v>3</v>
      </c>
      <c r="N536">
        <v>1544.971047</v>
      </c>
      <c r="O536" s="2">
        <v>2097.36</v>
      </c>
      <c r="P536" s="2">
        <v>55356700.140481502</v>
      </c>
      <c r="Q536" s="2">
        <v>133037010.67166901</v>
      </c>
      <c r="R536" s="2">
        <v>352548078.27992302</v>
      </c>
      <c r="S536" s="2">
        <v>2097.36</v>
      </c>
      <c r="T536" s="2">
        <v>0.5</v>
      </c>
      <c r="U536" s="2">
        <v>0</v>
      </c>
    </row>
    <row r="537" spans="1:21" x14ac:dyDescent="0.25">
      <c r="A537" s="2" t="s">
        <v>31</v>
      </c>
      <c r="B537" t="s">
        <v>32</v>
      </c>
      <c r="C537">
        <v>10</v>
      </c>
      <c r="D537">
        <v>1</v>
      </c>
      <c r="E537">
        <v>10</v>
      </c>
      <c r="F537">
        <v>372.74693589999998</v>
      </c>
      <c r="G537">
        <v>987.77937999999995</v>
      </c>
      <c r="H537">
        <v>155.10000002799001</v>
      </c>
      <c r="I537">
        <v>0.15510000002798999</v>
      </c>
      <c r="J537">
        <v>1.5510000002799001E-4</v>
      </c>
      <c r="K537">
        <v>0.34193656206170697</v>
      </c>
      <c r="L537" s="3">
        <v>1.1599999999999999E-2</v>
      </c>
      <c r="M537" s="3">
        <v>3</v>
      </c>
      <c r="N537">
        <v>23.734746790222701</v>
      </c>
      <c r="O537" s="2">
        <v>29.1699036562662</v>
      </c>
      <c r="P537" s="2">
        <v>287.91412605230499</v>
      </c>
      <c r="Q537" s="2">
        <v>691.93493403582204</v>
      </c>
      <c r="R537" s="2">
        <v>1833.6275751949299</v>
      </c>
      <c r="S537" s="2">
        <v>29.1726666666667</v>
      </c>
      <c r="T537" s="2">
        <v>0.92646666666666699</v>
      </c>
      <c r="U537" s="2">
        <v>0</v>
      </c>
    </row>
    <row r="538" spans="1:21" x14ac:dyDescent="0.25">
      <c r="A538" t="s">
        <v>25</v>
      </c>
      <c r="B538" t="s">
        <v>26</v>
      </c>
      <c r="C538">
        <v>10</v>
      </c>
      <c r="D538">
        <v>3</v>
      </c>
      <c r="E538">
        <v>30</v>
      </c>
      <c r="F538">
        <v>188718.33360000001</v>
      </c>
      <c r="G538">
        <v>500103.58419999998</v>
      </c>
      <c r="H538">
        <v>78525.698610000007</v>
      </c>
      <c r="I538">
        <v>78.525698610000006</v>
      </c>
      <c r="J538">
        <v>7.8525699000000004E-2</v>
      </c>
      <c r="K538">
        <v>173.11932569999999</v>
      </c>
      <c r="L538">
        <v>2.1399999999999999E-2</v>
      </c>
      <c r="M538">
        <v>2.96</v>
      </c>
      <c r="N538">
        <v>165.1085664</v>
      </c>
      <c r="O538">
        <v>331.58859780667899</v>
      </c>
      <c r="P538">
        <v>618569.57439944602</v>
      </c>
      <c r="Q538">
        <v>1486588.7392440401</v>
      </c>
      <c r="R538">
        <v>3939460.1589967101</v>
      </c>
      <c r="S538">
        <v>358.7</v>
      </c>
      <c r="T538">
        <v>9.1999999999999998E-2</v>
      </c>
      <c r="U538">
        <v>-1.929</v>
      </c>
    </row>
    <row r="539" spans="1:21" x14ac:dyDescent="0.25">
      <c r="A539" t="s">
        <v>33</v>
      </c>
      <c r="B539" t="s">
        <v>34</v>
      </c>
      <c r="C539">
        <v>10</v>
      </c>
      <c r="D539">
        <v>2</v>
      </c>
      <c r="E539">
        <v>20</v>
      </c>
      <c r="F539">
        <v>3076.18361</v>
      </c>
      <c r="G539">
        <v>8151.8865660000001</v>
      </c>
      <c r="H539">
        <v>1280</v>
      </c>
      <c r="I539">
        <v>1.28</v>
      </c>
      <c r="J539">
        <v>1.2800000000000001E-3</v>
      </c>
      <c r="K539">
        <v>2.8219135999999998</v>
      </c>
      <c r="L539">
        <v>1.4999999999999999E-2</v>
      </c>
      <c r="M539">
        <v>3</v>
      </c>
      <c r="N539">
        <v>44.02569665</v>
      </c>
      <c r="O539">
        <v>58.143171731552599</v>
      </c>
      <c r="P539">
        <v>2948.4068809014698</v>
      </c>
      <c r="Q539">
        <v>7085.8132201429098</v>
      </c>
      <c r="R539">
        <v>18777.405033378702</v>
      </c>
      <c r="S539" s="4">
        <v>58.9</v>
      </c>
      <c r="T539" s="4">
        <v>0.22</v>
      </c>
      <c r="U539" s="4">
        <v>0.20699999999999999</v>
      </c>
    </row>
    <row r="540" spans="1:21" x14ac:dyDescent="0.25">
      <c r="A540" t="s">
        <v>29</v>
      </c>
      <c r="B540" t="s">
        <v>30</v>
      </c>
      <c r="C540">
        <v>10</v>
      </c>
      <c r="D540">
        <v>7</v>
      </c>
      <c r="E540" s="2">
        <v>70</v>
      </c>
      <c r="F540">
        <v>66302.710800000001</v>
      </c>
      <c r="G540">
        <v>175702.084</v>
      </c>
      <c r="H540">
        <v>27588.557959999998</v>
      </c>
      <c r="I540">
        <v>27.588557959999999</v>
      </c>
      <c r="J540">
        <v>2.7588557999999999E-2</v>
      </c>
      <c r="K540">
        <v>60.822286660000003</v>
      </c>
      <c r="L540">
        <v>3.2499999999999999E-3</v>
      </c>
      <c r="M540">
        <v>3</v>
      </c>
      <c r="N540">
        <v>203.99297569999999</v>
      </c>
      <c r="O540">
        <v>281.99925422971103</v>
      </c>
      <c r="P540">
        <v>72883.167761823803</v>
      </c>
      <c r="Q540">
        <v>175157.817259851</v>
      </c>
      <c r="R540">
        <v>464168.21573860402</v>
      </c>
      <c r="S540">
        <v>282</v>
      </c>
      <c r="T540">
        <v>0.18</v>
      </c>
      <c r="U540">
        <v>-1.35</v>
      </c>
    </row>
    <row r="541" spans="1:21" x14ac:dyDescent="0.25">
      <c r="A541" t="s">
        <v>23</v>
      </c>
      <c r="B541" t="s">
        <v>24</v>
      </c>
      <c r="C541">
        <v>10</v>
      </c>
      <c r="D541">
        <v>3</v>
      </c>
      <c r="E541">
        <v>30</v>
      </c>
      <c r="F541">
        <v>188718.33360000001</v>
      </c>
      <c r="G541">
        <v>500103.58419999998</v>
      </c>
      <c r="H541">
        <v>78525.698610000007</v>
      </c>
      <c r="I541">
        <v>78.525698610000006</v>
      </c>
      <c r="J541">
        <v>7.8525699000000004E-2</v>
      </c>
      <c r="K541">
        <v>173.11932569999999</v>
      </c>
      <c r="L541">
        <v>2.5999999999999999E-2</v>
      </c>
      <c r="M541">
        <v>3</v>
      </c>
      <c r="N541">
        <v>210.18147250000001</v>
      </c>
      <c r="O541">
        <v>290.785215235397</v>
      </c>
      <c r="P541">
        <v>194240.65083008999</v>
      </c>
      <c r="Q541">
        <v>466812.42689279001</v>
      </c>
      <c r="R541">
        <v>1237052.9312658899</v>
      </c>
      <c r="S541">
        <v>314.89999999999998</v>
      </c>
      <c r="T541">
        <v>8.8999999999999996E-2</v>
      </c>
      <c r="U541">
        <v>-1.1299999999999999</v>
      </c>
    </row>
    <row r="542" spans="1:21" x14ac:dyDescent="0.25">
      <c r="A542" t="s">
        <v>27</v>
      </c>
      <c r="B542" t="s">
        <v>28</v>
      </c>
      <c r="C542">
        <v>10</v>
      </c>
      <c r="D542">
        <v>1</v>
      </c>
      <c r="E542">
        <v>10</v>
      </c>
      <c r="F542">
        <v>14179.28383</v>
      </c>
      <c r="G542">
        <v>37575.102140000003</v>
      </c>
      <c r="H542">
        <v>5900.0000019999998</v>
      </c>
      <c r="I542">
        <v>5.9000000019999996</v>
      </c>
      <c r="J542">
        <v>5.8999999999999999E-3</v>
      </c>
      <c r="K542">
        <v>13.007258</v>
      </c>
      <c r="L542">
        <v>1.0999999999999999E-2</v>
      </c>
      <c r="M542">
        <v>2.9</v>
      </c>
      <c r="N542">
        <v>94.553069030000003</v>
      </c>
      <c r="O542">
        <v>78.183312500002899</v>
      </c>
      <c r="P542">
        <v>3399.5660148577499</v>
      </c>
      <c r="Q542">
        <v>8170.0697304920704</v>
      </c>
      <c r="R542">
        <v>21650.684785803998</v>
      </c>
      <c r="S542">
        <v>81.53</v>
      </c>
      <c r="T542">
        <v>0.31</v>
      </c>
      <c r="U542">
        <v>-0.3</v>
      </c>
    </row>
    <row r="543" spans="1:21" x14ac:dyDescent="0.25">
      <c r="A543" t="s">
        <v>35</v>
      </c>
      <c r="B543" t="s">
        <v>36</v>
      </c>
      <c r="C543">
        <v>10</v>
      </c>
      <c r="D543">
        <v>1</v>
      </c>
      <c r="E543">
        <v>10</v>
      </c>
      <c r="F543">
        <v>372.74693589999998</v>
      </c>
      <c r="G543">
        <v>987.77937999999995</v>
      </c>
      <c r="H543">
        <v>155.1</v>
      </c>
      <c r="I543">
        <v>0.15509999999999999</v>
      </c>
      <c r="J543">
        <v>1.551E-4</v>
      </c>
      <c r="K543">
        <v>0.341936562</v>
      </c>
      <c r="L543">
        <v>2.1000000000000001E-2</v>
      </c>
      <c r="M543">
        <v>3</v>
      </c>
      <c r="N543">
        <v>19.47440366</v>
      </c>
      <c r="O543">
        <v>21.016355877322599</v>
      </c>
      <c r="P543">
        <v>194.93576935351501</v>
      </c>
      <c r="Q543">
        <v>468.48298330573198</v>
      </c>
      <c r="R543">
        <v>1241.4799057601899</v>
      </c>
      <c r="S543" s="4">
        <v>21.02</v>
      </c>
      <c r="T543" s="4">
        <v>0.86</v>
      </c>
      <c r="U543" s="4">
        <v>-6.9989999999999997E-2</v>
      </c>
    </row>
    <row r="544" spans="1:21" x14ac:dyDescent="0.25">
      <c r="A544" t="s">
        <v>39</v>
      </c>
      <c r="B544" t="s">
        <v>40</v>
      </c>
      <c r="C544">
        <v>10</v>
      </c>
      <c r="D544">
        <v>2</v>
      </c>
      <c r="E544">
        <v>20</v>
      </c>
      <c r="F544">
        <v>60081.711130000003</v>
      </c>
      <c r="G544">
        <v>159216.53450000001</v>
      </c>
      <c r="H544">
        <v>25000</v>
      </c>
      <c r="I544">
        <v>25</v>
      </c>
      <c r="J544">
        <v>2.5000000000000001E-2</v>
      </c>
      <c r="K544">
        <v>55.115499999999997</v>
      </c>
      <c r="L544">
        <v>1.2E-2</v>
      </c>
      <c r="M544">
        <v>3</v>
      </c>
      <c r="N544">
        <v>127.7182387</v>
      </c>
      <c r="O544">
        <v>133.96561488638201</v>
      </c>
      <c r="P544">
        <v>28851.026615496699</v>
      </c>
      <c r="Q544">
        <v>69336.761873339696</v>
      </c>
      <c r="R544">
        <v>183742.41896435001</v>
      </c>
      <c r="S544">
        <v>150.93</v>
      </c>
      <c r="T544">
        <v>0.11</v>
      </c>
      <c r="U544">
        <v>0.13</v>
      </c>
    </row>
    <row r="545" spans="1:21" x14ac:dyDescent="0.25">
      <c r="A545" t="s">
        <v>45</v>
      </c>
      <c r="B545" t="s">
        <v>46</v>
      </c>
      <c r="C545">
        <v>10</v>
      </c>
      <c r="D545">
        <v>5</v>
      </c>
      <c r="E545">
        <v>50</v>
      </c>
      <c r="F545">
        <v>7701.2572719999998</v>
      </c>
      <c r="G545">
        <v>20408.331770000001</v>
      </c>
      <c r="H545">
        <v>3204.4931510000001</v>
      </c>
      <c r="I545">
        <v>3.2044931509999999</v>
      </c>
      <c r="J545">
        <v>3.2044930000000001E-3</v>
      </c>
      <c r="K545">
        <v>7.0646896899999998</v>
      </c>
      <c r="L545">
        <v>3.96E-3</v>
      </c>
      <c r="M545">
        <v>3.2</v>
      </c>
      <c r="N545">
        <v>70.189160900000005</v>
      </c>
      <c r="O545" s="2">
        <v>300.76978281832203</v>
      </c>
      <c r="P545" s="2">
        <v>337321.973904919</v>
      </c>
      <c r="Q545" s="2">
        <v>810675.25571958395</v>
      </c>
      <c r="R545" s="2">
        <v>2148289.4276569001</v>
      </c>
      <c r="S545" s="2">
        <v>300.78571428571399</v>
      </c>
      <c r="T545" s="2">
        <v>0.24014285714285699</v>
      </c>
      <c r="U545" s="2">
        <v>9</v>
      </c>
    </row>
    <row r="546" spans="1:21" x14ac:dyDescent="0.25">
      <c r="A546" t="s">
        <v>43</v>
      </c>
      <c r="B546" t="s">
        <v>44</v>
      </c>
      <c r="C546">
        <v>10</v>
      </c>
      <c r="D546">
        <v>2</v>
      </c>
      <c r="E546">
        <v>20</v>
      </c>
      <c r="F546">
        <v>3076.18361</v>
      </c>
      <c r="G546">
        <v>8151.8865660000001</v>
      </c>
      <c r="H546">
        <v>1280</v>
      </c>
      <c r="I546">
        <v>1.28</v>
      </c>
      <c r="J546">
        <v>1.2800000000000001E-3</v>
      </c>
      <c r="K546">
        <v>2.8219135999999998</v>
      </c>
      <c r="L546">
        <v>1.44E-2</v>
      </c>
      <c r="M546">
        <v>3</v>
      </c>
      <c r="N546">
        <v>44.628863340000002</v>
      </c>
      <c r="O546" s="2">
        <v>47.627215010113801</v>
      </c>
      <c r="P546" s="2">
        <v>1555.7078855504301</v>
      </c>
      <c r="Q546" s="2">
        <v>3738.7836711137402</v>
      </c>
      <c r="R546" s="2">
        <v>9907.7767284513993</v>
      </c>
      <c r="S546" s="2">
        <v>47.633333333333297</v>
      </c>
      <c r="T546" s="2">
        <v>0.44800000000000001</v>
      </c>
      <c r="U546" s="2">
        <v>0</v>
      </c>
    </row>
    <row r="547" spans="1:21" x14ac:dyDescent="0.25">
      <c r="A547" t="s">
        <v>53</v>
      </c>
      <c r="B547" t="s">
        <v>54</v>
      </c>
      <c r="C547">
        <v>10</v>
      </c>
      <c r="D547">
        <v>2</v>
      </c>
      <c r="E547">
        <v>20</v>
      </c>
      <c r="F547">
        <v>4373.9485699999996</v>
      </c>
      <c r="G547">
        <v>11590.96371</v>
      </c>
      <c r="H547">
        <v>1820</v>
      </c>
      <c r="I547">
        <v>1.82</v>
      </c>
      <c r="J547">
        <v>1.82E-3</v>
      </c>
      <c r="K547">
        <v>4.0124084</v>
      </c>
      <c r="L547">
        <v>1.2E-2</v>
      </c>
      <c r="M547">
        <v>2.95</v>
      </c>
      <c r="N547">
        <v>57.0471492</v>
      </c>
      <c r="O547">
        <v>39.631695931626602</v>
      </c>
      <c r="P547">
        <v>621.45127699565796</v>
      </c>
      <c r="Q547">
        <v>1493.5142441616399</v>
      </c>
      <c r="R547">
        <v>3957.8127470283398</v>
      </c>
      <c r="S547">
        <v>41</v>
      </c>
      <c r="T547">
        <v>0.17</v>
      </c>
      <c r="U547">
        <v>0</v>
      </c>
    </row>
    <row r="548" spans="1:21" x14ac:dyDescent="0.25">
      <c r="A548" t="s">
        <v>57</v>
      </c>
      <c r="B548" t="s">
        <v>58</v>
      </c>
      <c r="C548">
        <v>10</v>
      </c>
      <c r="D548">
        <v>2</v>
      </c>
      <c r="E548">
        <v>20</v>
      </c>
      <c r="F548">
        <v>8651.7664029999996</v>
      </c>
      <c r="G548">
        <v>22927.180970000001</v>
      </c>
      <c r="H548">
        <v>3600</v>
      </c>
      <c r="I548">
        <v>3.6</v>
      </c>
      <c r="J548">
        <v>3.5999999999999999E-3</v>
      </c>
      <c r="K548">
        <v>7.9366320010000004</v>
      </c>
      <c r="L548">
        <v>4.0000000000000001E-3</v>
      </c>
      <c r="M548">
        <v>3.1</v>
      </c>
      <c r="N548">
        <v>67.319388829999994</v>
      </c>
      <c r="O548">
        <v>72.875544774425904</v>
      </c>
      <c r="P548">
        <v>4566.9625490367798</v>
      </c>
      <c r="Q548">
        <v>10975.6369839865</v>
      </c>
      <c r="R548">
        <v>29085.4380075642</v>
      </c>
      <c r="S548">
        <v>72.900000000000006</v>
      </c>
      <c r="T548">
        <v>0.4</v>
      </c>
      <c r="U548">
        <v>0</v>
      </c>
    </row>
    <row r="549" spans="1:21" x14ac:dyDescent="0.25">
      <c r="A549" t="s">
        <v>59</v>
      </c>
      <c r="B549" t="s">
        <v>60</v>
      </c>
      <c r="C549">
        <v>10</v>
      </c>
      <c r="D549">
        <v>2</v>
      </c>
      <c r="E549">
        <v>20</v>
      </c>
      <c r="F549">
        <v>4373.9485699999996</v>
      </c>
      <c r="G549">
        <v>11590.96371</v>
      </c>
      <c r="H549">
        <v>1820</v>
      </c>
      <c r="I549">
        <v>1.82</v>
      </c>
      <c r="J549">
        <v>1.82E-3</v>
      </c>
      <c r="K549">
        <v>4.0124084</v>
      </c>
      <c r="L549">
        <v>1.6799999999999999E-2</v>
      </c>
      <c r="M549">
        <v>3.1</v>
      </c>
      <c r="N549">
        <v>42.083980279999999</v>
      </c>
      <c r="O549">
        <v>197.05732181167599</v>
      </c>
      <c r="P549">
        <v>218045.067850675</v>
      </c>
      <c r="Q549">
        <v>524020.83117201302</v>
      </c>
      <c r="R549">
        <v>1388655.20260583</v>
      </c>
      <c r="S549">
        <v>263.2</v>
      </c>
      <c r="T549">
        <v>7.0000000000000007E-2</v>
      </c>
      <c r="U549">
        <v>0.27</v>
      </c>
    </row>
    <row r="550" spans="1:21" x14ac:dyDescent="0.25">
      <c r="A550" t="s">
        <v>61</v>
      </c>
      <c r="B550" t="s">
        <v>62</v>
      </c>
      <c r="C550">
        <v>10</v>
      </c>
      <c r="D550">
        <v>1</v>
      </c>
      <c r="E550">
        <v>10</v>
      </c>
      <c r="F550">
        <v>647.62076430000002</v>
      </c>
      <c r="G550">
        <v>1716.195025</v>
      </c>
      <c r="H550">
        <v>269.47500000000002</v>
      </c>
      <c r="I550">
        <v>0.26947500000000002</v>
      </c>
      <c r="J550">
        <v>2.6947499999999998E-4</v>
      </c>
      <c r="K550">
        <v>0.59408997500000005</v>
      </c>
      <c r="L550">
        <v>1.2500000000000001E-2</v>
      </c>
      <c r="M550">
        <v>3</v>
      </c>
      <c r="N550">
        <v>27.831470670000002</v>
      </c>
      <c r="O550">
        <v>32.061964206151799</v>
      </c>
      <c r="P550">
        <v>411.98403596558398</v>
      </c>
      <c r="Q550">
        <v>990.108233514983</v>
      </c>
      <c r="R550">
        <v>2623.7868188146999</v>
      </c>
      <c r="S550">
        <v>33.700000000000003</v>
      </c>
      <c r="T550">
        <v>0.32</v>
      </c>
      <c r="U550">
        <v>0.55000000000000004</v>
      </c>
    </row>
    <row r="551" spans="1:21" x14ac:dyDescent="0.25">
      <c r="A551" t="s">
        <v>63</v>
      </c>
      <c r="B551" t="s">
        <v>64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1.2E-2</v>
      </c>
      <c r="M551">
        <v>3.1</v>
      </c>
      <c r="N551">
        <v>41.874029010000001</v>
      </c>
      <c r="O551">
        <v>42.496565884641598</v>
      </c>
      <c r="P551">
        <v>1339.9177462360999</v>
      </c>
      <c r="Q551">
        <v>3220.1820385390502</v>
      </c>
      <c r="R551">
        <v>8533.4824021284803</v>
      </c>
      <c r="S551">
        <v>42.5</v>
      </c>
      <c r="T551">
        <v>0.47</v>
      </c>
      <c r="U551">
        <v>0.05</v>
      </c>
    </row>
    <row r="552" spans="1:21" x14ac:dyDescent="0.25">
      <c r="A552" t="s">
        <v>65</v>
      </c>
      <c r="B552" t="s">
        <v>66</v>
      </c>
      <c r="C552">
        <v>10</v>
      </c>
      <c r="D552">
        <v>3</v>
      </c>
      <c r="E552">
        <v>30</v>
      </c>
      <c r="F552">
        <v>32000</v>
      </c>
      <c r="G552">
        <v>85500</v>
      </c>
      <c r="H552">
        <v>13315.2</v>
      </c>
      <c r="I552">
        <v>13.315200000000001</v>
      </c>
      <c r="J552">
        <v>1.3315199999999999E-2</v>
      </c>
      <c r="K552">
        <v>29.354956219999998</v>
      </c>
      <c r="L552">
        <v>1.2699999999999999E-2</v>
      </c>
      <c r="M552">
        <v>3.1</v>
      </c>
      <c r="N552">
        <v>87.520735579999993</v>
      </c>
      <c r="O552">
        <v>52.698781804415802</v>
      </c>
      <c r="P552">
        <v>2763.0294050072898</v>
      </c>
      <c r="Q552">
        <v>6640.3013818968702</v>
      </c>
      <c r="R552">
        <v>17596.7986620267</v>
      </c>
      <c r="S552">
        <v>52.7</v>
      </c>
      <c r="T552">
        <v>0.35</v>
      </c>
      <c r="U552">
        <v>-0.5</v>
      </c>
    </row>
    <row r="553" spans="1:21" x14ac:dyDescent="0.25">
      <c r="A553" t="s">
        <v>67</v>
      </c>
      <c r="B553" t="s">
        <v>68</v>
      </c>
      <c r="C553">
        <v>10</v>
      </c>
      <c r="D553">
        <v>1</v>
      </c>
      <c r="E553">
        <v>10</v>
      </c>
      <c r="F553">
        <v>759.34</v>
      </c>
      <c r="G553">
        <v>2012.27</v>
      </c>
      <c r="H553">
        <v>315.96137399999998</v>
      </c>
      <c r="I553">
        <v>0.31596137400000002</v>
      </c>
      <c r="J553">
        <v>3.1596100000000002E-4</v>
      </c>
      <c r="K553">
        <v>0.69657476399999996</v>
      </c>
      <c r="L553">
        <v>1.29E-2</v>
      </c>
      <c r="M553">
        <v>3.05</v>
      </c>
      <c r="N553">
        <v>27.480897519999999</v>
      </c>
      <c r="O553">
        <v>38.8523569237286</v>
      </c>
      <c r="P553">
        <v>908.47438830563499</v>
      </c>
      <c r="Q553">
        <v>2183.30783058312</v>
      </c>
      <c r="R553">
        <v>5785.76575104526</v>
      </c>
      <c r="S553">
        <v>40.6</v>
      </c>
      <c r="T553">
        <v>0.27</v>
      </c>
      <c r="U553">
        <v>-1.65</v>
      </c>
    </row>
    <row r="554" spans="1:21" x14ac:dyDescent="0.25">
      <c r="A554" t="s">
        <v>69</v>
      </c>
      <c r="B554" t="s">
        <v>70</v>
      </c>
      <c r="C554">
        <v>10</v>
      </c>
      <c r="D554">
        <v>1</v>
      </c>
      <c r="E554">
        <v>10</v>
      </c>
      <c r="F554">
        <v>408.79596249999997</v>
      </c>
      <c r="G554">
        <v>1083.309301</v>
      </c>
      <c r="H554">
        <v>170.1</v>
      </c>
      <c r="I554">
        <v>0.1701</v>
      </c>
      <c r="J554">
        <v>1.7009999999999999E-4</v>
      </c>
      <c r="K554">
        <v>0.37500586200000002</v>
      </c>
      <c r="L554">
        <v>0.01</v>
      </c>
      <c r="M554">
        <v>2.9</v>
      </c>
      <c r="N554">
        <v>28.764945560000001</v>
      </c>
      <c r="O554">
        <v>34.347655021781101</v>
      </c>
      <c r="P554">
        <v>284.51264145637299</v>
      </c>
      <c r="Q554">
        <v>683.76025343997298</v>
      </c>
      <c r="R554">
        <v>1811.96467161593</v>
      </c>
      <c r="S554">
        <v>37.700000000000003</v>
      </c>
      <c r="T554">
        <v>0.24199999999999999</v>
      </c>
      <c r="U554">
        <v>0</v>
      </c>
    </row>
    <row r="555" spans="1:21" x14ac:dyDescent="0.25">
      <c r="A555" s="2" t="s">
        <v>71</v>
      </c>
      <c r="B555" t="s">
        <v>72</v>
      </c>
      <c r="C555">
        <v>10</v>
      </c>
      <c r="D555">
        <v>1</v>
      </c>
      <c r="E555">
        <v>10</v>
      </c>
      <c r="F555">
        <v>5.1550108149999998</v>
      </c>
      <c r="G555">
        <v>13.66077866</v>
      </c>
      <c r="H555">
        <v>2.1450000001215002</v>
      </c>
      <c r="I555">
        <v>2.1450000001214998E-3</v>
      </c>
      <c r="J555">
        <v>2.1450000001214999E-6</v>
      </c>
      <c r="K555">
        <v>4.7289099002678602E-3</v>
      </c>
      <c r="L555" s="3">
        <v>1.0999999999999999E-2</v>
      </c>
      <c r="M555" s="3">
        <v>3.01</v>
      </c>
      <c r="N555">
        <v>5.76512649797567</v>
      </c>
      <c r="O555" s="2">
        <v>8.7258213623118692</v>
      </c>
      <c r="P555" s="2">
        <v>7.4682646853721302</v>
      </c>
      <c r="Q555" s="2">
        <v>17.948244857899901</v>
      </c>
      <c r="R555" s="2">
        <v>47.562848873434703</v>
      </c>
      <c r="S555">
        <v>9</v>
      </c>
      <c r="T555">
        <v>0.32</v>
      </c>
      <c r="U555">
        <v>-0.91</v>
      </c>
    </row>
    <row r="556" spans="1:21" x14ac:dyDescent="0.25">
      <c r="A556" s="2" t="s">
        <v>49</v>
      </c>
      <c r="B556" t="s">
        <v>50</v>
      </c>
      <c r="C556">
        <v>10</v>
      </c>
      <c r="D556">
        <v>1</v>
      </c>
      <c r="E556">
        <v>10</v>
      </c>
      <c r="F556">
        <v>3076.18361</v>
      </c>
      <c r="G556">
        <v>8151.8865660000001</v>
      </c>
      <c r="H556">
        <v>1280.0000001210001</v>
      </c>
      <c r="I556">
        <v>1.2800000001209999</v>
      </c>
      <c r="J556">
        <v>1.2800000001210001E-3</v>
      </c>
      <c r="K556">
        <v>2.8219136002667602</v>
      </c>
      <c r="L556" s="3">
        <v>1.2E-2</v>
      </c>
      <c r="M556" s="3">
        <v>3.1</v>
      </c>
      <c r="N556">
        <v>41.874029007707797</v>
      </c>
      <c r="O556" s="2">
        <v>48.576822106290798</v>
      </c>
      <c r="P556" s="2">
        <v>2028.2031629154401</v>
      </c>
      <c r="Q556" s="2">
        <v>4874.3166616569197</v>
      </c>
      <c r="R556" s="2">
        <v>12916.9391533908</v>
      </c>
      <c r="S556" s="2">
        <v>54.3</v>
      </c>
      <c r="T556" s="2">
        <v>0.22500000000000001</v>
      </c>
      <c r="U556" s="2">
        <v>0</v>
      </c>
    </row>
    <row r="557" spans="1:21" x14ac:dyDescent="0.25">
      <c r="A557" t="s">
        <v>55</v>
      </c>
      <c r="B557" t="s">
        <v>56</v>
      </c>
      <c r="C557">
        <v>10</v>
      </c>
      <c r="D557">
        <v>1</v>
      </c>
      <c r="E557">
        <v>10</v>
      </c>
      <c r="F557">
        <v>27537.010340000001</v>
      </c>
      <c r="G557">
        <v>72973.077390000006</v>
      </c>
      <c r="H557">
        <v>11458.15</v>
      </c>
      <c r="I557">
        <v>11.45815</v>
      </c>
      <c r="J557">
        <v>1.145815E-2</v>
      </c>
      <c r="K557">
        <v>25.260866660000001</v>
      </c>
      <c r="L557">
        <v>1.2999999999999999E-2</v>
      </c>
      <c r="M557">
        <v>3</v>
      </c>
      <c r="N557">
        <v>95.879048850000004</v>
      </c>
      <c r="O557">
        <v>93.295257199890003</v>
      </c>
      <c r="P557">
        <v>10556.5510262714</v>
      </c>
      <c r="Q557">
        <v>25370.225970371001</v>
      </c>
      <c r="R557">
        <v>67231.098821482999</v>
      </c>
      <c r="S557">
        <v>152</v>
      </c>
      <c r="T557">
        <v>9.6000000000000002E-2</v>
      </c>
      <c r="U557">
        <v>0.09</v>
      </c>
    </row>
    <row r="558" spans="1:21" x14ac:dyDescent="0.25">
      <c r="A558" t="s">
        <v>75</v>
      </c>
      <c r="B558" t="s">
        <v>76</v>
      </c>
      <c r="C558">
        <v>10</v>
      </c>
      <c r="D558">
        <v>2</v>
      </c>
      <c r="E558">
        <v>20</v>
      </c>
      <c r="F558">
        <v>3076.18361</v>
      </c>
      <c r="G558">
        <v>8151.8865660000001</v>
      </c>
      <c r="H558">
        <v>1280</v>
      </c>
      <c r="I558">
        <v>1.28</v>
      </c>
      <c r="J558">
        <v>1.2800000000000001E-3</v>
      </c>
      <c r="K558">
        <v>2.8219135999999998</v>
      </c>
      <c r="L558">
        <v>2.5000000000000001E-3</v>
      </c>
      <c r="M558">
        <v>3.1</v>
      </c>
      <c r="N558">
        <v>69.454435750000002</v>
      </c>
      <c r="O558">
        <v>107.646109151343</v>
      </c>
      <c r="P558">
        <v>4978.9166181902601</v>
      </c>
      <c r="Q558">
        <v>11965.6731992075</v>
      </c>
      <c r="R558">
        <v>31709.033977899999</v>
      </c>
      <c r="S558">
        <v>122</v>
      </c>
      <c r="T558">
        <v>0.107</v>
      </c>
      <c r="U558">
        <v>0</v>
      </c>
    </row>
    <row r="559" spans="1:21" x14ac:dyDescent="0.25">
      <c r="A559" t="s">
        <v>73</v>
      </c>
      <c r="B559" t="s">
        <v>74</v>
      </c>
      <c r="C559">
        <v>10</v>
      </c>
      <c r="D559">
        <v>2</v>
      </c>
      <c r="E559">
        <v>20</v>
      </c>
      <c r="F559">
        <v>3076.18361</v>
      </c>
      <c r="G559">
        <v>8151.8865660000001</v>
      </c>
      <c r="H559">
        <v>1280</v>
      </c>
      <c r="I559">
        <v>1.28</v>
      </c>
      <c r="J559">
        <v>1.2800000000000001E-3</v>
      </c>
      <c r="K559">
        <v>2.8219135999999998</v>
      </c>
      <c r="L559">
        <v>1.4E-2</v>
      </c>
      <c r="M559">
        <v>2.8</v>
      </c>
      <c r="N559">
        <v>59.130966340000001</v>
      </c>
      <c r="O559">
        <v>42.997087664330898</v>
      </c>
      <c r="P559">
        <v>524.51431896899305</v>
      </c>
      <c r="Q559">
        <v>1260.54871177359</v>
      </c>
      <c r="R559">
        <v>3340.4540862000299</v>
      </c>
      <c r="S559">
        <v>43</v>
      </c>
      <c r="T559">
        <v>0.48</v>
      </c>
      <c r="U559">
        <v>0</v>
      </c>
    </row>
    <row r="560" spans="1:21" x14ac:dyDescent="0.25">
      <c r="A560" s="2" t="s">
        <v>51</v>
      </c>
      <c r="B560" t="s">
        <v>52</v>
      </c>
      <c r="C560">
        <v>10</v>
      </c>
      <c r="D560">
        <v>1</v>
      </c>
      <c r="E560">
        <v>10</v>
      </c>
      <c r="F560">
        <v>4373.9485699999996</v>
      </c>
      <c r="G560">
        <v>11590.96371</v>
      </c>
      <c r="H560">
        <v>1819.999999977</v>
      </c>
      <c r="I560">
        <v>1.819999999977</v>
      </c>
      <c r="J560">
        <v>1.819999999977E-3</v>
      </c>
      <c r="K560">
        <v>4.0124083999492903</v>
      </c>
      <c r="L560" s="3">
        <v>1.24E-2</v>
      </c>
      <c r="M560" s="3">
        <v>3.2</v>
      </c>
      <c r="N560">
        <v>41.169731262769901</v>
      </c>
      <c r="O560" s="2">
        <v>18.1226446583232</v>
      </c>
      <c r="P560" s="2">
        <v>131.74396360654799</v>
      </c>
      <c r="Q560" s="2">
        <v>316.61611056608501</v>
      </c>
      <c r="R560" s="2">
        <v>839.03269300012403</v>
      </c>
      <c r="S560">
        <v>20.9</v>
      </c>
      <c r="T560">
        <v>0.19500000000000001</v>
      </c>
      <c r="U560">
        <v>-0.35</v>
      </c>
    </row>
    <row r="561" spans="1:21" x14ac:dyDescent="0.25">
      <c r="A561" t="s">
        <v>85</v>
      </c>
      <c r="B561" t="s">
        <v>86</v>
      </c>
      <c r="C561">
        <v>10</v>
      </c>
      <c r="D561">
        <v>7</v>
      </c>
      <c r="E561">
        <v>70</v>
      </c>
      <c r="F561">
        <v>66302.710800000001</v>
      </c>
      <c r="G561">
        <v>175702.084</v>
      </c>
      <c r="H561">
        <v>27588.557959999998</v>
      </c>
      <c r="I561">
        <v>27.588557959999999</v>
      </c>
      <c r="J561">
        <v>2.7588557999999999E-2</v>
      </c>
      <c r="K561">
        <v>60.822286660000003</v>
      </c>
      <c r="L561">
        <v>5.2399999999999999E-3</v>
      </c>
      <c r="M561">
        <v>3.141</v>
      </c>
      <c r="N561">
        <v>138.00379409999999</v>
      </c>
      <c r="O561" s="2">
        <v>309.16985504215899</v>
      </c>
      <c r="P561" s="2">
        <v>347568.58119228901</v>
      </c>
      <c r="Q561" s="2">
        <v>835300.60368250299</v>
      </c>
      <c r="R561" s="2">
        <v>2213546.5997586302</v>
      </c>
      <c r="S561">
        <v>309.24444444444401</v>
      </c>
      <c r="T561">
        <v>0.13655555555555601</v>
      </c>
      <c r="U561">
        <v>9</v>
      </c>
    </row>
    <row r="562" spans="1:21" x14ac:dyDescent="0.25">
      <c r="A562" t="s">
        <v>77</v>
      </c>
      <c r="B562" t="s">
        <v>78</v>
      </c>
      <c r="C562">
        <v>10</v>
      </c>
      <c r="D562">
        <v>3</v>
      </c>
      <c r="E562">
        <v>30</v>
      </c>
      <c r="F562">
        <v>185344.34229999999</v>
      </c>
      <c r="G562">
        <v>491162.50699999998</v>
      </c>
      <c r="H562">
        <v>77121.780830000003</v>
      </c>
      <c r="I562">
        <v>77.121780830000006</v>
      </c>
      <c r="J562">
        <v>7.7121781E-2</v>
      </c>
      <c r="K562">
        <v>170.02422050000001</v>
      </c>
      <c r="L562">
        <v>3.5000000000000003E-2</v>
      </c>
      <c r="M562">
        <v>2.9</v>
      </c>
      <c r="N562">
        <v>153.9142985</v>
      </c>
      <c r="O562" s="2">
        <v>208.406936247815</v>
      </c>
      <c r="P562" s="2">
        <v>185743.376022977</v>
      </c>
      <c r="Q562" s="2">
        <v>446391.19447963801</v>
      </c>
      <c r="R562" s="2">
        <v>1182936.6653710401</v>
      </c>
      <c r="S562">
        <v>208.40700000000001</v>
      </c>
      <c r="T562">
        <v>0.5</v>
      </c>
      <c r="U562">
        <v>0</v>
      </c>
    </row>
    <row r="563" spans="1:21" x14ac:dyDescent="0.25">
      <c r="A563" t="s">
        <v>79</v>
      </c>
      <c r="B563" t="s">
        <v>80</v>
      </c>
      <c r="C563">
        <v>10</v>
      </c>
      <c r="D563">
        <v>2</v>
      </c>
      <c r="E563">
        <v>20</v>
      </c>
      <c r="F563">
        <v>4373.9485699999996</v>
      </c>
      <c r="G563">
        <v>11590.96371</v>
      </c>
      <c r="H563">
        <v>1820</v>
      </c>
      <c r="I563">
        <v>1.82</v>
      </c>
      <c r="J563">
        <v>1.82E-3</v>
      </c>
      <c r="K563">
        <v>4.0124084</v>
      </c>
      <c r="L563">
        <v>3.3999999999999998E-3</v>
      </c>
      <c r="M563">
        <v>3.2850000000000001</v>
      </c>
      <c r="N563">
        <v>41.169731259999999</v>
      </c>
      <c r="O563">
        <v>57.900941129376498</v>
      </c>
      <c r="P563">
        <v>5420.2045735432703</v>
      </c>
      <c r="Q563">
        <v>13026.2066175036</v>
      </c>
      <c r="R563">
        <v>34519.447536384701</v>
      </c>
      <c r="S563">
        <v>59.9</v>
      </c>
      <c r="T563">
        <v>0.17</v>
      </c>
      <c r="U563">
        <v>0</v>
      </c>
    </row>
    <row r="564" spans="1:21" x14ac:dyDescent="0.25">
      <c r="A564" t="s">
        <v>81</v>
      </c>
      <c r="B564" t="s">
        <v>82</v>
      </c>
      <c r="C564">
        <v>10</v>
      </c>
      <c r="D564">
        <v>2</v>
      </c>
      <c r="E564">
        <v>20</v>
      </c>
      <c r="F564">
        <v>3076.18361</v>
      </c>
      <c r="G564">
        <v>8151.8865660000001</v>
      </c>
      <c r="H564">
        <v>1280</v>
      </c>
      <c r="I564">
        <v>1.28</v>
      </c>
      <c r="J564">
        <v>1.2800000000000001E-3</v>
      </c>
      <c r="K564">
        <v>2.8219135999999998</v>
      </c>
      <c r="L564">
        <v>1.4999999999999999E-2</v>
      </c>
      <c r="M564">
        <v>3</v>
      </c>
      <c r="N564">
        <v>44.02569665</v>
      </c>
      <c r="O564">
        <v>102.462433384205</v>
      </c>
      <c r="P564">
        <v>16135.6050920246</v>
      </c>
      <c r="Q564">
        <v>38778.190560020703</v>
      </c>
      <c r="R564">
        <v>102762.204984055</v>
      </c>
      <c r="S564">
        <v>106</v>
      </c>
      <c r="T564">
        <v>0.17</v>
      </c>
      <c r="U564">
        <v>0</v>
      </c>
    </row>
    <row r="565" spans="1:21" x14ac:dyDescent="0.25">
      <c r="A565" t="s">
        <v>83</v>
      </c>
      <c r="B565" t="s">
        <v>84</v>
      </c>
      <c r="C565">
        <v>10</v>
      </c>
      <c r="D565">
        <v>7</v>
      </c>
      <c r="E565">
        <v>70</v>
      </c>
      <c r="F565">
        <v>66302.710800000001</v>
      </c>
      <c r="G565">
        <v>175702.084</v>
      </c>
      <c r="H565">
        <v>27588.557959999998</v>
      </c>
      <c r="I565">
        <v>27.588557959999999</v>
      </c>
      <c r="J565">
        <v>2.7588557999999999E-2</v>
      </c>
      <c r="K565">
        <v>60.822286660000003</v>
      </c>
      <c r="L565">
        <v>5.4000000000000003E-3</v>
      </c>
      <c r="M565">
        <v>3</v>
      </c>
      <c r="N565">
        <v>172.23116809999999</v>
      </c>
      <c r="O565">
        <v>279.91669197507599</v>
      </c>
      <c r="P565">
        <v>118435.023621453</v>
      </c>
      <c r="Q565">
        <v>284631.15506237099</v>
      </c>
      <c r="R565">
        <v>754272.56091528304</v>
      </c>
      <c r="S565">
        <v>280</v>
      </c>
      <c r="T565">
        <v>0.11600000000000001</v>
      </c>
      <c r="U565">
        <v>0</v>
      </c>
    </row>
    <row r="566" spans="1:21" x14ac:dyDescent="0.25">
      <c r="A566" t="s">
        <v>91</v>
      </c>
      <c r="B566" t="s">
        <v>92</v>
      </c>
      <c r="C566">
        <v>10</v>
      </c>
      <c r="D566">
        <v>2</v>
      </c>
      <c r="E566">
        <v>20</v>
      </c>
      <c r="F566">
        <v>3076.18361</v>
      </c>
      <c r="G566">
        <v>8151.8865660000001</v>
      </c>
      <c r="H566">
        <v>1280</v>
      </c>
      <c r="I566">
        <v>1.28</v>
      </c>
      <c r="J566">
        <v>1.2800000000000001E-3</v>
      </c>
      <c r="K566">
        <v>2.8219135999999998</v>
      </c>
      <c r="L566">
        <v>1.2999999999999999E-2</v>
      </c>
      <c r="M566">
        <v>3</v>
      </c>
      <c r="N566">
        <v>46.176626929999998</v>
      </c>
      <c r="O566">
        <v>58.853279534258803</v>
      </c>
      <c r="P566">
        <v>2650.0578686173299</v>
      </c>
      <c r="Q566">
        <v>6368.8004532980704</v>
      </c>
      <c r="R566">
        <v>16877.321201239902</v>
      </c>
      <c r="S566">
        <v>60.2</v>
      </c>
      <c r="T566">
        <v>0.19</v>
      </c>
      <c r="U566">
        <v>0</v>
      </c>
    </row>
    <row r="567" spans="1:21" x14ac:dyDescent="0.25">
      <c r="A567" t="s">
        <v>87</v>
      </c>
      <c r="B567" t="s">
        <v>88</v>
      </c>
      <c r="C567">
        <v>10</v>
      </c>
      <c r="D567">
        <v>2</v>
      </c>
      <c r="E567">
        <v>20</v>
      </c>
      <c r="F567">
        <v>3076.18361</v>
      </c>
      <c r="G567">
        <v>8151.8865660000001</v>
      </c>
      <c r="H567">
        <v>1280</v>
      </c>
      <c r="I567">
        <v>1.28</v>
      </c>
      <c r="J567">
        <v>1.2800000000000001E-3</v>
      </c>
      <c r="K567">
        <v>2.8219135999999998</v>
      </c>
      <c r="L567">
        <v>6.0000000000000001E-3</v>
      </c>
      <c r="M567">
        <v>3.1</v>
      </c>
      <c r="N567">
        <v>52.36621684</v>
      </c>
      <c r="O567">
        <v>30.796610351134799</v>
      </c>
      <c r="P567">
        <v>246.89386414200499</v>
      </c>
      <c r="Q567">
        <v>593.35223297766095</v>
      </c>
      <c r="R567">
        <v>1572.3834173908001</v>
      </c>
      <c r="S567">
        <v>31.4</v>
      </c>
      <c r="T567">
        <v>0.19</v>
      </c>
      <c r="U567">
        <v>-0.8</v>
      </c>
    </row>
    <row r="568" spans="1:21" x14ac:dyDescent="0.25">
      <c r="A568" t="s">
        <v>93</v>
      </c>
      <c r="B568" t="s">
        <v>94</v>
      </c>
      <c r="C568">
        <v>10</v>
      </c>
      <c r="D568">
        <v>9</v>
      </c>
      <c r="E568">
        <v>90</v>
      </c>
      <c r="F568">
        <v>1772528862</v>
      </c>
      <c r="G568">
        <v>4697201485</v>
      </c>
      <c r="H568">
        <v>737549259.5</v>
      </c>
      <c r="I568">
        <v>737549.25950000004</v>
      </c>
      <c r="J568">
        <v>737.54925949999995</v>
      </c>
      <c r="K568">
        <v>1626015.848</v>
      </c>
      <c r="L568" s="2">
        <v>1.7000000000000001E-2</v>
      </c>
      <c r="M568">
        <v>3</v>
      </c>
      <c r="N568">
        <v>1544.971047</v>
      </c>
      <c r="O568" s="2">
        <v>1584.9599997318401</v>
      </c>
      <c r="P568" s="2">
        <v>67686777.780979201</v>
      </c>
      <c r="Q568" s="2">
        <v>162669497.19052899</v>
      </c>
      <c r="R568" s="2">
        <v>431074167.55490202</v>
      </c>
      <c r="S568">
        <v>1584.96</v>
      </c>
      <c r="T568" s="2">
        <v>0.25</v>
      </c>
      <c r="U568">
        <v>0</v>
      </c>
    </row>
    <row r="569" spans="1:21" x14ac:dyDescent="0.25">
      <c r="A569" t="s">
        <v>109</v>
      </c>
      <c r="B569" t="s">
        <v>110</v>
      </c>
      <c r="C569">
        <v>10</v>
      </c>
      <c r="D569">
        <v>5</v>
      </c>
      <c r="E569">
        <v>50</v>
      </c>
      <c r="F569">
        <v>7701.2572719999998</v>
      </c>
      <c r="G569">
        <v>20408.331770000001</v>
      </c>
      <c r="H569">
        <v>3204.4931510000001</v>
      </c>
      <c r="I569">
        <v>3.2044931509999999</v>
      </c>
      <c r="J569">
        <v>3.2044930000000001E-3</v>
      </c>
      <c r="K569">
        <v>7.0646896899999998</v>
      </c>
      <c r="L569">
        <v>4.3E-3</v>
      </c>
      <c r="M569">
        <v>3.1</v>
      </c>
      <c r="N569">
        <v>78.394823119999998</v>
      </c>
      <c r="O569">
        <v>172.19671408346699</v>
      </c>
      <c r="P569">
        <v>36740.5388119864</v>
      </c>
      <c r="Q569">
        <v>88297.377582279194</v>
      </c>
      <c r="R569">
        <v>233988.05059304001</v>
      </c>
      <c r="S569">
        <v>186</v>
      </c>
      <c r="T569">
        <v>4.5999999999999999E-2</v>
      </c>
      <c r="U569">
        <v>-6.54</v>
      </c>
    </row>
    <row r="570" spans="1:21" x14ac:dyDescent="0.25">
      <c r="A570" t="s">
        <v>99</v>
      </c>
      <c r="B570" t="s">
        <v>100</v>
      </c>
      <c r="C570">
        <v>10</v>
      </c>
      <c r="D570">
        <v>2</v>
      </c>
      <c r="E570">
        <v>20</v>
      </c>
      <c r="F570">
        <v>3076.18361</v>
      </c>
      <c r="G570">
        <v>8151.8865660000001</v>
      </c>
      <c r="H570">
        <v>1280</v>
      </c>
      <c r="I570">
        <v>1.28</v>
      </c>
      <c r="J570">
        <v>1.2800000000000001E-3</v>
      </c>
      <c r="K570">
        <v>2.8219135999999998</v>
      </c>
      <c r="L570">
        <v>1.4999999999999999E-2</v>
      </c>
      <c r="M570">
        <v>3.1</v>
      </c>
      <c r="N570">
        <v>38.965787259999999</v>
      </c>
      <c r="O570">
        <v>40.9849733536822</v>
      </c>
      <c r="P570">
        <v>1497.0203221619099</v>
      </c>
      <c r="Q570">
        <v>3597.74170190318</v>
      </c>
      <c r="R570">
        <v>9534.0155100434204</v>
      </c>
      <c r="S570">
        <v>42.4</v>
      </c>
      <c r="T570">
        <v>0.17</v>
      </c>
      <c r="U570">
        <v>0</v>
      </c>
    </row>
    <row r="571" spans="1:21" x14ac:dyDescent="0.25">
      <c r="A571" t="s">
        <v>97</v>
      </c>
      <c r="B571" t="s">
        <v>98</v>
      </c>
      <c r="C571">
        <v>10</v>
      </c>
      <c r="D571">
        <v>2</v>
      </c>
      <c r="E571">
        <v>20</v>
      </c>
      <c r="F571">
        <v>27189.341339999999</v>
      </c>
      <c r="G571">
        <v>72051.754549999998</v>
      </c>
      <c r="H571">
        <v>11313.484930000001</v>
      </c>
      <c r="I571">
        <v>11.31348493</v>
      </c>
      <c r="J571">
        <v>1.1313485E-2</v>
      </c>
      <c r="K571">
        <v>24.941935149999999</v>
      </c>
      <c r="L571" s="2">
        <v>6.5000000000000002E-2</v>
      </c>
      <c r="M571">
        <v>3</v>
      </c>
      <c r="N571">
        <v>82.703166069999995</v>
      </c>
      <c r="O571">
        <v>23.5999927807052</v>
      </c>
      <c r="P571">
        <v>854.37585593284996</v>
      </c>
      <c r="Q571">
        <v>2053.2945348061799</v>
      </c>
      <c r="R571">
        <v>5441.2305172363704</v>
      </c>
      <c r="S571">
        <v>23.6</v>
      </c>
      <c r="T571">
        <v>0.75</v>
      </c>
      <c r="U571">
        <v>0</v>
      </c>
    </row>
    <row r="572" spans="1:21" x14ac:dyDescent="0.25">
      <c r="A572" s="2" t="s">
        <v>47</v>
      </c>
      <c r="B572" t="s">
        <v>48</v>
      </c>
      <c r="C572">
        <v>10</v>
      </c>
      <c r="D572">
        <v>1</v>
      </c>
      <c r="E572">
        <v>10</v>
      </c>
      <c r="F572">
        <v>408.79596249999997</v>
      </c>
      <c r="G572">
        <v>1083.309301</v>
      </c>
      <c r="H572">
        <v>170.09999999625001</v>
      </c>
      <c r="I572">
        <v>0.17009999999625</v>
      </c>
      <c r="J572">
        <v>1.7009999999625E-4</v>
      </c>
      <c r="K572">
        <v>0.37500586199173302</v>
      </c>
      <c r="L572" s="3">
        <v>1.23E-2</v>
      </c>
      <c r="M572" s="3">
        <v>3.2</v>
      </c>
      <c r="N572">
        <v>19.6788515996443</v>
      </c>
      <c r="O572" s="2">
        <v>39.087911451712699</v>
      </c>
      <c r="P572" s="2">
        <v>1529.1180047687301</v>
      </c>
      <c r="Q572" s="2">
        <v>3674.8810496725</v>
      </c>
      <c r="R572" s="2">
        <v>9738.4347816321097</v>
      </c>
      <c r="S572" s="2">
        <v>39.200000000000003</v>
      </c>
      <c r="T572" s="2">
        <v>0.58571428571428596</v>
      </c>
      <c r="U572" s="2">
        <v>0</v>
      </c>
    </row>
    <row r="573" spans="1:21" x14ac:dyDescent="0.25">
      <c r="A573" t="s">
        <v>103</v>
      </c>
      <c r="B573" t="s">
        <v>104</v>
      </c>
      <c r="C573">
        <v>10</v>
      </c>
      <c r="D573">
        <v>1</v>
      </c>
      <c r="E573">
        <v>10</v>
      </c>
      <c r="F573">
        <v>4325.8832009999996</v>
      </c>
      <c r="G573">
        <v>11463.590480000001</v>
      </c>
      <c r="H573">
        <v>1800</v>
      </c>
      <c r="I573">
        <v>1.8</v>
      </c>
      <c r="J573">
        <v>1.8E-3</v>
      </c>
      <c r="K573">
        <v>3.9683160000000002</v>
      </c>
      <c r="L573">
        <v>1.2999999999999999E-2</v>
      </c>
      <c r="M573">
        <v>2.8</v>
      </c>
      <c r="N573">
        <v>68.578658140000002</v>
      </c>
      <c r="O573">
        <v>54.589452710308201</v>
      </c>
      <c r="P573">
        <v>950.27176421676802</v>
      </c>
      <c r="Q573">
        <v>2283.7581451977098</v>
      </c>
      <c r="R573">
        <v>6051.95908477393</v>
      </c>
      <c r="S573">
        <v>65.400000000000006</v>
      </c>
      <c r="T573">
        <v>0.18</v>
      </c>
      <c r="U573">
        <v>0</v>
      </c>
    </row>
    <row r="574" spans="1:21" x14ac:dyDescent="0.25">
      <c r="A574" s="2" t="s">
        <v>105</v>
      </c>
      <c r="B574" t="s">
        <v>106</v>
      </c>
      <c r="C574">
        <v>10</v>
      </c>
      <c r="D574">
        <v>3</v>
      </c>
      <c r="E574">
        <v>30</v>
      </c>
      <c r="F574">
        <v>32000</v>
      </c>
      <c r="G574">
        <v>85500</v>
      </c>
      <c r="H574">
        <v>13315.2</v>
      </c>
      <c r="I574">
        <v>13.315200000000001</v>
      </c>
      <c r="J574">
        <v>1.3315199999999999E-2</v>
      </c>
      <c r="K574">
        <v>29.346700800000001</v>
      </c>
      <c r="L574" s="3">
        <v>1.2699999999999999E-2</v>
      </c>
      <c r="M574" s="3">
        <v>3.1</v>
      </c>
      <c r="N574">
        <v>87.520735578139096</v>
      </c>
      <c r="O574" s="2">
        <v>108.864683917384</v>
      </c>
      <c r="P574" s="2">
        <v>26191.083819039501</v>
      </c>
      <c r="Q574" s="2">
        <v>62944.205284882199</v>
      </c>
      <c r="R574" s="2">
        <v>166802.14400493799</v>
      </c>
      <c r="S574">
        <v>109.97499999999999</v>
      </c>
      <c r="T574">
        <v>0.14749999999999999</v>
      </c>
      <c r="U574">
        <v>-1.1566666666666701</v>
      </c>
    </row>
    <row r="575" spans="1:21" x14ac:dyDescent="0.25">
      <c r="A575" t="s">
        <v>115</v>
      </c>
      <c r="B575" t="s">
        <v>116</v>
      </c>
      <c r="C575">
        <v>10</v>
      </c>
      <c r="D575">
        <v>7</v>
      </c>
      <c r="E575">
        <v>70</v>
      </c>
      <c r="F575">
        <v>9236059.2980000004</v>
      </c>
      <c r="G575">
        <v>24475557.140000001</v>
      </c>
      <c r="H575">
        <v>3843124.2740000002</v>
      </c>
      <c r="I575">
        <v>3843.1242739999998</v>
      </c>
      <c r="J575">
        <v>3.843124274</v>
      </c>
      <c r="K575">
        <v>8472.6286369999998</v>
      </c>
      <c r="L575" s="2">
        <v>1.4999999999999999E-2</v>
      </c>
      <c r="M575">
        <v>3</v>
      </c>
      <c r="N575">
        <v>727.04530810000006</v>
      </c>
      <c r="O575" s="2">
        <v>271.77999317560699</v>
      </c>
      <c r="P575" s="2">
        <v>301122.847972702</v>
      </c>
      <c r="Q575" s="2">
        <v>723679.03862701904</v>
      </c>
      <c r="R575" s="2">
        <v>1917749.4523616</v>
      </c>
      <c r="S575">
        <v>271.77999999999997</v>
      </c>
      <c r="T575">
        <v>0.25</v>
      </c>
      <c r="U575">
        <v>0</v>
      </c>
    </row>
    <row r="576" spans="1:21" x14ac:dyDescent="0.25">
      <c r="A576" t="s">
        <v>107</v>
      </c>
      <c r="B576" t="s">
        <v>108</v>
      </c>
      <c r="C576">
        <v>10</v>
      </c>
      <c r="D576">
        <v>5</v>
      </c>
      <c r="E576">
        <v>50</v>
      </c>
      <c r="F576">
        <v>7701.2572719999998</v>
      </c>
      <c r="G576">
        <v>20408.331770000001</v>
      </c>
      <c r="H576">
        <v>3204.4931510000001</v>
      </c>
      <c r="I576">
        <v>3.2044931509999999</v>
      </c>
      <c r="J576">
        <v>3.2044930000000001E-3</v>
      </c>
      <c r="K576">
        <v>7.0646896899999998</v>
      </c>
      <c r="L576">
        <v>3.5999999999999999E-3</v>
      </c>
      <c r="M576">
        <v>3</v>
      </c>
      <c r="N576">
        <v>96.194952009999994</v>
      </c>
      <c r="O576">
        <v>134.52485336554699</v>
      </c>
      <c r="P576">
        <v>8764.1556661491104</v>
      </c>
      <c r="Q576">
        <v>21062.618760271798</v>
      </c>
      <c r="R576">
        <v>55815.9397147204</v>
      </c>
      <c r="S576">
        <v>150</v>
      </c>
      <c r="T576">
        <v>4.1000000000000002E-2</v>
      </c>
      <c r="U576">
        <v>-5.4</v>
      </c>
    </row>
    <row r="577" spans="1:21" x14ac:dyDescent="0.25">
      <c r="A577" t="s">
        <v>41</v>
      </c>
      <c r="B577" t="s">
        <v>42</v>
      </c>
      <c r="C577">
        <v>10</v>
      </c>
      <c r="D577">
        <v>4</v>
      </c>
      <c r="E577">
        <v>40</v>
      </c>
      <c r="F577">
        <v>31491.086510000001</v>
      </c>
      <c r="G577">
        <v>83451.379249999998</v>
      </c>
      <c r="H577">
        <v>13103.4411</v>
      </c>
      <c r="I577">
        <v>13.1034411</v>
      </c>
      <c r="J577">
        <v>1.3103441E-2</v>
      </c>
      <c r="K577">
        <v>28.88810831</v>
      </c>
      <c r="L577">
        <v>1.34E-2</v>
      </c>
      <c r="M577">
        <v>3.1</v>
      </c>
      <c r="N577">
        <v>85.575327229999999</v>
      </c>
      <c r="O577">
        <v>90.928597279291296</v>
      </c>
      <c r="P577">
        <v>15815.2594832019</v>
      </c>
      <c r="Q577">
        <v>38008.314066815503</v>
      </c>
      <c r="R577">
        <v>100722.03227706099</v>
      </c>
      <c r="S577">
        <v>91.5</v>
      </c>
      <c r="T577">
        <v>0.12690000000000001</v>
      </c>
      <c r="U577">
        <v>0</v>
      </c>
    </row>
    <row r="578" spans="1:21" x14ac:dyDescent="0.25">
      <c r="A578" t="s">
        <v>111</v>
      </c>
      <c r="B578" t="s">
        <v>112</v>
      </c>
      <c r="C578">
        <v>10</v>
      </c>
      <c r="D578">
        <v>2</v>
      </c>
      <c r="E578">
        <v>20</v>
      </c>
      <c r="F578">
        <v>3076.18361</v>
      </c>
      <c r="G578">
        <v>8151.8865660000001</v>
      </c>
      <c r="H578">
        <v>1280</v>
      </c>
      <c r="I578">
        <v>1.28</v>
      </c>
      <c r="J578">
        <v>1.2800000000000001E-3</v>
      </c>
      <c r="K578">
        <v>2.8219135999999998</v>
      </c>
      <c r="L578">
        <v>1.2200000000000001E-2</v>
      </c>
      <c r="M578">
        <v>2.9</v>
      </c>
      <c r="N578">
        <v>53.867600940000003</v>
      </c>
      <c r="O578">
        <v>96.076773768154396</v>
      </c>
      <c r="P578">
        <v>6854.1439786024202</v>
      </c>
      <c r="Q578">
        <v>16472.3479418467</v>
      </c>
      <c r="R578">
        <v>43651.722045893803</v>
      </c>
      <c r="S578">
        <v>98.7</v>
      </c>
      <c r="T578">
        <v>0.158</v>
      </c>
      <c r="U578">
        <v>-2.96</v>
      </c>
    </row>
    <row r="579" spans="1:21" x14ac:dyDescent="0.25">
      <c r="A579" t="s">
        <v>113</v>
      </c>
      <c r="B579" t="s">
        <v>114</v>
      </c>
      <c r="C579">
        <v>10</v>
      </c>
      <c r="D579">
        <v>2</v>
      </c>
      <c r="E579">
        <v>20</v>
      </c>
      <c r="F579">
        <v>4373.9485699999996</v>
      </c>
      <c r="G579">
        <v>11590.96371</v>
      </c>
      <c r="H579">
        <v>1820</v>
      </c>
      <c r="I579">
        <v>1.82</v>
      </c>
      <c r="J579">
        <v>1.82E-3</v>
      </c>
      <c r="K579">
        <v>4.0124084</v>
      </c>
      <c r="L579">
        <v>1.2E-2</v>
      </c>
      <c r="M579">
        <v>3.05</v>
      </c>
      <c r="N579">
        <v>49.963459960000002</v>
      </c>
      <c r="O579">
        <v>84.734460780851904</v>
      </c>
      <c r="P579">
        <v>9115.1634332104404</v>
      </c>
      <c r="Q579">
        <v>21906.184650830201</v>
      </c>
      <c r="R579">
        <v>58051.389324700001</v>
      </c>
      <c r="S579">
        <v>85.9</v>
      </c>
      <c r="T579">
        <v>0.215</v>
      </c>
      <c r="U579">
        <v>0</v>
      </c>
    </row>
    <row r="580" spans="1:21" x14ac:dyDescent="0.25">
      <c r="A580" t="s">
        <v>117</v>
      </c>
      <c r="B580" t="s">
        <v>118</v>
      </c>
      <c r="C580">
        <v>10</v>
      </c>
      <c r="D580">
        <v>2</v>
      </c>
      <c r="E580">
        <v>20</v>
      </c>
      <c r="F580">
        <v>3076.18361</v>
      </c>
      <c r="G580">
        <v>8151.8865660000001</v>
      </c>
      <c r="H580">
        <v>1280</v>
      </c>
      <c r="I580">
        <v>1.28</v>
      </c>
      <c r="J580">
        <v>1.2800000000000001E-3</v>
      </c>
      <c r="K580">
        <v>2.8219135999999998</v>
      </c>
      <c r="L580">
        <v>1.4999999999999999E-2</v>
      </c>
      <c r="M580">
        <v>3</v>
      </c>
      <c r="N580">
        <v>44.02569665</v>
      </c>
      <c r="O580">
        <v>63.293457267080001</v>
      </c>
      <c r="P580">
        <v>3803.3624564326001</v>
      </c>
      <c r="Q580">
        <v>9140.5009767666306</v>
      </c>
      <c r="R580">
        <v>24222.327588431599</v>
      </c>
      <c r="S580">
        <v>73.2</v>
      </c>
      <c r="T580">
        <v>0.1</v>
      </c>
      <c r="U580">
        <v>0</v>
      </c>
    </row>
    <row r="581" spans="1:21" x14ac:dyDescent="0.25">
      <c r="A581" t="s">
        <v>123</v>
      </c>
      <c r="B581" t="s">
        <v>124</v>
      </c>
      <c r="C581">
        <v>10</v>
      </c>
      <c r="D581">
        <v>2</v>
      </c>
      <c r="E581">
        <v>20</v>
      </c>
      <c r="F581">
        <v>3076.18361</v>
      </c>
      <c r="G581">
        <v>8151.8865660000001</v>
      </c>
      <c r="H581">
        <v>1280</v>
      </c>
      <c r="I581">
        <v>1.28</v>
      </c>
      <c r="J581">
        <v>1.2800000000000001E-3</v>
      </c>
      <c r="K581">
        <v>2.8219135999999998</v>
      </c>
      <c r="L581">
        <v>9.4999999999999998E-3</v>
      </c>
      <c r="M581">
        <v>3.1</v>
      </c>
      <c r="N581">
        <v>45.151587120000002</v>
      </c>
      <c r="O581">
        <v>102.51643976005199</v>
      </c>
      <c r="P581">
        <v>16262.357460261001</v>
      </c>
      <c r="Q581">
        <v>39082.8105269429</v>
      </c>
      <c r="R581">
        <v>103569.447896399</v>
      </c>
      <c r="S581">
        <v>111</v>
      </c>
      <c r="T581">
        <v>0.13</v>
      </c>
      <c r="U581">
        <v>0.22</v>
      </c>
    </row>
    <row r="582" spans="1:21" x14ac:dyDescent="0.25">
      <c r="A582" t="s">
        <v>121</v>
      </c>
      <c r="B582" t="s">
        <v>122</v>
      </c>
      <c r="C582">
        <v>10</v>
      </c>
      <c r="D582">
        <v>7</v>
      </c>
      <c r="E582">
        <v>70</v>
      </c>
      <c r="F582">
        <v>9236059.2980000004</v>
      </c>
      <c r="G582">
        <v>24475557.140000001</v>
      </c>
      <c r="H582">
        <v>3843124.2740000002</v>
      </c>
      <c r="I582">
        <v>3843.1242739999998</v>
      </c>
      <c r="J582">
        <v>3.843124274</v>
      </c>
      <c r="K582">
        <v>8472.6286369999998</v>
      </c>
      <c r="L582" s="2">
        <v>1E-3</v>
      </c>
      <c r="M582">
        <v>3</v>
      </c>
      <c r="N582">
        <v>727.04530810000006</v>
      </c>
      <c r="O582" s="2">
        <v>2615.7599343182901</v>
      </c>
      <c r="P582" s="2">
        <v>17897552.711488701</v>
      </c>
      <c r="Q582" s="2">
        <v>43012623.675771996</v>
      </c>
      <c r="R582" s="2">
        <v>113983452.740796</v>
      </c>
      <c r="S582">
        <v>2615.7600000000002</v>
      </c>
      <c r="T582">
        <v>0.25</v>
      </c>
      <c r="U582">
        <v>0</v>
      </c>
    </row>
    <row r="583" spans="1:21" x14ac:dyDescent="0.25">
      <c r="A583" t="s">
        <v>119</v>
      </c>
      <c r="B583" t="s">
        <v>120</v>
      </c>
      <c r="C583">
        <v>10</v>
      </c>
      <c r="D583">
        <v>3</v>
      </c>
      <c r="E583">
        <v>30</v>
      </c>
      <c r="F583">
        <v>188718.33360000001</v>
      </c>
      <c r="G583">
        <v>500103.58419999998</v>
      </c>
      <c r="H583">
        <v>78525.698610000007</v>
      </c>
      <c r="I583">
        <v>78.525698610000006</v>
      </c>
      <c r="J583">
        <v>7.8525699000000004E-2</v>
      </c>
      <c r="K583">
        <v>173.11932569999999</v>
      </c>
      <c r="L583">
        <v>2.1399999999999999E-2</v>
      </c>
      <c r="M583">
        <v>2.96</v>
      </c>
      <c r="N583">
        <v>165.1085664</v>
      </c>
      <c r="O583" s="2">
        <v>133.521030297659</v>
      </c>
      <c r="P583" s="2">
        <v>41883.292127343702</v>
      </c>
      <c r="Q583" s="2">
        <v>100656.79434593501</v>
      </c>
      <c r="R583" s="2">
        <v>266740.505016729</v>
      </c>
      <c r="S583">
        <v>133.76666666666699</v>
      </c>
      <c r="T583">
        <v>0.3</v>
      </c>
      <c r="U583">
        <v>9</v>
      </c>
    </row>
    <row r="584" spans="1:21" x14ac:dyDescent="0.25">
      <c r="A584" t="s">
        <v>89</v>
      </c>
      <c r="B584" t="s">
        <v>90</v>
      </c>
      <c r="C584">
        <v>10</v>
      </c>
      <c r="D584">
        <v>8</v>
      </c>
      <c r="E584">
        <v>80</v>
      </c>
      <c r="F584">
        <v>100000</v>
      </c>
      <c r="G584">
        <v>265000</v>
      </c>
      <c r="H584">
        <v>41610</v>
      </c>
      <c r="I584">
        <v>41.61</v>
      </c>
      <c r="J584">
        <v>4.1610000000000001E-2</v>
      </c>
      <c r="K584">
        <v>91.734238199999993</v>
      </c>
      <c r="L584" s="2">
        <v>0.05</v>
      </c>
      <c r="M584" s="2">
        <v>3.2</v>
      </c>
      <c r="N584">
        <v>217.4624772</v>
      </c>
      <c r="O584">
        <v>114.299971373378</v>
      </c>
      <c r="P584">
        <v>2986.5401700472498</v>
      </c>
      <c r="Q584">
        <v>7177.4577506542901</v>
      </c>
      <c r="R584">
        <v>19020.263039233902</v>
      </c>
      <c r="S584">
        <v>114.3</v>
      </c>
      <c r="T584">
        <v>0.19</v>
      </c>
      <c r="U584">
        <v>0</v>
      </c>
    </row>
    <row r="585" spans="1:21" x14ac:dyDescent="0.25">
      <c r="A585" t="s">
        <v>125</v>
      </c>
      <c r="B585" t="s">
        <v>126</v>
      </c>
      <c r="C585">
        <v>10</v>
      </c>
      <c r="D585">
        <v>1</v>
      </c>
      <c r="E585">
        <v>10</v>
      </c>
      <c r="F585">
        <v>34739.245369999997</v>
      </c>
      <c r="G585">
        <v>92059.000239999994</v>
      </c>
      <c r="H585">
        <v>14455</v>
      </c>
      <c r="I585">
        <v>14.455</v>
      </c>
      <c r="J585">
        <v>1.4455000000000001E-2</v>
      </c>
      <c r="K585">
        <v>31.867782099999999</v>
      </c>
      <c r="L585">
        <v>1.4999999999999999E-2</v>
      </c>
      <c r="M585">
        <v>2.9</v>
      </c>
      <c r="N585">
        <v>115.7238962</v>
      </c>
      <c r="O585">
        <v>85.968396000683796</v>
      </c>
      <c r="P585">
        <v>6104.8338399565801</v>
      </c>
      <c r="Q585">
        <v>14671.554530056699</v>
      </c>
      <c r="R585">
        <v>38879.619504650203</v>
      </c>
      <c r="S585">
        <v>136</v>
      </c>
      <c r="T585">
        <v>0.1</v>
      </c>
      <c r="U585">
        <v>0</v>
      </c>
    </row>
    <row r="586" spans="1:21" x14ac:dyDescent="0.25">
      <c r="A586" t="s">
        <v>131</v>
      </c>
      <c r="B586" t="s">
        <v>132</v>
      </c>
      <c r="C586">
        <v>10</v>
      </c>
      <c r="D586">
        <v>2</v>
      </c>
      <c r="E586">
        <v>20</v>
      </c>
      <c r="F586">
        <v>4373.9485699999996</v>
      </c>
      <c r="G586">
        <v>11590.96371</v>
      </c>
      <c r="H586">
        <v>1820</v>
      </c>
      <c r="I586">
        <v>1.82</v>
      </c>
      <c r="J586">
        <v>1.82E-3</v>
      </c>
      <c r="K586">
        <v>4.0124084</v>
      </c>
      <c r="L586">
        <v>1.4E-2</v>
      </c>
      <c r="M586">
        <v>2.9</v>
      </c>
      <c r="N586">
        <v>58.000099980000002</v>
      </c>
      <c r="O586">
        <v>44.862975302784797</v>
      </c>
      <c r="P586">
        <v>864.17847758364303</v>
      </c>
      <c r="Q586">
        <v>2076.8528660986399</v>
      </c>
      <c r="R586">
        <v>5503.66009516139</v>
      </c>
      <c r="S586">
        <v>45.7</v>
      </c>
      <c r="T586">
        <v>0.2</v>
      </c>
      <c r="U586">
        <v>0</v>
      </c>
    </row>
    <row r="587" spans="1:21" x14ac:dyDescent="0.25">
      <c r="A587" t="s">
        <v>133</v>
      </c>
      <c r="B587" t="s">
        <v>134</v>
      </c>
      <c r="C587">
        <v>10</v>
      </c>
      <c r="D587">
        <v>3</v>
      </c>
      <c r="E587">
        <v>30</v>
      </c>
      <c r="F587">
        <v>32000</v>
      </c>
      <c r="G587">
        <v>85500</v>
      </c>
      <c r="H587">
        <v>13315.2</v>
      </c>
      <c r="I587">
        <v>13.315200000000001</v>
      </c>
      <c r="J587">
        <v>1.3315199999999999E-2</v>
      </c>
      <c r="K587">
        <v>29.354956219999998</v>
      </c>
      <c r="L587">
        <v>1.2699999999999999E-2</v>
      </c>
      <c r="M587">
        <v>3.1</v>
      </c>
      <c r="N587">
        <v>87.520735579999993</v>
      </c>
      <c r="O587">
        <v>108.324274206064</v>
      </c>
      <c r="P587">
        <v>25790.137840376901</v>
      </c>
      <c r="Q587">
        <v>61980.624466178502</v>
      </c>
      <c r="R587">
        <v>164248.65483537299</v>
      </c>
      <c r="S587">
        <v>114</v>
      </c>
      <c r="T587">
        <v>0.1</v>
      </c>
      <c r="U587">
        <v>0</v>
      </c>
    </row>
    <row r="588" spans="1:21" x14ac:dyDescent="0.25">
      <c r="A588" t="s">
        <v>127</v>
      </c>
      <c r="B588" t="s">
        <v>128</v>
      </c>
      <c r="C588">
        <v>10</v>
      </c>
      <c r="D588">
        <v>2</v>
      </c>
      <c r="E588">
        <v>20</v>
      </c>
      <c r="F588">
        <v>4373.9485699999996</v>
      </c>
      <c r="G588">
        <v>11590.96371</v>
      </c>
      <c r="H588">
        <v>1820</v>
      </c>
      <c r="I588">
        <v>1.82</v>
      </c>
      <c r="J588">
        <v>1.82E-3</v>
      </c>
      <c r="K588">
        <v>4.0124084</v>
      </c>
      <c r="L588">
        <v>1.4E-2</v>
      </c>
      <c r="M588">
        <v>3</v>
      </c>
      <c r="N588">
        <v>50.65797019</v>
      </c>
      <c r="O588">
        <v>62.075710903091597</v>
      </c>
      <c r="P588">
        <v>3348.8303064529</v>
      </c>
      <c r="Q588">
        <v>8048.1382034436401</v>
      </c>
      <c r="R588">
        <v>21327.566239125601</v>
      </c>
      <c r="S588">
        <v>62.2</v>
      </c>
      <c r="T588">
        <v>0.31</v>
      </c>
      <c r="U588">
        <v>-0.05</v>
      </c>
    </row>
    <row r="589" spans="1:21" x14ac:dyDescent="0.25">
      <c r="A589" t="s">
        <v>135</v>
      </c>
      <c r="B589" t="s">
        <v>136</v>
      </c>
      <c r="C589">
        <v>10</v>
      </c>
      <c r="D589">
        <v>2</v>
      </c>
      <c r="E589">
        <v>20</v>
      </c>
      <c r="F589">
        <v>4373.9485699999996</v>
      </c>
      <c r="G589">
        <v>11590.96371</v>
      </c>
      <c r="H589">
        <v>1820</v>
      </c>
      <c r="I589">
        <v>1.82</v>
      </c>
      <c r="J589">
        <v>1.82E-3</v>
      </c>
      <c r="K589">
        <v>4.0124084</v>
      </c>
      <c r="L589">
        <v>1.2E-2</v>
      </c>
      <c r="M589">
        <v>3</v>
      </c>
      <c r="N589">
        <v>53.328992700000001</v>
      </c>
      <c r="O589">
        <v>52.146811142691</v>
      </c>
      <c r="P589">
        <v>1701.6275700194101</v>
      </c>
      <c r="Q589">
        <v>4089.46784431485</v>
      </c>
      <c r="R589">
        <v>10837.089787434399</v>
      </c>
      <c r="S589">
        <v>60.5</v>
      </c>
      <c r="T589">
        <v>9.9000000000000005E-2</v>
      </c>
      <c r="U589">
        <v>0</v>
      </c>
    </row>
    <row r="590" spans="1:21" x14ac:dyDescent="0.25">
      <c r="A590" t="s">
        <v>129</v>
      </c>
      <c r="B590" t="s">
        <v>130</v>
      </c>
      <c r="C590">
        <v>10</v>
      </c>
      <c r="D590">
        <v>2</v>
      </c>
      <c r="E590">
        <v>20</v>
      </c>
      <c r="F590">
        <v>3076.18361</v>
      </c>
      <c r="G590">
        <v>8151.8865660000001</v>
      </c>
      <c r="H590">
        <v>1280</v>
      </c>
      <c r="I590">
        <v>1.28</v>
      </c>
      <c r="J590">
        <v>1.2800000000000001E-3</v>
      </c>
      <c r="K590">
        <v>2.8219135999999998</v>
      </c>
      <c r="L590">
        <v>1.2500000000000001E-2</v>
      </c>
      <c r="M590">
        <v>2.88</v>
      </c>
      <c r="N590">
        <v>54.91455706</v>
      </c>
      <c r="O590">
        <v>91.140390993795705</v>
      </c>
      <c r="P590">
        <v>5506.5218729766202</v>
      </c>
      <c r="Q590">
        <v>13233.650259496801</v>
      </c>
      <c r="R590">
        <v>35069.1731876665</v>
      </c>
      <c r="S590">
        <v>158</v>
      </c>
      <c r="T590">
        <v>4.2999999999999997E-2</v>
      </c>
      <c r="U590">
        <v>0</v>
      </c>
    </row>
    <row r="591" spans="1:21" x14ac:dyDescent="0.25">
      <c r="A591" t="s">
        <v>137</v>
      </c>
      <c r="B591" t="s">
        <v>138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zoomScaleNormal="100" workbookViewId="0">
      <pane xSplit="2" ySplit="1" topLeftCell="E368" activePane="bottomRight" state="frozen"/>
      <selection pane="topRight" activeCell="E1" sqref="E1"/>
      <selection pane="bottomLeft" activeCell="A368" sqref="A368"/>
      <selection pane="bottomRight" activeCell="T374" sqref="T374"/>
    </sheetView>
  </sheetViews>
  <sheetFormatPr defaultRowHeight="15" x14ac:dyDescent="0.25"/>
  <cols>
    <col min="1" max="1" width="8.5703125"/>
    <col min="2" max="2" width="18.85546875"/>
    <col min="3" max="3" width="6.85546875"/>
    <col min="4" max="4" width="7.42578125"/>
    <col min="5" max="5" width="4"/>
    <col min="6" max="8" width="8.5703125"/>
    <col min="9" max="9" width="12.85546875"/>
    <col min="10" max="17" width="8.5703125"/>
    <col min="18" max="18" width="11.7109375"/>
    <col min="19" max="23" width="8.5703125"/>
    <col min="24" max="24" width="21.28515625"/>
    <col min="25" max="25" width="19.7109375"/>
    <col min="26" max="26" width="22.28515625"/>
    <col min="27" max="27" width="15.5703125"/>
    <col min="28" max="28" width="22.5703125"/>
    <col min="29" max="29" width="15.7109375"/>
    <col min="30" max="30" width="15.42578125"/>
    <col min="31" max="31" width="11.85546875"/>
    <col min="32" max="32" width="12.5703125"/>
    <col min="33" max="1025" width="8.5703125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400</v>
      </c>
      <c r="P1" s="1" t="s">
        <v>401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5" x14ac:dyDescent="0.25">
      <c r="A2" t="s">
        <v>21</v>
      </c>
      <c r="B2" t="s">
        <v>22</v>
      </c>
      <c r="C2">
        <v>1</v>
      </c>
      <c r="D2">
        <v>1</v>
      </c>
      <c r="E2">
        <f t="shared" ref="E2:E33" si="0"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f t="shared" ref="O2:O65" si="1">R2*0.00220462</f>
        <v>5.4245104679097669E-3</v>
      </c>
      <c r="P2">
        <f t="shared" ref="P2:P65" si="2">Q2/2.54</f>
        <v>2.1092848113765359</v>
      </c>
      <c r="Q2">
        <f t="shared" ref="Q2:Q11" si="3">13.8*(1-EXP(-0.21*(E2+1.34)))</f>
        <v>5.3575834208964013</v>
      </c>
      <c r="R2">
        <f t="shared" ref="R2:R65" si="4">L2*(Q2^M2)</f>
        <v>2.4605194854032746</v>
      </c>
      <c r="S2">
        <f t="shared" ref="S2:S65" si="5">R2/20/5.7/3.65*1000</f>
        <v>5.913288837787249</v>
      </c>
      <c r="T2">
        <f t="shared" ref="T2:T65" si="6">S2*2.65</f>
        <v>15.670215420136209</v>
      </c>
      <c r="U2">
        <v>13.8</v>
      </c>
      <c r="V2">
        <v>0.21</v>
      </c>
      <c r="W2">
        <v>-1.34</v>
      </c>
      <c r="Y2" t="s">
        <v>402</v>
      </c>
    </row>
    <row r="3" spans="1:25" x14ac:dyDescent="0.25">
      <c r="A3" t="s">
        <v>21</v>
      </c>
      <c r="B3" t="s">
        <v>22</v>
      </c>
      <c r="C3">
        <v>2</v>
      </c>
      <c r="D3">
        <v>1</v>
      </c>
      <c r="E3">
        <f t="shared" si="0"/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f t="shared" si="1"/>
        <v>1.187587034075698E-2</v>
      </c>
      <c r="P3">
        <f t="shared" si="2"/>
        <v>2.7388622531736626</v>
      </c>
      <c r="Q3">
        <f t="shared" si="3"/>
        <v>6.9567101230611028</v>
      </c>
      <c r="R3">
        <f t="shared" si="4"/>
        <v>5.3868105799443802</v>
      </c>
      <c r="S3">
        <f t="shared" si="5"/>
        <v>12.945951886432059</v>
      </c>
      <c r="T3">
        <f t="shared" si="6"/>
        <v>34.306772499044953</v>
      </c>
      <c r="U3">
        <v>13.8</v>
      </c>
      <c r="V3">
        <v>0.21</v>
      </c>
      <c r="W3">
        <v>-1.34</v>
      </c>
    </row>
    <row r="4" spans="1:25" x14ac:dyDescent="0.25">
      <c r="A4" t="s">
        <v>21</v>
      </c>
      <c r="B4" t="s">
        <v>22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f t="shared" si="1"/>
        <v>1.9828018743465816E-2</v>
      </c>
      <c r="P4">
        <f t="shared" si="2"/>
        <v>3.2491878091126258</v>
      </c>
      <c r="Q4">
        <f t="shared" si="3"/>
        <v>8.2529370351460702</v>
      </c>
      <c r="R4">
        <f t="shared" si="4"/>
        <v>8.9938487101930562</v>
      </c>
      <c r="S4">
        <f t="shared" si="5"/>
        <v>21.614632805078241</v>
      </c>
      <c r="T4">
        <f t="shared" si="6"/>
        <v>57.278776933457337</v>
      </c>
      <c r="U4">
        <v>13.8</v>
      </c>
      <c r="V4">
        <v>0.21</v>
      </c>
      <c r="W4">
        <v>-1.34</v>
      </c>
    </row>
    <row r="5" spans="1:25" x14ac:dyDescent="0.25">
      <c r="A5" t="s">
        <v>21</v>
      </c>
      <c r="B5" t="s">
        <v>22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f t="shared" si="1"/>
        <v>2.8406135746100691E-2</v>
      </c>
      <c r="P5">
        <f t="shared" si="2"/>
        <v>3.6628496650727267</v>
      </c>
      <c r="Q5">
        <f t="shared" si="3"/>
        <v>9.3036381492847262</v>
      </c>
      <c r="R5">
        <f t="shared" si="4"/>
        <v>12.884821758897537</v>
      </c>
      <c r="S5">
        <f t="shared" si="5"/>
        <v>30.965685553707132</v>
      </c>
      <c r="T5">
        <f t="shared" si="6"/>
        <v>82.059066717323901</v>
      </c>
      <c r="U5">
        <v>13.8</v>
      </c>
      <c r="V5">
        <v>0.21</v>
      </c>
      <c r="W5">
        <v>-1.34</v>
      </c>
    </row>
    <row r="6" spans="1:25" x14ac:dyDescent="0.25">
      <c r="A6" t="s">
        <v>21</v>
      </c>
      <c r="B6" t="s">
        <v>22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f t="shared" si="1"/>
        <v>3.6943203631487849E-2</v>
      </c>
      <c r="P6">
        <f t="shared" si="2"/>
        <v>3.998157448672774</v>
      </c>
      <c r="Q6">
        <f t="shared" si="3"/>
        <v>10.155319919628846</v>
      </c>
      <c r="R6">
        <f t="shared" si="4"/>
        <v>16.757175219079862</v>
      </c>
      <c r="S6">
        <f t="shared" si="5"/>
        <v>40.271990432780257</v>
      </c>
      <c r="T6">
        <f t="shared" si="6"/>
        <v>106.72077464686768</v>
      </c>
      <c r="U6">
        <v>13.8</v>
      </c>
      <c r="V6">
        <v>0.21</v>
      </c>
      <c r="W6">
        <v>-1.34</v>
      </c>
    </row>
    <row r="7" spans="1:25" x14ac:dyDescent="0.25">
      <c r="A7" t="s">
        <v>21</v>
      </c>
      <c r="B7" t="s">
        <v>22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f t="shared" si="1"/>
        <v>4.5001195824509323E-2</v>
      </c>
      <c r="P7">
        <f t="shared" si="2"/>
        <v>4.2699526556101519</v>
      </c>
      <c r="Q7">
        <f t="shared" si="3"/>
        <v>10.845679745249786</v>
      </c>
      <c r="R7">
        <f t="shared" si="4"/>
        <v>20.412223342122143</v>
      </c>
      <c r="S7">
        <f t="shared" si="5"/>
        <v>49.056052252156078</v>
      </c>
      <c r="T7">
        <f t="shared" si="6"/>
        <v>129.99853846821361</v>
      </c>
      <c r="U7">
        <v>13.8</v>
      </c>
      <c r="V7">
        <v>0.21</v>
      </c>
      <c r="W7">
        <v>-1.34</v>
      </c>
    </row>
    <row r="8" spans="1:25" x14ac:dyDescent="0.25">
      <c r="A8" t="s">
        <v>21</v>
      </c>
      <c r="B8" t="s">
        <v>22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f t="shared" si="1"/>
        <v>5.233243677143895E-2</v>
      </c>
      <c r="P8">
        <f t="shared" si="2"/>
        <v>4.4902655684837978</v>
      </c>
      <c r="Q8">
        <f t="shared" si="3"/>
        <v>11.405274543948847</v>
      </c>
      <c r="R8">
        <f t="shared" si="4"/>
        <v>23.737622253013647</v>
      </c>
      <c r="S8">
        <f t="shared" si="5"/>
        <v>57.047878522022707</v>
      </c>
      <c r="T8">
        <f t="shared" si="6"/>
        <v>151.17687808336018</v>
      </c>
      <c r="U8">
        <v>13.8</v>
      </c>
      <c r="V8">
        <v>0.21</v>
      </c>
      <c r="W8">
        <v>-1.34</v>
      </c>
    </row>
    <row r="9" spans="1:25" x14ac:dyDescent="0.25">
      <c r="A9" t="s">
        <v>21</v>
      </c>
      <c r="B9" t="s">
        <v>22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f t="shared" si="1"/>
        <v>5.8827989983243588E-2</v>
      </c>
      <c r="P9">
        <f t="shared" si="2"/>
        <v>4.6688477448429779</v>
      </c>
      <c r="Q9">
        <f t="shared" si="3"/>
        <v>11.858873271901164</v>
      </c>
      <c r="R9">
        <f t="shared" si="4"/>
        <v>26.683959132750129</v>
      </c>
      <c r="S9">
        <f t="shared" si="5"/>
        <v>64.128716973684519</v>
      </c>
      <c r="T9">
        <f t="shared" si="6"/>
        <v>169.94109998026397</v>
      </c>
      <c r="U9">
        <v>13.8</v>
      </c>
      <c r="V9">
        <v>0.21</v>
      </c>
      <c r="W9">
        <v>-1.34</v>
      </c>
    </row>
    <row r="10" spans="1:25" x14ac:dyDescent="0.25">
      <c r="A10" t="s">
        <v>21</v>
      </c>
      <c r="B10" t="s">
        <v>22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f t="shared" si="1"/>
        <v>6.4471215339730131E-2</v>
      </c>
      <c r="P10">
        <f t="shared" si="2"/>
        <v>4.813603643610799</v>
      </c>
      <c r="Q10">
        <f t="shared" si="3"/>
        <v>12.22655325477143</v>
      </c>
      <c r="R10">
        <f t="shared" si="4"/>
        <v>29.243686140799834</v>
      </c>
      <c r="S10">
        <f t="shared" si="5"/>
        <v>70.280428120163023</v>
      </c>
      <c r="T10">
        <f t="shared" si="6"/>
        <v>186.24313451843202</v>
      </c>
      <c r="U10">
        <v>13.8</v>
      </c>
      <c r="V10">
        <v>0.21</v>
      </c>
      <c r="W10">
        <v>-1.34</v>
      </c>
    </row>
    <row r="11" spans="1:25" x14ac:dyDescent="0.25">
      <c r="A11" t="s">
        <v>21</v>
      </c>
      <c r="B11" t="s">
        <v>22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f t="shared" si="1"/>
        <v>6.9301743423260828E-2</v>
      </c>
      <c r="P11">
        <f t="shared" si="2"/>
        <v>4.9309404946632496</v>
      </c>
      <c r="Q11">
        <f t="shared" si="3"/>
        <v>12.524588856444653</v>
      </c>
      <c r="R11">
        <f t="shared" si="4"/>
        <v>31.434779428319086</v>
      </c>
      <c r="S11">
        <f t="shared" si="5"/>
        <v>75.546213478296281</v>
      </c>
      <c r="T11">
        <f t="shared" si="6"/>
        <v>200.19746571748513</v>
      </c>
      <c r="U11">
        <v>13.8</v>
      </c>
      <c r="V11">
        <v>0.21</v>
      </c>
      <c r="W11">
        <v>-1.34</v>
      </c>
    </row>
    <row r="12" spans="1:25" x14ac:dyDescent="0.25">
      <c r="A12" t="s">
        <v>23</v>
      </c>
      <c r="B12" t="s">
        <v>24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f t="shared" si="1"/>
        <v>60.099249187502743</v>
      </c>
      <c r="P12">
        <f t="shared" si="2"/>
        <v>38.13329205623802</v>
      </c>
      <c r="Q12">
        <f t="shared" ref="Q12:Q21" si="7">314.9*(1-EXP(-0.089*(E12-W12)))</f>
        <v>96.858561822844564</v>
      </c>
      <c r="R12">
        <f t="shared" si="4"/>
        <v>27260.593293856873</v>
      </c>
      <c r="S12">
        <f t="shared" si="5"/>
        <v>65514.523657430604</v>
      </c>
      <c r="T12">
        <f t="shared" si="6"/>
        <v>173613.48769219109</v>
      </c>
      <c r="U12">
        <v>314.89999999999998</v>
      </c>
      <c r="V12">
        <v>8.8999999999999996E-2</v>
      </c>
      <c r="W12">
        <v>-1.1299999999999999</v>
      </c>
      <c r="Y12" t="s">
        <v>402</v>
      </c>
    </row>
    <row r="13" spans="1:25" x14ac:dyDescent="0.25">
      <c r="A13" t="s">
        <v>23</v>
      </c>
      <c r="B13" t="s">
        <v>24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f t="shared" si="1"/>
        <v>185.63744457152487</v>
      </c>
      <c r="P13">
        <f t="shared" si="2"/>
        <v>58.248638710303133</v>
      </c>
      <c r="Q13">
        <f t="shared" si="7"/>
        <v>147.95154232416996</v>
      </c>
      <c r="R13">
        <f t="shared" si="4"/>
        <v>84203.828583395269</v>
      </c>
      <c r="S13">
        <f t="shared" si="5"/>
        <v>202364.40418984683</v>
      </c>
      <c r="T13">
        <f t="shared" si="6"/>
        <v>536265.67110309412</v>
      </c>
      <c r="U13">
        <v>314.89999999999998</v>
      </c>
      <c r="V13">
        <v>8.8999999999999996E-2</v>
      </c>
      <c r="W13">
        <v>-1.1299999999999999</v>
      </c>
    </row>
    <row r="14" spans="1:25" x14ac:dyDescent="0.25">
      <c r="A14" t="s">
        <v>23</v>
      </c>
      <c r="B14" t="s">
        <v>24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f t="shared" si="1"/>
        <v>375.26139459102626</v>
      </c>
      <c r="P14">
        <f t="shared" si="2"/>
        <v>73.650417966511881</v>
      </c>
      <c r="Q14">
        <f t="shared" si="7"/>
        <v>187.07206163494018</v>
      </c>
      <c r="R14">
        <f t="shared" si="4"/>
        <v>170215.90777141924</v>
      </c>
      <c r="S14">
        <f t="shared" si="5"/>
        <v>409074.51999860426</v>
      </c>
      <c r="T14">
        <f t="shared" si="6"/>
        <v>1084047.4779963011</v>
      </c>
      <c r="U14">
        <v>314.89999999999998</v>
      </c>
      <c r="V14">
        <v>8.8999999999999996E-2</v>
      </c>
      <c r="W14">
        <v>-1.1299999999999999</v>
      </c>
    </row>
    <row r="15" spans="1:25" x14ac:dyDescent="0.25">
      <c r="A15" t="s">
        <v>23</v>
      </c>
      <c r="B15" t="s">
        <v>24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f t="shared" si="1"/>
        <v>585.92216380458058</v>
      </c>
      <c r="P15">
        <f t="shared" si="2"/>
        <v>85.443145595644935</v>
      </c>
      <c r="Q15">
        <f t="shared" si="7"/>
        <v>217.02558981293814</v>
      </c>
      <c r="R15">
        <f t="shared" si="4"/>
        <v>265770.13898294518</v>
      </c>
      <c r="S15">
        <f t="shared" si="5"/>
        <v>638716.98866365093</v>
      </c>
      <c r="T15">
        <f t="shared" si="6"/>
        <v>1692600.0199586749</v>
      </c>
      <c r="U15">
        <v>314.89999999999998</v>
      </c>
      <c r="V15">
        <v>8.8999999999999996E-2</v>
      </c>
      <c r="W15">
        <v>-1.1299999999999999</v>
      </c>
    </row>
    <row r="16" spans="1:25" x14ac:dyDescent="0.25">
      <c r="A16" t="s">
        <v>23</v>
      </c>
      <c r="B16" t="s">
        <v>24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f t="shared" si="1"/>
        <v>791.99918593264431</v>
      </c>
      <c r="P16">
        <f t="shared" si="2"/>
        <v>94.472519580397815</v>
      </c>
      <c r="Q16">
        <f t="shared" si="7"/>
        <v>239.96019973421045</v>
      </c>
      <c r="R16">
        <f t="shared" si="4"/>
        <v>359245.21501784632</v>
      </c>
      <c r="S16">
        <f t="shared" si="5"/>
        <v>863362.6893002796</v>
      </c>
      <c r="T16">
        <f t="shared" si="6"/>
        <v>2287911.1266457411</v>
      </c>
      <c r="U16">
        <v>314.89999999999998</v>
      </c>
      <c r="V16">
        <v>8.8999999999999996E-2</v>
      </c>
      <c r="W16">
        <v>-1.1299999999999999</v>
      </c>
    </row>
    <row r="17" spans="1:25" x14ac:dyDescent="0.25">
      <c r="A17" t="s">
        <v>23</v>
      </c>
      <c r="B17" t="s">
        <v>24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f t="shared" si="1"/>
        <v>978.91071693233516</v>
      </c>
      <c r="P17">
        <f t="shared" si="2"/>
        <v>101.3860680927131</v>
      </c>
      <c r="Q17">
        <f t="shared" si="7"/>
        <v>257.52061295549129</v>
      </c>
      <c r="R17">
        <f t="shared" si="4"/>
        <v>444026.96017106582</v>
      </c>
      <c r="S17">
        <f t="shared" si="5"/>
        <v>1067115.9821462769</v>
      </c>
      <c r="T17">
        <f t="shared" si="6"/>
        <v>2827857.3526876336</v>
      </c>
      <c r="U17">
        <v>314.89999999999998</v>
      </c>
      <c r="V17">
        <v>8.8999999999999996E-2</v>
      </c>
      <c r="W17">
        <v>-1.1299999999999999</v>
      </c>
    </row>
    <row r="18" spans="1:25" x14ac:dyDescent="0.25">
      <c r="A18" t="s">
        <v>23</v>
      </c>
      <c r="B18" t="s">
        <v>24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f t="shared" si="1"/>
        <v>1140.3868634143705</v>
      </c>
      <c r="P18">
        <f t="shared" si="2"/>
        <v>106.67958601686239</v>
      </c>
      <c r="Q18">
        <f t="shared" si="7"/>
        <v>270.96614848283048</v>
      </c>
      <c r="R18">
        <f t="shared" si="4"/>
        <v>517271.39525830775</v>
      </c>
      <c r="S18">
        <f t="shared" si="5"/>
        <v>1243142.0217695453</v>
      </c>
      <c r="T18">
        <f t="shared" si="6"/>
        <v>3294326.357689295</v>
      </c>
      <c r="U18">
        <v>314.89999999999998</v>
      </c>
      <c r="V18">
        <v>8.8999999999999996E-2</v>
      </c>
      <c r="W18">
        <v>-1.1299999999999999</v>
      </c>
    </row>
    <row r="19" spans="1:25" x14ac:dyDescent="0.25">
      <c r="A19" t="s">
        <v>23</v>
      </c>
      <c r="B19" t="s">
        <v>24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f t="shared" si="1"/>
        <v>1275.3688141184296</v>
      </c>
      <c r="P19">
        <f t="shared" si="2"/>
        <v>110.7326901447028</v>
      </c>
      <c r="Q19">
        <f t="shared" si="7"/>
        <v>281.26103296754513</v>
      </c>
      <c r="R19">
        <f t="shared" si="4"/>
        <v>578498.25099946</v>
      </c>
      <c r="S19">
        <f t="shared" si="5"/>
        <v>1390286.5921640471</v>
      </c>
      <c r="T19">
        <f t="shared" si="6"/>
        <v>3684259.4692347245</v>
      </c>
      <c r="U19">
        <v>314.89999999999998</v>
      </c>
      <c r="V19">
        <v>8.8999999999999996E-2</v>
      </c>
      <c r="W19">
        <v>-1.1299999999999999</v>
      </c>
    </row>
    <row r="20" spans="1:25" x14ac:dyDescent="0.25">
      <c r="A20" t="s">
        <v>23</v>
      </c>
      <c r="B20" t="s">
        <v>24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f t="shared" si="1"/>
        <v>1385.6310667995626</v>
      </c>
      <c r="P20">
        <f t="shared" si="2"/>
        <v>113.83604283123536</v>
      </c>
      <c r="Q20">
        <f t="shared" si="7"/>
        <v>289.14354879133782</v>
      </c>
      <c r="R20">
        <f t="shared" si="4"/>
        <v>628512.4269940228</v>
      </c>
      <c r="S20">
        <f t="shared" si="5"/>
        <v>1510484.0831387234</v>
      </c>
      <c r="T20">
        <f t="shared" si="6"/>
        <v>4002782.8203176167</v>
      </c>
      <c r="U20">
        <v>314.89999999999998</v>
      </c>
      <c r="V20">
        <v>8.8999999999999996E-2</v>
      </c>
      <c r="W20">
        <v>-1.1299999999999999</v>
      </c>
    </row>
    <row r="21" spans="1:25" x14ac:dyDescent="0.25">
      <c r="A21" t="s">
        <v>23</v>
      </c>
      <c r="B21" t="s">
        <v>24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f t="shared" si="1"/>
        <v>1474.2236333620258</v>
      </c>
      <c r="P21">
        <f t="shared" si="2"/>
        <v>116.21219641457307</v>
      </c>
      <c r="Q21">
        <f t="shared" si="7"/>
        <v>295.1789788930156</v>
      </c>
      <c r="R21">
        <f t="shared" si="4"/>
        <v>668697.38701546111</v>
      </c>
      <c r="S21">
        <f t="shared" si="5"/>
        <v>1607059.3295252612</v>
      </c>
      <c r="T21">
        <f t="shared" si="6"/>
        <v>4258707.223241942</v>
      </c>
      <c r="U21">
        <v>314.89999999999998</v>
      </c>
      <c r="V21">
        <v>8.8999999999999996E-2</v>
      </c>
      <c r="W21">
        <v>-1.1299999999999999</v>
      </c>
    </row>
    <row r="22" spans="1:25" x14ac:dyDescent="0.25">
      <c r="A22" t="s">
        <v>25</v>
      </c>
      <c r="B22" t="s">
        <v>26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f t="shared" si="1"/>
        <v>1.5628926660886155</v>
      </c>
      <c r="P22">
        <f t="shared" si="2"/>
        <v>13.251183688769341</v>
      </c>
      <c r="Q22">
        <f t="shared" ref="Q22:Q31" si="8">358.7*(1-EXP(-0.092*(E22-1.929)))</f>
        <v>33.658006569474125</v>
      </c>
      <c r="R22">
        <f t="shared" si="4"/>
        <v>708.91703154675884</v>
      </c>
      <c r="S22">
        <f t="shared" si="5"/>
        <v>1703.7179320998771</v>
      </c>
      <c r="T22">
        <f t="shared" si="6"/>
        <v>4514.8525200646745</v>
      </c>
      <c r="U22">
        <v>358.7</v>
      </c>
      <c r="V22">
        <v>9.1999999999999998E-2</v>
      </c>
      <c r="W22">
        <v>-1.929</v>
      </c>
    </row>
    <row r="23" spans="1:25" x14ac:dyDescent="0.25">
      <c r="A23" t="s">
        <v>25</v>
      </c>
      <c r="B23" t="s">
        <v>26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f t="shared" si="1"/>
        <v>54.960634537569021</v>
      </c>
      <c r="P23">
        <f t="shared" si="2"/>
        <v>44.115721395474992</v>
      </c>
      <c r="Q23">
        <f t="shared" si="8"/>
        <v>112.05393234450648</v>
      </c>
      <c r="R23">
        <f t="shared" si="4"/>
        <v>24929.754124324838</v>
      </c>
      <c r="S23">
        <f t="shared" si="5"/>
        <v>59912.891430725394</v>
      </c>
      <c r="T23">
        <f t="shared" si="6"/>
        <v>158769.16229142228</v>
      </c>
      <c r="U23">
        <v>358.7</v>
      </c>
      <c r="V23">
        <v>9.1999999999999998E-2</v>
      </c>
      <c r="W23">
        <v>-1.929</v>
      </c>
    </row>
    <row r="24" spans="1:25" x14ac:dyDescent="0.25">
      <c r="A24" t="s">
        <v>25</v>
      </c>
      <c r="B24" t="s">
        <v>26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f t="shared" si="1"/>
        <v>193.85741420912026</v>
      </c>
      <c r="P24">
        <f t="shared" si="2"/>
        <v>67.536131709291155</v>
      </c>
      <c r="Q24">
        <f t="shared" si="8"/>
        <v>171.54177454159952</v>
      </c>
      <c r="R24">
        <f t="shared" si="4"/>
        <v>87932.348526784786</v>
      </c>
      <c r="S24">
        <f t="shared" si="5"/>
        <v>211325.03851666619</v>
      </c>
      <c r="T24">
        <f t="shared" si="6"/>
        <v>560011.35206916532</v>
      </c>
      <c r="U24">
        <v>358.7</v>
      </c>
      <c r="V24">
        <v>9.1999999999999998E-2</v>
      </c>
      <c r="W24">
        <v>-1.929</v>
      </c>
    </row>
    <row r="25" spans="1:25" x14ac:dyDescent="0.25">
      <c r="A25" t="s">
        <v>25</v>
      </c>
      <c r="B25" t="s">
        <v>26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f t="shared" si="1"/>
        <v>387.06386193655959</v>
      </c>
      <c r="P25">
        <f t="shared" si="2"/>
        <v>85.307841899148798</v>
      </c>
      <c r="Q25">
        <f t="shared" si="8"/>
        <v>216.68191842383794</v>
      </c>
      <c r="R25">
        <f t="shared" si="4"/>
        <v>175569.42327319883</v>
      </c>
      <c r="S25">
        <f t="shared" si="5"/>
        <v>421940.45487430628</v>
      </c>
      <c r="T25">
        <f t="shared" si="6"/>
        <v>1118142.2054169115</v>
      </c>
      <c r="U25">
        <v>358.7</v>
      </c>
      <c r="V25">
        <v>9.1999999999999998E-2</v>
      </c>
      <c r="W25">
        <v>-1.929</v>
      </c>
    </row>
    <row r="26" spans="1:25" x14ac:dyDescent="0.25">
      <c r="A26" t="s">
        <v>25</v>
      </c>
      <c r="B26" t="s">
        <v>26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f t="shared" si="1"/>
        <v>597.65145972849223</v>
      </c>
      <c r="P26">
        <f t="shared" si="2"/>
        <v>98.793245392954091</v>
      </c>
      <c r="Q26">
        <f t="shared" si="8"/>
        <v>250.9348432981034</v>
      </c>
      <c r="R26">
        <f t="shared" si="4"/>
        <v>271090.46444670385</v>
      </c>
      <c r="S26">
        <f t="shared" si="5"/>
        <v>651503.15896828612</v>
      </c>
      <c r="T26">
        <f t="shared" si="6"/>
        <v>1726483.3712659581</v>
      </c>
      <c r="U26">
        <v>358.7</v>
      </c>
      <c r="V26">
        <v>9.1999999999999998E-2</v>
      </c>
      <c r="W26">
        <v>-1.929</v>
      </c>
    </row>
    <row r="27" spans="1:25" x14ac:dyDescent="0.25">
      <c r="A27" t="s">
        <v>25</v>
      </c>
      <c r="B27" t="s">
        <v>26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f t="shared" si="1"/>
        <v>800.10327454688809</v>
      </c>
      <c r="P27">
        <f t="shared" si="2"/>
        <v>109.02614394058637</v>
      </c>
      <c r="Q27">
        <f t="shared" si="8"/>
        <v>276.92640560908939</v>
      </c>
      <c r="R27">
        <f t="shared" si="4"/>
        <v>362921.17215070536</v>
      </c>
      <c r="S27">
        <f t="shared" si="5"/>
        <v>872197.00108316599</v>
      </c>
      <c r="T27">
        <f t="shared" si="6"/>
        <v>2311322.05287039</v>
      </c>
      <c r="U27">
        <v>358.7</v>
      </c>
      <c r="V27">
        <v>9.1999999999999998E-2</v>
      </c>
      <c r="W27">
        <v>-1.929</v>
      </c>
    </row>
    <row r="28" spans="1:25" x14ac:dyDescent="0.25">
      <c r="A28" t="s">
        <v>25</v>
      </c>
      <c r="B28" t="s">
        <v>26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f t="shared" si="1"/>
        <v>980.81493416340754</v>
      </c>
      <c r="P28">
        <f t="shared" si="2"/>
        <v>116.7909996776977</v>
      </c>
      <c r="Q28">
        <f t="shared" si="8"/>
        <v>296.64913918135215</v>
      </c>
      <c r="R28">
        <f t="shared" si="4"/>
        <v>444890.69960510544</v>
      </c>
      <c r="S28">
        <f t="shared" si="5"/>
        <v>1069191.7798728803</v>
      </c>
      <c r="T28">
        <f t="shared" si="6"/>
        <v>2833358.2166631329</v>
      </c>
      <c r="U28">
        <v>358.7</v>
      </c>
      <c r="V28">
        <v>9.1999999999999998E-2</v>
      </c>
      <c r="W28">
        <v>-1.929</v>
      </c>
    </row>
    <row r="29" spans="1:25" x14ac:dyDescent="0.25">
      <c r="A29" t="s">
        <v>25</v>
      </c>
      <c r="B29" t="s">
        <v>26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f t="shared" si="1"/>
        <v>1134.6394124016742</v>
      </c>
      <c r="P29">
        <f t="shared" si="2"/>
        <v>122.68307261651337</v>
      </c>
      <c r="Q29">
        <f t="shared" si="8"/>
        <v>311.61500444594395</v>
      </c>
      <c r="R29">
        <f t="shared" si="4"/>
        <v>514664.39223162003</v>
      </c>
      <c r="S29">
        <f t="shared" si="5"/>
        <v>1236876.6936592644</v>
      </c>
      <c r="T29">
        <f t="shared" si="6"/>
        <v>3277723.2381970505</v>
      </c>
      <c r="U29">
        <v>358.7</v>
      </c>
      <c r="V29">
        <v>9.1999999999999998E-2</v>
      </c>
      <c r="W29">
        <v>-1.929</v>
      </c>
    </row>
    <row r="30" spans="1:25" x14ac:dyDescent="0.25">
      <c r="A30" t="s">
        <v>25</v>
      </c>
      <c r="B30" t="s">
        <v>26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f t="shared" si="1"/>
        <v>1261.4578393319337</v>
      </c>
      <c r="P30">
        <f t="shared" si="2"/>
        <v>127.15405375147506</v>
      </c>
      <c r="Q30">
        <f t="shared" si="8"/>
        <v>322.97129652874668</v>
      </c>
      <c r="R30">
        <f t="shared" si="4"/>
        <v>572188.33147296752</v>
      </c>
      <c r="S30">
        <f t="shared" si="5"/>
        <v>1375122.1616750001</v>
      </c>
      <c r="T30">
        <f t="shared" si="6"/>
        <v>3644073.7284387499</v>
      </c>
      <c r="U30">
        <v>358.7</v>
      </c>
      <c r="V30">
        <v>9.1999999999999998E-2</v>
      </c>
      <c r="W30">
        <v>-1.929</v>
      </c>
    </row>
    <row r="31" spans="1:25" x14ac:dyDescent="0.25">
      <c r="A31" t="s">
        <v>25</v>
      </c>
      <c r="B31" t="s">
        <v>26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f t="shared" si="1"/>
        <v>1363.7108551125075</v>
      </c>
      <c r="P31">
        <f t="shared" si="2"/>
        <v>130.5466920498736</v>
      </c>
      <c r="Q31">
        <f t="shared" si="8"/>
        <v>331.58859780667893</v>
      </c>
      <c r="R31">
        <f t="shared" si="4"/>
        <v>618569.57439944637</v>
      </c>
      <c r="S31">
        <f t="shared" si="5"/>
        <v>1486588.7392440429</v>
      </c>
      <c r="T31">
        <f t="shared" si="6"/>
        <v>3939460.1589967133</v>
      </c>
      <c r="U31">
        <v>358.7</v>
      </c>
      <c r="V31">
        <v>9.1999999999999998E-2</v>
      </c>
      <c r="W31">
        <v>-1.929</v>
      </c>
    </row>
    <row r="32" spans="1:25" x14ac:dyDescent="0.25">
      <c r="A32" t="s">
        <v>27</v>
      </c>
      <c r="B32" t="s">
        <v>28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f t="shared" si="1"/>
        <v>0.34487597134848863</v>
      </c>
      <c r="P32">
        <f t="shared" si="2"/>
        <v>10.646659268563043</v>
      </c>
      <c r="Q32">
        <f t="shared" ref="Q32:Q41" si="9">81.53*(1-EXP(-0.31*(E32+0.3)))</f>
        <v>27.04251454215013</v>
      </c>
      <c r="R32">
        <f t="shared" si="4"/>
        <v>156.43329523840328</v>
      </c>
      <c r="S32">
        <f t="shared" si="5"/>
        <v>375.95120220716962</v>
      </c>
      <c r="T32">
        <f t="shared" si="6"/>
        <v>996.27068584899939</v>
      </c>
      <c r="U32">
        <v>81.53</v>
      </c>
      <c r="V32">
        <v>0.31</v>
      </c>
      <c r="W32">
        <v>-0.3</v>
      </c>
      <c r="Y32" t="s">
        <v>402</v>
      </c>
    </row>
    <row r="33" spans="1:25" x14ac:dyDescent="0.25">
      <c r="A33" t="s">
        <v>27</v>
      </c>
      <c r="B33" t="s">
        <v>28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f t="shared" si="1"/>
        <v>1.1997119635086224</v>
      </c>
      <c r="P33">
        <f t="shared" si="2"/>
        <v>16.364692771112122</v>
      </c>
      <c r="Q33">
        <f t="shared" si="9"/>
        <v>41.56631963862479</v>
      </c>
      <c r="R33">
        <f t="shared" si="4"/>
        <v>544.18084001262002</v>
      </c>
      <c r="S33">
        <f t="shared" si="5"/>
        <v>1307.8126412223505</v>
      </c>
      <c r="T33">
        <f t="shared" si="6"/>
        <v>3465.7034992392287</v>
      </c>
      <c r="U33">
        <v>81.53</v>
      </c>
      <c r="V33">
        <v>0.31</v>
      </c>
      <c r="W33">
        <v>-0.3</v>
      </c>
    </row>
    <row r="34" spans="1:25" x14ac:dyDescent="0.25">
      <c r="A34" t="s">
        <v>27</v>
      </c>
      <c r="B34" t="s">
        <v>28</v>
      </c>
      <c r="C34">
        <v>3</v>
      </c>
      <c r="D34">
        <v>1</v>
      </c>
      <c r="E34">
        <f t="shared" ref="E34:E65" si="10">C34*D34</f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f t="shared" si="1"/>
        <v>2.3250026038222074</v>
      </c>
      <c r="P34">
        <f t="shared" si="2"/>
        <v>20.558567039145256</v>
      </c>
      <c r="Q34">
        <f t="shared" si="9"/>
        <v>52.218760279428949</v>
      </c>
      <c r="R34">
        <f t="shared" si="4"/>
        <v>1054.604695513153</v>
      </c>
      <c r="S34">
        <f t="shared" si="5"/>
        <v>2534.4981867655683</v>
      </c>
      <c r="T34">
        <f t="shared" si="6"/>
        <v>6716.4201949287562</v>
      </c>
      <c r="U34">
        <v>81.53</v>
      </c>
      <c r="V34">
        <v>0.31</v>
      </c>
      <c r="W34">
        <v>-0.3</v>
      </c>
    </row>
    <row r="35" spans="1:25" x14ac:dyDescent="0.25">
      <c r="A35" t="s">
        <v>27</v>
      </c>
      <c r="B35" t="s">
        <v>28</v>
      </c>
      <c r="C35">
        <v>4</v>
      </c>
      <c r="D35">
        <v>1</v>
      </c>
      <c r="E35">
        <f t="shared" si="10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f t="shared" si="1"/>
        <v>3.4836262798741529</v>
      </c>
      <c r="P35">
        <f t="shared" si="2"/>
        <v>23.634551355821525</v>
      </c>
      <c r="Q35">
        <f t="shared" si="9"/>
        <v>60.031760443786673</v>
      </c>
      <c r="R35">
        <f t="shared" si="4"/>
        <v>1580.1481796745711</v>
      </c>
      <c r="S35">
        <f t="shared" si="5"/>
        <v>3797.5202587708991</v>
      </c>
      <c r="T35">
        <f t="shared" si="6"/>
        <v>10063.428685742881</v>
      </c>
      <c r="U35">
        <v>81.53</v>
      </c>
      <c r="V35">
        <v>0.31</v>
      </c>
      <c r="W35">
        <v>-0.3</v>
      </c>
    </row>
    <row r="36" spans="1:25" x14ac:dyDescent="0.25">
      <c r="A36" t="s">
        <v>27</v>
      </c>
      <c r="B36" t="s">
        <v>28</v>
      </c>
      <c r="C36">
        <v>5</v>
      </c>
      <c r="D36">
        <v>1</v>
      </c>
      <c r="E36">
        <f t="shared" si="10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f t="shared" si="1"/>
        <v>4.5379263579078364</v>
      </c>
      <c r="P36">
        <f t="shared" si="2"/>
        <v>25.890622690281386</v>
      </c>
      <c r="Q36">
        <f t="shared" si="9"/>
        <v>65.762181633314725</v>
      </c>
      <c r="R36">
        <f t="shared" si="4"/>
        <v>2058.3712194880914</v>
      </c>
      <c r="S36">
        <f t="shared" si="5"/>
        <v>4946.8186000675105</v>
      </c>
      <c r="T36">
        <f t="shared" si="6"/>
        <v>13109.069290178903</v>
      </c>
      <c r="U36">
        <v>81.53</v>
      </c>
      <c r="V36">
        <v>0.31</v>
      </c>
      <c r="W36">
        <v>-0.3</v>
      </c>
    </row>
    <row r="37" spans="1:25" x14ac:dyDescent="0.25">
      <c r="A37" t="s">
        <v>27</v>
      </c>
      <c r="B37" t="s">
        <v>28</v>
      </c>
      <c r="C37">
        <v>6</v>
      </c>
      <c r="D37">
        <v>1</v>
      </c>
      <c r="E37">
        <f t="shared" si="10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f t="shared" si="1"/>
        <v>5.4310450953502416</v>
      </c>
      <c r="P37">
        <f t="shared" si="2"/>
        <v>27.545331343565842</v>
      </c>
      <c r="Q37">
        <f t="shared" si="9"/>
        <v>69.965141612657234</v>
      </c>
      <c r="R37">
        <f t="shared" si="4"/>
        <v>2463.4835460760773</v>
      </c>
      <c r="S37">
        <f t="shared" si="5"/>
        <v>5920.4122712715152</v>
      </c>
      <c r="T37">
        <f t="shared" si="6"/>
        <v>15689.092518869515</v>
      </c>
      <c r="U37">
        <v>81.53</v>
      </c>
      <c r="V37">
        <v>0.31</v>
      </c>
      <c r="W37">
        <v>-0.3</v>
      </c>
    </row>
    <row r="38" spans="1:25" x14ac:dyDescent="0.25">
      <c r="A38" t="s">
        <v>27</v>
      </c>
      <c r="B38" t="s">
        <v>28</v>
      </c>
      <c r="C38">
        <v>7</v>
      </c>
      <c r="D38">
        <v>1</v>
      </c>
      <c r="E38">
        <f t="shared" si="10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f t="shared" si="1"/>
        <v>6.1544175883974503</v>
      </c>
      <c r="P38">
        <f t="shared" si="2"/>
        <v>28.75897236875532</v>
      </c>
      <c r="Q38">
        <f t="shared" si="9"/>
        <v>73.047789816638513</v>
      </c>
      <c r="R38">
        <f t="shared" si="4"/>
        <v>2791.6001798030729</v>
      </c>
      <c r="S38">
        <f t="shared" si="5"/>
        <v>6708.9646234152196</v>
      </c>
      <c r="T38">
        <f t="shared" si="6"/>
        <v>17778.756252050331</v>
      </c>
      <c r="U38">
        <v>81.53</v>
      </c>
      <c r="V38">
        <v>0.31</v>
      </c>
      <c r="W38">
        <v>-0.3</v>
      </c>
    </row>
    <row r="39" spans="1:25" x14ac:dyDescent="0.25">
      <c r="A39" t="s">
        <v>27</v>
      </c>
      <c r="B39" t="s">
        <v>28</v>
      </c>
      <c r="C39">
        <v>8</v>
      </c>
      <c r="D39">
        <v>1</v>
      </c>
      <c r="E39">
        <f t="shared" si="10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f t="shared" si="1"/>
        <v>6.7232332837738102</v>
      </c>
      <c r="P39">
        <f t="shared" si="2"/>
        <v>29.649113684629466</v>
      </c>
      <c r="Q39">
        <f t="shared" si="9"/>
        <v>75.308748758958842</v>
      </c>
      <c r="R39">
        <f t="shared" si="4"/>
        <v>3049.6109460014923</v>
      </c>
      <c r="S39">
        <f t="shared" si="5"/>
        <v>7329.0337563121666</v>
      </c>
      <c r="T39">
        <f t="shared" si="6"/>
        <v>19421.939454227242</v>
      </c>
      <c r="U39">
        <v>81.53</v>
      </c>
      <c r="V39">
        <v>0.31</v>
      </c>
      <c r="W39">
        <v>-0.3</v>
      </c>
    </row>
    <row r="40" spans="1:25" x14ac:dyDescent="0.25">
      <c r="A40" t="s">
        <v>27</v>
      </c>
      <c r="B40" t="s">
        <v>28</v>
      </c>
      <c r="C40">
        <v>9</v>
      </c>
      <c r="D40">
        <v>1</v>
      </c>
      <c r="E40">
        <f t="shared" si="10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f t="shared" si="1"/>
        <v>7.1616046117138472</v>
      </c>
      <c r="P40">
        <f t="shared" si="2"/>
        <v>30.301985123366844</v>
      </c>
      <c r="Q40">
        <f t="shared" si="9"/>
        <v>76.967042213351789</v>
      </c>
      <c r="R40">
        <f t="shared" si="4"/>
        <v>3248.4530720549787</v>
      </c>
      <c r="S40">
        <f t="shared" si="5"/>
        <v>7806.9047634101871</v>
      </c>
      <c r="T40">
        <f t="shared" si="6"/>
        <v>20688.297623036997</v>
      </c>
      <c r="U40">
        <v>81.53</v>
      </c>
      <c r="V40">
        <v>0.31</v>
      </c>
      <c r="W40">
        <v>-0.3</v>
      </c>
    </row>
    <row r="41" spans="1:25" x14ac:dyDescent="0.25">
      <c r="A41" t="s">
        <v>27</v>
      </c>
      <c r="B41" t="s">
        <v>28</v>
      </c>
      <c r="C41">
        <v>10</v>
      </c>
      <c r="D41">
        <v>1</v>
      </c>
      <c r="E41">
        <f t="shared" si="10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f t="shared" si="1"/>
        <v>7.4947512276756925</v>
      </c>
      <c r="P41">
        <f t="shared" si="2"/>
        <v>30.780831692914543</v>
      </c>
      <c r="Q41">
        <f t="shared" si="9"/>
        <v>78.183312500002941</v>
      </c>
      <c r="R41">
        <f t="shared" si="4"/>
        <v>3399.5660148577499</v>
      </c>
      <c r="S41">
        <f t="shared" si="5"/>
        <v>8170.0697304920686</v>
      </c>
      <c r="T41">
        <f t="shared" si="6"/>
        <v>21650.68478580398</v>
      </c>
      <c r="U41">
        <v>81.53</v>
      </c>
      <c r="V41">
        <v>0.31</v>
      </c>
      <c r="W41">
        <v>-0.3</v>
      </c>
    </row>
    <row r="42" spans="1:25" x14ac:dyDescent="0.25">
      <c r="A42" t="s">
        <v>29</v>
      </c>
      <c r="B42" t="s">
        <v>30</v>
      </c>
      <c r="C42">
        <v>1</v>
      </c>
      <c r="D42">
        <v>7</v>
      </c>
      <c r="E42" s="2">
        <f t="shared" si="10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f t="shared" si="1"/>
        <v>75.531772977453244</v>
      </c>
      <c r="P42">
        <f t="shared" si="2"/>
        <v>86.325110269446867</v>
      </c>
      <c r="Q42">
        <f t="shared" ref="Q42:Q51" si="11">282*(1-EXP(-0.18*(E42+1.35)))</f>
        <v>219.26578008439506</v>
      </c>
      <c r="R42">
        <f t="shared" si="4"/>
        <v>34260.67665967525</v>
      </c>
      <c r="S42">
        <f t="shared" si="5"/>
        <v>82337.603123468507</v>
      </c>
      <c r="T42">
        <f t="shared" si="6"/>
        <v>218194.64827719153</v>
      </c>
      <c r="U42">
        <v>282</v>
      </c>
      <c r="V42">
        <v>0.18</v>
      </c>
      <c r="W42">
        <v>-1.35</v>
      </c>
      <c r="Y42" t="s">
        <v>402</v>
      </c>
    </row>
    <row r="43" spans="1:25" x14ac:dyDescent="0.25">
      <c r="A43" t="s">
        <v>29</v>
      </c>
      <c r="B43" t="s">
        <v>30</v>
      </c>
      <c r="C43">
        <v>2</v>
      </c>
      <c r="D43">
        <v>7</v>
      </c>
      <c r="E43" s="2">
        <f t="shared" si="10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f t="shared" si="1"/>
        <v>132.14207358693565</v>
      </c>
      <c r="P43">
        <f t="shared" si="2"/>
        <v>104.01778973291992</v>
      </c>
      <c r="Q43">
        <f t="shared" si="11"/>
        <v>264.20518592161659</v>
      </c>
      <c r="R43">
        <f t="shared" si="4"/>
        <v>59938.707617156542</v>
      </c>
      <c r="S43">
        <f t="shared" si="5"/>
        <v>144048.80465550721</v>
      </c>
      <c r="T43">
        <f t="shared" si="6"/>
        <v>381729.33233709406</v>
      </c>
      <c r="U43">
        <v>282</v>
      </c>
      <c r="V43">
        <v>0.18</v>
      </c>
      <c r="W43">
        <v>-1.35</v>
      </c>
    </row>
    <row r="44" spans="1:25" x14ac:dyDescent="0.25">
      <c r="A44" t="s">
        <v>29</v>
      </c>
      <c r="B44" t="s">
        <v>30</v>
      </c>
      <c r="C44">
        <v>3</v>
      </c>
      <c r="D44">
        <v>7</v>
      </c>
      <c r="E44" s="2">
        <f t="shared" si="10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f t="shared" si="1"/>
        <v>152.20630424919651</v>
      </c>
      <c r="P44">
        <f t="shared" si="2"/>
        <v>109.03638950230382</v>
      </c>
      <c r="Q44">
        <f t="shared" si="11"/>
        <v>276.95242933585172</v>
      </c>
      <c r="R44">
        <f t="shared" si="4"/>
        <v>69039.700378839218</v>
      </c>
      <c r="S44">
        <f t="shared" si="5"/>
        <v>165920.93337860904</v>
      </c>
      <c r="T44">
        <f t="shared" si="6"/>
        <v>439690.47345331393</v>
      </c>
      <c r="U44">
        <v>282</v>
      </c>
      <c r="V44">
        <v>0.18</v>
      </c>
      <c r="W44">
        <v>-1.35</v>
      </c>
    </row>
    <row r="45" spans="1:25" x14ac:dyDescent="0.25">
      <c r="A45" t="s">
        <v>29</v>
      </c>
      <c r="B45" t="s">
        <v>30</v>
      </c>
      <c r="C45">
        <v>4</v>
      </c>
      <c r="D45">
        <v>7</v>
      </c>
      <c r="E45" s="2">
        <f t="shared" si="10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f t="shared" si="1"/>
        <v>158.24595225020786</v>
      </c>
      <c r="P45">
        <f t="shared" si="2"/>
        <v>110.4599355342804</v>
      </c>
      <c r="Q45">
        <f t="shared" si="11"/>
        <v>280.56823625707221</v>
      </c>
      <c r="R45">
        <f t="shared" si="4"/>
        <v>71779.2418875851</v>
      </c>
      <c r="S45">
        <f t="shared" si="5"/>
        <v>172504.78704057942</v>
      </c>
      <c r="T45">
        <f t="shared" si="6"/>
        <v>457137.68565753545</v>
      </c>
      <c r="U45">
        <v>282</v>
      </c>
      <c r="V45">
        <v>0.18</v>
      </c>
      <c r="W45">
        <v>-1.35</v>
      </c>
    </row>
    <row r="46" spans="1:25" x14ac:dyDescent="0.25">
      <c r="A46" t="s">
        <v>29</v>
      </c>
      <c r="B46" t="s">
        <v>30</v>
      </c>
      <c r="C46">
        <v>5</v>
      </c>
      <c r="D46">
        <v>7</v>
      </c>
      <c r="E46" s="2">
        <f t="shared" si="10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f t="shared" si="1"/>
        <v>159.9877437869759</v>
      </c>
      <c r="P46">
        <f t="shared" si="2"/>
        <v>110.86373009815834</v>
      </c>
      <c r="Q46">
        <f t="shared" si="11"/>
        <v>281.59387444932219</v>
      </c>
      <c r="R46">
        <f t="shared" si="4"/>
        <v>72569.306178378087</v>
      </c>
      <c r="S46">
        <f t="shared" si="5"/>
        <v>174403.5236202309</v>
      </c>
      <c r="T46">
        <f t="shared" si="6"/>
        <v>462169.33759361185</v>
      </c>
      <c r="U46">
        <v>282</v>
      </c>
      <c r="V46">
        <v>0.18</v>
      </c>
      <c r="W46">
        <v>-1.35</v>
      </c>
    </row>
    <row r="47" spans="1:25" x14ac:dyDescent="0.25">
      <c r="A47" t="s">
        <v>29</v>
      </c>
      <c r="B47" t="s">
        <v>30</v>
      </c>
      <c r="C47">
        <v>6</v>
      </c>
      <c r="D47">
        <v>7</v>
      </c>
      <c r="E47" s="2">
        <f t="shared" si="10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f t="shared" si="1"/>
        <v>160.48412634539264</v>
      </c>
      <c r="P47">
        <f t="shared" si="2"/>
        <v>110.97826805208101</v>
      </c>
      <c r="Q47">
        <f t="shared" si="11"/>
        <v>281.88480085228576</v>
      </c>
      <c r="R47">
        <f t="shared" si="4"/>
        <v>72794.461787243446</v>
      </c>
      <c r="S47">
        <f t="shared" si="5"/>
        <v>174944.632990251</v>
      </c>
      <c r="T47">
        <f t="shared" si="6"/>
        <v>463603.27742416516</v>
      </c>
      <c r="U47">
        <v>282</v>
      </c>
      <c r="V47">
        <v>0.18</v>
      </c>
      <c r="W47">
        <v>-1.35</v>
      </c>
    </row>
    <row r="48" spans="1:25" x14ac:dyDescent="0.25">
      <c r="A48" t="s">
        <v>29</v>
      </c>
      <c r="B48" t="s">
        <v>30</v>
      </c>
      <c r="C48">
        <v>7</v>
      </c>
      <c r="D48">
        <v>7</v>
      </c>
      <c r="E48" s="2">
        <f t="shared" si="10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f t="shared" si="1"/>
        <v>160.62511394038251</v>
      </c>
      <c r="P48">
        <f t="shared" si="2"/>
        <v>111.01075720389825</v>
      </c>
      <c r="Q48">
        <f t="shared" si="11"/>
        <v>281.96732329790154</v>
      </c>
      <c r="R48">
        <f t="shared" si="4"/>
        <v>72858.412760649226</v>
      </c>
      <c r="S48">
        <f t="shared" si="5"/>
        <v>175098.3243466696</v>
      </c>
      <c r="T48">
        <f t="shared" si="6"/>
        <v>464010.55951867445</v>
      </c>
      <c r="U48">
        <v>282</v>
      </c>
      <c r="V48">
        <v>0.18</v>
      </c>
      <c r="W48">
        <v>-1.35</v>
      </c>
    </row>
    <row r="49" spans="1:44" x14ac:dyDescent="0.25">
      <c r="A49" t="s">
        <v>29</v>
      </c>
      <c r="B49" t="s">
        <v>30</v>
      </c>
      <c r="C49">
        <v>8</v>
      </c>
      <c r="D49">
        <v>7</v>
      </c>
      <c r="E49" s="2">
        <f t="shared" si="10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f t="shared" si="1"/>
        <v>160.66512066692843</v>
      </c>
      <c r="P49">
        <f t="shared" si="2"/>
        <v>111.01997288262876</v>
      </c>
      <c r="Q49">
        <f t="shared" si="11"/>
        <v>281.99073112187705</v>
      </c>
      <c r="R49">
        <f t="shared" si="4"/>
        <v>72876.559528140191</v>
      </c>
      <c r="S49">
        <f t="shared" si="5"/>
        <v>175141.93590036096</v>
      </c>
      <c r="T49">
        <f t="shared" si="6"/>
        <v>464126.13013595651</v>
      </c>
      <c r="U49">
        <v>282</v>
      </c>
      <c r="V49">
        <v>0.18</v>
      </c>
      <c r="W49">
        <v>-1.35</v>
      </c>
    </row>
    <row r="50" spans="1:44" x14ac:dyDescent="0.25">
      <c r="A50" t="s">
        <v>29</v>
      </c>
      <c r="B50" t="s">
        <v>30</v>
      </c>
      <c r="C50">
        <v>9</v>
      </c>
      <c r="D50">
        <v>7</v>
      </c>
      <c r="E50" s="2">
        <f t="shared" si="10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f t="shared" si="1"/>
        <v>160.67646994527121</v>
      </c>
      <c r="P50">
        <f t="shared" si="2"/>
        <v>111.0225869470076</v>
      </c>
      <c r="Q50">
        <f t="shared" si="11"/>
        <v>281.9973708453993</v>
      </c>
      <c r="R50">
        <f t="shared" si="4"/>
        <v>72881.70748032369</v>
      </c>
      <c r="S50">
        <f t="shared" si="5"/>
        <v>175154.30781140036</v>
      </c>
      <c r="T50">
        <f t="shared" si="6"/>
        <v>464158.91570021096</v>
      </c>
      <c r="U50">
        <v>282</v>
      </c>
      <c r="V50">
        <v>0.18</v>
      </c>
      <c r="W50">
        <v>-1.35</v>
      </c>
    </row>
    <row r="51" spans="1:44" x14ac:dyDescent="0.25">
      <c r="A51" t="s">
        <v>29</v>
      </c>
      <c r="B51" t="s">
        <v>30</v>
      </c>
      <c r="C51">
        <v>10</v>
      </c>
      <c r="D51">
        <v>7</v>
      </c>
      <c r="E51" s="2">
        <f t="shared" si="10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f t="shared" si="1"/>
        <v>160.67968931107205</v>
      </c>
      <c r="P51">
        <f t="shared" si="2"/>
        <v>111.02332843689418</v>
      </c>
      <c r="Q51">
        <f t="shared" si="11"/>
        <v>281.9992542297112</v>
      </c>
      <c r="R51">
        <f t="shared" si="4"/>
        <v>72883.167761823832</v>
      </c>
      <c r="S51">
        <f t="shared" si="5"/>
        <v>175157.81725985062</v>
      </c>
      <c r="T51">
        <f t="shared" si="6"/>
        <v>464168.21573860414</v>
      </c>
      <c r="U51">
        <v>282</v>
      </c>
      <c r="V51">
        <v>0.18</v>
      </c>
      <c r="W51">
        <v>-1.35</v>
      </c>
    </row>
    <row r="52" spans="1:44" x14ac:dyDescent="0.25">
      <c r="A52" s="2" t="s">
        <v>31</v>
      </c>
      <c r="B52" t="s">
        <v>32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12">F52*3.65*5.7*20/1000</f>
        <v>20.469999999626999</v>
      </c>
      <c r="I52">
        <f t="shared" ref="I52:J61" si="13">H52/1000</f>
        <v>2.0469999999626998E-2</v>
      </c>
      <c r="J52">
        <f t="shared" si="13"/>
        <v>2.0469999999626999E-5</v>
      </c>
      <c r="K52">
        <f t="shared" ref="K52:K61" si="14">I52*2.20462</f>
        <v>4.5128571399177669E-2</v>
      </c>
      <c r="L52" s="3">
        <v>1.1599999999999999E-2</v>
      </c>
      <c r="M52" s="3">
        <v>3</v>
      </c>
      <c r="N52">
        <f t="shared" ref="N52:N61" si="15">(H52/L52)^(1/M52)</f>
        <v>12.084256948656494</v>
      </c>
      <c r="O52">
        <f t="shared" si="1"/>
        <v>0.13993882197345583</v>
      </c>
      <c r="P52">
        <f t="shared" si="2"/>
        <v>6.9376935203618979</v>
      </c>
      <c r="Q52" s="2">
        <f t="shared" ref="Q52:Q61" si="16">$AR$54*(1-EXP(-$AR$55*(E52)))</f>
        <v>17.621741541719221</v>
      </c>
      <c r="R52" s="2">
        <f t="shared" si="4"/>
        <v>63.475257401935856</v>
      </c>
      <c r="S52" s="2">
        <f t="shared" si="5"/>
        <v>152.54808315774056</v>
      </c>
      <c r="T52" s="2">
        <f t="shared" si="6"/>
        <v>404.25242036801251</v>
      </c>
      <c r="U52" s="2">
        <f t="shared" ref="U52:U61" si="17">$AR$54</f>
        <v>29.172666666666665</v>
      </c>
      <c r="V52" s="2">
        <f t="shared" ref="V52:V61" si="18">$AR$55</f>
        <v>0.92646666666666677</v>
      </c>
      <c r="W52" s="2">
        <v>0</v>
      </c>
      <c r="Y52" t="s">
        <v>403</v>
      </c>
      <c r="Z52" t="s">
        <v>404</v>
      </c>
      <c r="AA52" t="s">
        <v>405</v>
      </c>
      <c r="AB52" t="s">
        <v>406</v>
      </c>
      <c r="AC52" t="s">
        <v>407</v>
      </c>
      <c r="AD52" t="s">
        <v>408</v>
      </c>
      <c r="AE52" t="s">
        <v>409</v>
      </c>
      <c r="AF52" t="s">
        <v>410</v>
      </c>
      <c r="AG52" t="s">
        <v>411</v>
      </c>
      <c r="AH52" t="s">
        <v>412</v>
      </c>
      <c r="AI52" t="s">
        <v>413</v>
      </c>
      <c r="AJ52" t="s">
        <v>414</v>
      </c>
      <c r="AK52" t="s">
        <v>415</v>
      </c>
      <c r="AL52" t="s">
        <v>416</v>
      </c>
      <c r="AM52" t="s">
        <v>417</v>
      </c>
      <c r="AN52" s="2" t="s">
        <v>418</v>
      </c>
      <c r="AO52" t="s">
        <v>419</v>
      </c>
      <c r="AP52" t="s">
        <v>420</v>
      </c>
      <c r="AR52" t="s">
        <v>421</v>
      </c>
    </row>
    <row r="53" spans="1:44" x14ac:dyDescent="0.25">
      <c r="A53" s="2" t="s">
        <v>31</v>
      </c>
      <c r="B53" t="s">
        <v>32</v>
      </c>
      <c r="C53">
        <v>2</v>
      </c>
      <c r="D53">
        <v>1</v>
      </c>
      <c r="E53">
        <f t="shared" ref="E53:E116" si="19">C53*D53</f>
        <v>2</v>
      </c>
      <c r="F53">
        <v>86.10910835</v>
      </c>
      <c r="G53">
        <v>228.18913710000001</v>
      </c>
      <c r="H53">
        <f t="shared" si="12"/>
        <v>35.829999984435005</v>
      </c>
      <c r="I53">
        <f t="shared" si="13"/>
        <v>3.5829999984435007E-2</v>
      </c>
      <c r="J53">
        <f t="shared" si="13"/>
        <v>3.5829999984435005E-5</v>
      </c>
      <c r="K53">
        <f t="shared" si="14"/>
        <v>7.8991534565685098E-2</v>
      </c>
      <c r="L53" s="3">
        <v>1.1599999999999999E-2</v>
      </c>
      <c r="M53" s="3">
        <v>3</v>
      </c>
      <c r="N53">
        <f t="shared" si="15"/>
        <v>14.563405416509527</v>
      </c>
      <c r="O53">
        <f t="shared" si="1"/>
        <v>0.3806694731127529</v>
      </c>
      <c r="P53">
        <f t="shared" si="2"/>
        <v>9.6846751147836159</v>
      </c>
      <c r="Q53" s="2">
        <f t="shared" si="16"/>
        <v>24.599074791550386</v>
      </c>
      <c r="R53" s="2">
        <f t="shared" si="4"/>
        <v>172.6689738425456</v>
      </c>
      <c r="S53" s="2">
        <f t="shared" si="5"/>
        <v>414.9698962810516</v>
      </c>
      <c r="T53" s="2">
        <f t="shared" si="6"/>
        <v>1099.6702251447866</v>
      </c>
      <c r="U53" s="2">
        <f t="shared" si="17"/>
        <v>29.172666666666665</v>
      </c>
      <c r="V53" s="2">
        <f t="shared" si="18"/>
        <v>0.92646666666666677</v>
      </c>
      <c r="W53" s="2">
        <v>0</v>
      </c>
      <c r="X53" t="s">
        <v>422</v>
      </c>
      <c r="Y53">
        <v>20</v>
      </c>
      <c r="Z53">
        <v>30</v>
      </c>
      <c r="AB53">
        <v>25</v>
      </c>
      <c r="AC53">
        <v>50</v>
      </c>
      <c r="AD53">
        <v>46</v>
      </c>
      <c r="AE53">
        <v>70</v>
      </c>
      <c r="AF53">
        <v>30</v>
      </c>
      <c r="AG53">
        <v>40</v>
      </c>
      <c r="AH53">
        <v>30</v>
      </c>
      <c r="AI53">
        <v>38</v>
      </c>
      <c r="AJ53">
        <v>30</v>
      </c>
      <c r="AK53">
        <v>61</v>
      </c>
      <c r="AL53">
        <v>75</v>
      </c>
      <c r="AM53">
        <v>75</v>
      </c>
      <c r="AN53">
        <v>15</v>
      </c>
      <c r="AO53">
        <v>70</v>
      </c>
      <c r="AP53">
        <v>30</v>
      </c>
      <c r="AR53">
        <f>AVERAGE(Y53:AP53)</f>
        <v>43.235294117647058</v>
      </c>
    </row>
    <row r="54" spans="1:44" x14ac:dyDescent="0.25">
      <c r="A54" s="2" t="s">
        <v>31</v>
      </c>
      <c r="B54" t="s">
        <v>32</v>
      </c>
      <c r="C54">
        <v>3</v>
      </c>
      <c r="D54">
        <v>1</v>
      </c>
      <c r="E54">
        <f t="shared" si="19"/>
        <v>3</v>
      </c>
      <c r="F54">
        <v>123.02331169999999</v>
      </c>
      <c r="G54">
        <v>326.011776</v>
      </c>
      <c r="H54">
        <f t="shared" si="12"/>
        <v>51.189999998369998</v>
      </c>
      <c r="I54">
        <f t="shared" si="13"/>
        <v>5.1189999998369998E-2</v>
      </c>
      <c r="J54">
        <f t="shared" si="13"/>
        <v>5.118999999837E-5</v>
      </c>
      <c r="K54">
        <f t="shared" si="14"/>
        <v>0.11285449779640645</v>
      </c>
      <c r="L54" s="3">
        <v>1.1599999999999999E-2</v>
      </c>
      <c r="M54" s="3">
        <v>3</v>
      </c>
      <c r="N54">
        <f t="shared" si="15"/>
        <v>16.402462244751348</v>
      </c>
      <c r="O54">
        <f t="shared" si="1"/>
        <v>0.52386987705729759</v>
      </c>
      <c r="P54">
        <f t="shared" si="2"/>
        <v>10.772343207636768</v>
      </c>
      <c r="Q54" s="2">
        <f t="shared" si="16"/>
        <v>27.361751747397392</v>
      </c>
      <c r="R54" s="2">
        <f t="shared" si="4"/>
        <v>237.62366170011049</v>
      </c>
      <c r="S54" s="2">
        <f t="shared" si="5"/>
        <v>571.0734479695036</v>
      </c>
      <c r="T54" s="2">
        <f t="shared" si="6"/>
        <v>1513.3446371191844</v>
      </c>
      <c r="U54" s="2">
        <f t="shared" si="17"/>
        <v>29.172666666666665</v>
      </c>
      <c r="V54" s="2">
        <f t="shared" si="18"/>
        <v>0.92646666666666677</v>
      </c>
      <c r="W54" s="2">
        <v>0</v>
      </c>
      <c r="X54" t="s">
        <v>18</v>
      </c>
      <c r="Y54">
        <v>20</v>
      </c>
      <c r="Z54">
        <v>30.4</v>
      </c>
      <c r="AA54">
        <v>49.7</v>
      </c>
      <c r="AB54">
        <v>26.2</v>
      </c>
      <c r="AC54">
        <v>34.5</v>
      </c>
      <c r="AD54">
        <v>31.4</v>
      </c>
      <c r="AE54">
        <v>3.19</v>
      </c>
      <c r="AF54">
        <v>32.299999999999997</v>
      </c>
      <c r="AG54">
        <v>27</v>
      </c>
      <c r="AI54">
        <v>21.6</v>
      </c>
      <c r="AJ54">
        <v>27.7</v>
      </c>
      <c r="AL54">
        <v>37.4</v>
      </c>
      <c r="AM54">
        <v>41.2</v>
      </c>
      <c r="AN54">
        <v>13</v>
      </c>
      <c r="AO54">
        <v>42</v>
      </c>
      <c r="AR54">
        <f>AVERAGE(Y54:AP54)</f>
        <v>29.172666666666665</v>
      </c>
    </row>
    <row r="55" spans="1:44" x14ac:dyDescent="0.25">
      <c r="A55" s="2" t="s">
        <v>31</v>
      </c>
      <c r="B55" t="s">
        <v>32</v>
      </c>
      <c r="C55">
        <v>4</v>
      </c>
      <c r="D55">
        <v>1</v>
      </c>
      <c r="E55">
        <f t="shared" si="19"/>
        <v>4</v>
      </c>
      <c r="F55">
        <v>164.56380680000001</v>
      </c>
      <c r="G55">
        <v>436.094088</v>
      </c>
      <c r="H55">
        <f t="shared" si="12"/>
        <v>68.475000009479999</v>
      </c>
      <c r="I55">
        <f t="shared" si="13"/>
        <v>6.8475000009479994E-2</v>
      </c>
      <c r="J55">
        <f t="shared" si="13"/>
        <v>6.847500000947999E-5</v>
      </c>
      <c r="K55">
        <f t="shared" si="14"/>
        <v>0.15096135452089976</v>
      </c>
      <c r="L55" s="3">
        <v>1.1599999999999999E-2</v>
      </c>
      <c r="M55" s="3">
        <v>3</v>
      </c>
      <c r="N55">
        <f t="shared" si="15"/>
        <v>18.072768429706162</v>
      </c>
      <c r="O55">
        <f t="shared" si="1"/>
        <v>0.58924587416627938</v>
      </c>
      <c r="P55">
        <f t="shared" si="2"/>
        <v>11.203005678260222</v>
      </c>
      <c r="Q55" s="2">
        <f t="shared" si="16"/>
        <v>28.455634422780964</v>
      </c>
      <c r="R55" s="2">
        <f t="shared" si="4"/>
        <v>267.27775043602952</v>
      </c>
      <c r="S55" s="2">
        <f t="shared" si="5"/>
        <v>642.34018369629791</v>
      </c>
      <c r="T55" s="2">
        <f t="shared" si="6"/>
        <v>1702.2014867951893</v>
      </c>
      <c r="U55" s="2">
        <f t="shared" si="17"/>
        <v>29.172666666666665</v>
      </c>
      <c r="V55" s="2">
        <f t="shared" si="18"/>
        <v>0.92646666666666677</v>
      </c>
      <c r="W55" s="2">
        <v>0</v>
      </c>
      <c r="X55" t="s">
        <v>19</v>
      </c>
      <c r="Y55">
        <v>4.8</v>
      </c>
      <c r="Z55">
        <v>1.5</v>
      </c>
      <c r="AA55">
        <v>0.3</v>
      </c>
      <c r="AB55">
        <v>0.3</v>
      </c>
      <c r="AC55">
        <v>0.71</v>
      </c>
      <c r="AD55">
        <v>0.3</v>
      </c>
      <c r="AE55">
        <v>1.9</v>
      </c>
      <c r="AF55">
        <v>0.3</v>
      </c>
      <c r="AG55">
        <v>0.3</v>
      </c>
      <c r="AI55">
        <v>0.38</v>
      </c>
      <c r="AJ55">
        <v>0.4</v>
      </c>
      <c r="AL55">
        <v>0.82</v>
      </c>
      <c r="AM55">
        <v>0.187</v>
      </c>
      <c r="AN55">
        <v>1.4</v>
      </c>
      <c r="AO55">
        <v>0.3</v>
      </c>
      <c r="AR55">
        <f>AVERAGE(Y55:AP55)</f>
        <v>0.92646666666666677</v>
      </c>
    </row>
    <row r="56" spans="1:44" x14ac:dyDescent="0.25">
      <c r="A56" s="2" t="s">
        <v>31</v>
      </c>
      <c r="B56" t="s">
        <v>32</v>
      </c>
      <c r="C56">
        <v>5</v>
      </c>
      <c r="D56">
        <v>1</v>
      </c>
      <c r="E56">
        <f t="shared" si="19"/>
        <v>5</v>
      </c>
      <c r="F56">
        <v>206.1043018</v>
      </c>
      <c r="G56">
        <v>546.17639980000001</v>
      </c>
      <c r="H56">
        <f t="shared" si="12"/>
        <v>85.759999978980019</v>
      </c>
      <c r="I56">
        <f t="shared" si="13"/>
        <v>8.5759999978980025E-2</v>
      </c>
      <c r="J56">
        <f t="shared" si="13"/>
        <v>8.5759999978980022E-5</v>
      </c>
      <c r="K56">
        <f t="shared" si="14"/>
        <v>0.18906821115365893</v>
      </c>
      <c r="L56" s="3">
        <v>1.1599999999999999E-2</v>
      </c>
      <c r="M56" s="3">
        <v>3</v>
      </c>
      <c r="N56">
        <f t="shared" si="15"/>
        <v>19.480895992192735</v>
      </c>
      <c r="O56">
        <f t="shared" si="1"/>
        <v>0.61656422900631602</v>
      </c>
      <c r="P56">
        <f t="shared" si="2"/>
        <v>11.373526598035458</v>
      </c>
      <c r="Q56" s="2">
        <f t="shared" si="16"/>
        <v>28.888757559010063</v>
      </c>
      <c r="R56" s="2">
        <f t="shared" si="4"/>
        <v>279.66916248891692</v>
      </c>
      <c r="S56" s="2">
        <f t="shared" si="5"/>
        <v>672.12007327305196</v>
      </c>
      <c r="T56" s="2">
        <f t="shared" si="6"/>
        <v>1781.1181941735877</v>
      </c>
      <c r="U56" s="2">
        <f t="shared" si="17"/>
        <v>29.172666666666665</v>
      </c>
      <c r="V56" s="2">
        <f t="shared" si="18"/>
        <v>0.92646666666666677</v>
      </c>
      <c r="W56" s="2">
        <v>0</v>
      </c>
      <c r="X56" t="s">
        <v>20</v>
      </c>
      <c r="Z56">
        <v>-0.05</v>
      </c>
      <c r="AC56">
        <v>-0.19</v>
      </c>
      <c r="AI56">
        <v>-0.98</v>
      </c>
      <c r="AL56">
        <v>-1.6</v>
      </c>
      <c r="AM56">
        <v>-3.03</v>
      </c>
      <c r="AR56">
        <f>AVERAGE(Y56:AP56)</f>
        <v>-1.17</v>
      </c>
    </row>
    <row r="57" spans="1:44" x14ac:dyDescent="0.25">
      <c r="A57" s="2" t="s">
        <v>31</v>
      </c>
      <c r="B57" t="s">
        <v>32</v>
      </c>
      <c r="C57">
        <v>6</v>
      </c>
      <c r="D57">
        <v>1</v>
      </c>
      <c r="E57">
        <f t="shared" si="19"/>
        <v>6</v>
      </c>
      <c r="F57">
        <v>244.71280949999999</v>
      </c>
      <c r="G57">
        <v>648.48894510000002</v>
      </c>
      <c r="H57">
        <f t="shared" si="12"/>
        <v>101.82500003294999</v>
      </c>
      <c r="I57">
        <f t="shared" si="13"/>
        <v>0.10182500003294999</v>
      </c>
      <c r="J57">
        <f t="shared" si="13"/>
        <v>1.0182500003294998E-4</v>
      </c>
      <c r="K57">
        <f t="shared" si="14"/>
        <v>0.2244854315726422</v>
      </c>
      <c r="L57" s="3">
        <v>1.1599999999999999E-2</v>
      </c>
      <c r="M57" s="3">
        <v>3</v>
      </c>
      <c r="N57">
        <f t="shared" si="15"/>
        <v>20.628396791384404</v>
      </c>
      <c r="O57">
        <f t="shared" si="1"/>
        <v>0.62761005843335349</v>
      </c>
      <c r="P57">
        <f t="shared" si="2"/>
        <v>11.441044401569391</v>
      </c>
      <c r="Q57" s="2">
        <f t="shared" si="16"/>
        <v>29.060252779986254</v>
      </c>
      <c r="R57" s="2">
        <f t="shared" si="4"/>
        <v>284.67947239585664</v>
      </c>
      <c r="S57" s="2">
        <f t="shared" si="5"/>
        <v>684.1611929724985</v>
      </c>
      <c r="T57" s="2">
        <f t="shared" si="6"/>
        <v>1813.027161377121</v>
      </c>
      <c r="U57" s="2">
        <f t="shared" si="17"/>
        <v>29.172666666666665</v>
      </c>
      <c r="V57" s="2">
        <f t="shared" si="18"/>
        <v>0.92646666666666677</v>
      </c>
      <c r="W57" s="2">
        <v>0</v>
      </c>
      <c r="X57" t="s">
        <v>423</v>
      </c>
      <c r="Y57" t="s">
        <v>424</v>
      </c>
      <c r="Z57" t="s">
        <v>425</v>
      </c>
      <c r="AA57" t="s">
        <v>426</v>
      </c>
      <c r="AB57" t="s">
        <v>426</v>
      </c>
      <c r="AC57" t="s">
        <v>427</v>
      </c>
      <c r="AD57" t="s">
        <v>426</v>
      </c>
      <c r="AE57" t="s">
        <v>428</v>
      </c>
      <c r="AF57" t="s">
        <v>428</v>
      </c>
      <c r="AG57" t="s">
        <v>428</v>
      </c>
      <c r="AH57" t="s">
        <v>429</v>
      </c>
      <c r="AI57" t="s">
        <v>430</v>
      </c>
      <c r="AJ57" t="s">
        <v>428</v>
      </c>
      <c r="AK57" t="s">
        <v>429</v>
      </c>
      <c r="AL57" t="s">
        <v>431</v>
      </c>
      <c r="AM57" t="s">
        <v>432</v>
      </c>
      <c r="AN57" t="s">
        <v>428</v>
      </c>
      <c r="AO57" t="s">
        <v>433</v>
      </c>
      <c r="AP57" t="s">
        <v>429</v>
      </c>
    </row>
    <row r="58" spans="1:44" x14ac:dyDescent="0.25">
      <c r="A58" s="2" t="s">
        <v>31</v>
      </c>
      <c r="B58" t="s">
        <v>32</v>
      </c>
      <c r="C58">
        <v>7</v>
      </c>
      <c r="D58">
        <v>1</v>
      </c>
      <c r="E58">
        <f t="shared" si="19"/>
        <v>7</v>
      </c>
      <c r="F58">
        <v>283.32131700000002</v>
      </c>
      <c r="G58">
        <v>750.80149010000002</v>
      </c>
      <c r="H58">
        <f t="shared" si="12"/>
        <v>117.89000000370002</v>
      </c>
      <c r="I58">
        <f t="shared" si="13"/>
        <v>0.11789000000370002</v>
      </c>
      <c r="J58">
        <f t="shared" si="13"/>
        <v>1.1789000000370003E-4</v>
      </c>
      <c r="K58">
        <f t="shared" si="14"/>
        <v>0.25990265180815714</v>
      </c>
      <c r="L58" s="3">
        <v>1.1599999999999999E-2</v>
      </c>
      <c r="M58" s="3">
        <v>3</v>
      </c>
      <c r="N58">
        <f t="shared" si="15"/>
        <v>21.66072520689421</v>
      </c>
      <c r="O58">
        <f t="shared" si="1"/>
        <v>0.63201985770595825</v>
      </c>
      <c r="P58">
        <f t="shared" si="2"/>
        <v>11.467778093834573</v>
      </c>
      <c r="Q58" s="2">
        <f t="shared" si="16"/>
        <v>29.128156358339815</v>
      </c>
      <c r="R58" s="2">
        <f t="shared" si="4"/>
        <v>286.67972607794462</v>
      </c>
      <c r="S58" s="2">
        <f t="shared" si="5"/>
        <v>688.96833952882616</v>
      </c>
      <c r="T58" s="2">
        <f t="shared" si="6"/>
        <v>1825.7660997513892</v>
      </c>
      <c r="U58" s="2">
        <f t="shared" si="17"/>
        <v>29.172666666666665</v>
      </c>
      <c r="V58" s="2">
        <f t="shared" si="18"/>
        <v>0.92646666666666677</v>
      </c>
      <c r="W58" s="2">
        <v>0</v>
      </c>
      <c r="X58" t="s">
        <v>434</v>
      </c>
      <c r="Y58" s="7" t="s">
        <v>435</v>
      </c>
      <c r="Z58" s="7" t="s">
        <v>436</v>
      </c>
      <c r="AA58" s="7" t="s">
        <v>437</v>
      </c>
      <c r="AB58" s="7" t="s">
        <v>438</v>
      </c>
      <c r="AC58" s="7" t="s">
        <v>439</v>
      </c>
      <c r="AD58" s="7" t="s">
        <v>440</v>
      </c>
      <c r="AE58" s="7" t="s">
        <v>441</v>
      </c>
      <c r="AF58" s="7" t="s">
        <v>442</v>
      </c>
      <c r="AG58" s="7" t="s">
        <v>443</v>
      </c>
      <c r="AH58" s="7" t="s">
        <v>444</v>
      </c>
      <c r="AI58" s="7" t="s">
        <v>445</v>
      </c>
      <c r="AJ58" s="7" t="s">
        <v>446</v>
      </c>
      <c r="AK58" s="7" t="s">
        <v>447</v>
      </c>
      <c r="AL58" s="7" t="s">
        <v>448</v>
      </c>
      <c r="AM58" s="7" t="s">
        <v>449</v>
      </c>
      <c r="AN58" s="7" t="s">
        <v>450</v>
      </c>
      <c r="AO58" s="7" t="s">
        <v>451</v>
      </c>
      <c r="AP58" s="7" t="s">
        <v>452</v>
      </c>
    </row>
    <row r="59" spans="1:44" x14ac:dyDescent="0.25">
      <c r="A59" s="2" t="s">
        <v>31</v>
      </c>
      <c r="B59" t="s">
        <v>32</v>
      </c>
      <c r="C59">
        <v>8</v>
      </c>
      <c r="D59">
        <v>1</v>
      </c>
      <c r="E59">
        <f t="shared" si="19"/>
        <v>8</v>
      </c>
      <c r="F59">
        <v>314.44364339999998</v>
      </c>
      <c r="G59">
        <v>833.27565500000003</v>
      </c>
      <c r="H59">
        <f t="shared" si="12"/>
        <v>130.84000001874</v>
      </c>
      <c r="I59">
        <f t="shared" si="13"/>
        <v>0.13084000001873999</v>
      </c>
      <c r="J59">
        <f t="shared" si="13"/>
        <v>1.3084000001873999E-4</v>
      </c>
      <c r="K59">
        <f t="shared" si="14"/>
        <v>0.28845248084131453</v>
      </c>
      <c r="L59" s="3">
        <v>1.1599999999999999E-2</v>
      </c>
      <c r="M59" s="3">
        <v>3</v>
      </c>
      <c r="N59">
        <f t="shared" si="15"/>
        <v>22.426466342807739</v>
      </c>
      <c r="O59">
        <f t="shared" si="1"/>
        <v>0.63377161159668749</v>
      </c>
      <c r="P59">
        <f t="shared" si="2"/>
        <v>11.478363306396623</v>
      </c>
      <c r="Q59" s="2">
        <f t="shared" si="16"/>
        <v>29.155042798247422</v>
      </c>
      <c r="R59" s="2">
        <f t="shared" si="4"/>
        <v>287.47430922185566</v>
      </c>
      <c r="S59" s="2">
        <f t="shared" si="5"/>
        <v>690.87793612558437</v>
      </c>
      <c r="T59" s="2">
        <f t="shared" si="6"/>
        <v>1830.8265307327986</v>
      </c>
      <c r="U59" s="2">
        <f t="shared" si="17"/>
        <v>29.172666666666665</v>
      </c>
      <c r="V59" s="2">
        <f t="shared" si="18"/>
        <v>0.92646666666666677</v>
      </c>
      <c r="W59" s="2">
        <v>0</v>
      </c>
    </row>
    <row r="60" spans="1:44" x14ac:dyDescent="0.25">
      <c r="A60" s="2" t="s">
        <v>31</v>
      </c>
      <c r="B60" t="s">
        <v>32</v>
      </c>
      <c r="C60">
        <v>9</v>
      </c>
      <c r="D60">
        <v>1</v>
      </c>
      <c r="E60">
        <f t="shared" si="19"/>
        <v>9</v>
      </c>
      <c r="F60">
        <v>345.5659698</v>
      </c>
      <c r="G60">
        <v>915.74981979999995</v>
      </c>
      <c r="H60">
        <f t="shared" si="12"/>
        <v>143.79000003377999</v>
      </c>
      <c r="I60">
        <f t="shared" si="13"/>
        <v>0.14379000003377998</v>
      </c>
      <c r="J60">
        <f t="shared" si="13"/>
        <v>1.4379000003377998E-4</v>
      </c>
      <c r="K60">
        <f t="shared" si="14"/>
        <v>0.31700230987447198</v>
      </c>
      <c r="L60" s="3">
        <v>1.1599999999999999E-2</v>
      </c>
      <c r="M60" s="3">
        <v>3</v>
      </c>
      <c r="N60">
        <f t="shared" si="15"/>
        <v>23.143208333852019</v>
      </c>
      <c r="O60">
        <f t="shared" si="1"/>
        <v>0.63446611257453456</v>
      </c>
      <c r="P60">
        <f t="shared" si="2"/>
        <v>11.482554524125634</v>
      </c>
      <c r="Q60" s="2">
        <f t="shared" si="16"/>
        <v>29.165688491279113</v>
      </c>
      <c r="R60" s="2">
        <f t="shared" si="4"/>
        <v>287.78932994100325</v>
      </c>
      <c r="S60" s="2">
        <f t="shared" si="5"/>
        <v>691.63501547945987</v>
      </c>
      <c r="T60" s="2">
        <f t="shared" si="6"/>
        <v>1832.8327910205685</v>
      </c>
      <c r="U60" s="2">
        <f t="shared" si="17"/>
        <v>29.172666666666665</v>
      </c>
      <c r="V60" s="2">
        <f t="shared" si="18"/>
        <v>0.92646666666666677</v>
      </c>
      <c r="W60" s="2">
        <v>0</v>
      </c>
    </row>
    <row r="61" spans="1:44" x14ac:dyDescent="0.25">
      <c r="A61" s="2" t="s">
        <v>31</v>
      </c>
      <c r="B61" t="s">
        <v>32</v>
      </c>
      <c r="C61">
        <v>10</v>
      </c>
      <c r="D61">
        <v>1</v>
      </c>
      <c r="E61">
        <f t="shared" si="19"/>
        <v>10</v>
      </c>
      <c r="F61">
        <v>372.74693589999998</v>
      </c>
      <c r="G61">
        <v>987.77937999999995</v>
      </c>
      <c r="H61">
        <f t="shared" si="12"/>
        <v>155.10000002799001</v>
      </c>
      <c r="I61">
        <f t="shared" si="13"/>
        <v>0.15510000002799001</v>
      </c>
      <c r="J61">
        <f t="shared" si="13"/>
        <v>1.5510000002799001E-4</v>
      </c>
      <c r="K61">
        <f t="shared" si="14"/>
        <v>0.34193656206170731</v>
      </c>
      <c r="L61" s="3">
        <v>1.1599999999999999E-2</v>
      </c>
      <c r="M61" s="3">
        <v>3</v>
      </c>
      <c r="N61">
        <f t="shared" si="15"/>
        <v>23.734746790222747</v>
      </c>
      <c r="O61">
        <f t="shared" si="1"/>
        <v>0.63474124057743342</v>
      </c>
      <c r="P61">
        <f t="shared" si="2"/>
        <v>11.484214037900063</v>
      </c>
      <c r="Q61" s="2">
        <f t="shared" si="16"/>
        <v>29.169903656266161</v>
      </c>
      <c r="R61" s="2">
        <f t="shared" si="4"/>
        <v>287.91412605230533</v>
      </c>
      <c r="S61" s="2">
        <f t="shared" si="5"/>
        <v>691.93493403582147</v>
      </c>
      <c r="T61" s="2">
        <f t="shared" si="6"/>
        <v>1833.6275751949267</v>
      </c>
      <c r="U61" s="2">
        <f t="shared" si="17"/>
        <v>29.172666666666665</v>
      </c>
      <c r="V61" s="2">
        <f t="shared" si="18"/>
        <v>0.92646666666666677</v>
      </c>
      <c r="W61" s="2">
        <v>0</v>
      </c>
    </row>
    <row r="62" spans="1:44" x14ac:dyDescent="0.25">
      <c r="A62" t="s">
        <v>33</v>
      </c>
      <c r="B62" t="s">
        <v>34</v>
      </c>
      <c r="C62">
        <v>1</v>
      </c>
      <c r="D62">
        <v>2</v>
      </c>
      <c r="E62">
        <f t="shared" si="19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f t="shared" si="1"/>
        <v>0.23401738730824392</v>
      </c>
      <c r="P62">
        <f t="shared" si="2"/>
        <v>7.5585877301431781</v>
      </c>
      <c r="Q62">
        <f t="shared" ref="Q62:Q71" si="20">58.9*(1-EXP(-0.22*(E62-0.207)))</f>
        <v>19.198812834563672</v>
      </c>
      <c r="R62">
        <f t="shared" si="4"/>
        <v>106.1486275676733</v>
      </c>
      <c r="S62">
        <f t="shared" si="5"/>
        <v>255.10364712250257</v>
      </c>
      <c r="T62">
        <f t="shared" si="6"/>
        <v>676.02466487463175</v>
      </c>
      <c r="U62" s="4">
        <v>58.9</v>
      </c>
      <c r="V62" s="4">
        <v>0.22</v>
      </c>
      <c r="W62" s="4">
        <v>0.20699999999999999</v>
      </c>
      <c r="Y62" t="s">
        <v>402</v>
      </c>
    </row>
    <row r="63" spans="1:44" x14ac:dyDescent="0.25">
      <c r="A63" t="s">
        <v>33</v>
      </c>
      <c r="B63" t="s">
        <v>34</v>
      </c>
      <c r="C63">
        <v>2</v>
      </c>
      <c r="D63">
        <v>2</v>
      </c>
      <c r="E63">
        <f t="shared" si="19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f t="shared" si="1"/>
        <v>1.2245305445384709</v>
      </c>
      <c r="P63">
        <f t="shared" si="2"/>
        <v>13.122436813078915</v>
      </c>
      <c r="Q63">
        <f t="shared" si="20"/>
        <v>33.330989505220444</v>
      </c>
      <c r="R63">
        <f t="shared" si="4"/>
        <v>555.43837239001323</v>
      </c>
      <c r="S63">
        <f t="shared" si="5"/>
        <v>1334.8675135544656</v>
      </c>
      <c r="T63">
        <f t="shared" si="6"/>
        <v>3537.398910919334</v>
      </c>
      <c r="U63" s="4">
        <v>58.9</v>
      </c>
      <c r="V63" s="4">
        <v>0.22</v>
      </c>
      <c r="W63" s="4">
        <v>0.20699999999999999</v>
      </c>
    </row>
    <row r="64" spans="1:44" x14ac:dyDescent="0.25">
      <c r="A64" t="s">
        <v>33</v>
      </c>
      <c r="B64" t="s">
        <v>34</v>
      </c>
      <c r="C64">
        <v>3</v>
      </c>
      <c r="D64">
        <v>2</v>
      </c>
      <c r="E64">
        <f t="shared" si="19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f t="shared" si="1"/>
        <v>2.5265315752891411</v>
      </c>
      <c r="P64">
        <f t="shared" si="2"/>
        <v>16.705758263899565</v>
      </c>
      <c r="Q64">
        <f t="shared" si="20"/>
        <v>42.432625990304892</v>
      </c>
      <c r="R64">
        <f t="shared" si="4"/>
        <v>1146.0168080164115</v>
      </c>
      <c r="S64">
        <f t="shared" si="5"/>
        <v>2754.1860322432385</v>
      </c>
      <c r="T64">
        <f t="shared" si="6"/>
        <v>7298.5929854445822</v>
      </c>
      <c r="U64" s="4">
        <v>58.9</v>
      </c>
      <c r="V64" s="4">
        <v>0.22</v>
      </c>
      <c r="W64" s="4">
        <v>0.20699999999999999</v>
      </c>
    </row>
    <row r="65" spans="1:30" x14ac:dyDescent="0.25">
      <c r="A65" t="s">
        <v>33</v>
      </c>
      <c r="B65" t="s">
        <v>34</v>
      </c>
      <c r="C65">
        <v>4</v>
      </c>
      <c r="D65">
        <v>2</v>
      </c>
      <c r="E65">
        <f t="shared" si="19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f t="shared" si="1"/>
        <v>3.7249087098461771</v>
      </c>
      <c r="P65">
        <f t="shared" si="2"/>
        <v>19.013547786676543</v>
      </c>
      <c r="Q65">
        <f t="shared" si="20"/>
        <v>48.294411378158422</v>
      </c>
      <c r="R65">
        <f t="shared" si="4"/>
        <v>1689.5921790812824</v>
      </c>
      <c r="S65">
        <f t="shared" si="5"/>
        <v>4060.5435690489849</v>
      </c>
      <c r="T65">
        <f t="shared" si="6"/>
        <v>10760.44045797981</v>
      </c>
      <c r="U65" s="4">
        <v>58.9</v>
      </c>
      <c r="V65" s="4">
        <v>0.22</v>
      </c>
      <c r="W65" s="4">
        <v>0.20699999999999999</v>
      </c>
    </row>
    <row r="66" spans="1:30" x14ac:dyDescent="0.25">
      <c r="A66" t="s">
        <v>33</v>
      </c>
      <c r="B66" t="s">
        <v>34</v>
      </c>
      <c r="C66">
        <v>5</v>
      </c>
      <c r="D66">
        <v>2</v>
      </c>
      <c r="E66">
        <f t="shared" si="19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f t="shared" ref="O66:O129" si="21">R66*0.00220462</f>
        <v>4.668507847038887</v>
      </c>
      <c r="P66">
        <f t="shared" ref="P66:P129" si="22">Q66/2.54</f>
        <v>20.499848291538999</v>
      </c>
      <c r="Q66">
        <f t="shared" si="20"/>
        <v>52.06961466050906</v>
      </c>
      <c r="R66">
        <f t="shared" ref="R66:R129" si="23">L66*(Q66^M66)</f>
        <v>2117.6020570614833</v>
      </c>
      <c r="S66">
        <f t="shared" ref="S66:S129" si="24">R66/20/5.7/3.65*1000</f>
        <v>5089.166202983617</v>
      </c>
      <c r="T66">
        <f t="shared" ref="T66:T129" si="25">S66*2.65</f>
        <v>13486.290437906584</v>
      </c>
      <c r="U66" s="4">
        <v>58.9</v>
      </c>
      <c r="V66" s="4">
        <v>0.22</v>
      </c>
      <c r="W66" s="4">
        <v>0.20699999999999999</v>
      </c>
    </row>
    <row r="67" spans="1:30" x14ac:dyDescent="0.25">
      <c r="A67" t="s">
        <v>33</v>
      </c>
      <c r="B67" t="s">
        <v>34</v>
      </c>
      <c r="C67">
        <v>6</v>
      </c>
      <c r="D67">
        <v>2</v>
      </c>
      <c r="E67">
        <f t="shared" si="19"/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f t="shared" si="21"/>
        <v>5.3535025027949148</v>
      </c>
      <c r="P67">
        <f t="shared" si="22"/>
        <v>21.457079949344685</v>
      </c>
      <c r="Q67">
        <f t="shared" si="20"/>
        <v>54.500983071335504</v>
      </c>
      <c r="R67">
        <f t="shared" si="23"/>
        <v>2428.3107759137242</v>
      </c>
      <c r="S67">
        <f t="shared" si="24"/>
        <v>5835.8826626140935</v>
      </c>
      <c r="T67">
        <f t="shared" si="25"/>
        <v>15465.089055927347</v>
      </c>
      <c r="U67" s="4">
        <v>58.9</v>
      </c>
      <c r="V67" s="4">
        <v>0.22</v>
      </c>
      <c r="W67" s="4">
        <v>0.20699999999999999</v>
      </c>
    </row>
    <row r="68" spans="1:30" x14ac:dyDescent="0.25">
      <c r="A68" t="s">
        <v>33</v>
      </c>
      <c r="B68" t="s">
        <v>34</v>
      </c>
      <c r="C68">
        <v>7</v>
      </c>
      <c r="D68">
        <v>2</v>
      </c>
      <c r="E68">
        <f t="shared" si="19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f t="shared" si="21"/>
        <v>5.82832826495014</v>
      </c>
      <c r="P68">
        <f t="shared" si="22"/>
        <v>22.07357200038534</v>
      </c>
      <c r="Q68">
        <f t="shared" si="20"/>
        <v>56.066872880978764</v>
      </c>
      <c r="R68">
        <f t="shared" si="23"/>
        <v>2643.6883748447081</v>
      </c>
      <c r="S68">
        <f t="shared" si="24"/>
        <v>6353.4928499031676</v>
      </c>
      <c r="T68">
        <f t="shared" si="25"/>
        <v>16836.756052243392</v>
      </c>
      <c r="U68" s="4">
        <v>58.9</v>
      </c>
      <c r="V68" s="4">
        <v>0.22</v>
      </c>
      <c r="W68" s="4">
        <v>0.20699999999999999</v>
      </c>
    </row>
    <row r="69" spans="1:30" x14ac:dyDescent="0.25">
      <c r="A69" t="s">
        <v>33</v>
      </c>
      <c r="B69" t="s">
        <v>34</v>
      </c>
      <c r="C69">
        <v>8</v>
      </c>
      <c r="D69">
        <v>2</v>
      </c>
      <c r="E69">
        <f t="shared" si="19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f t="shared" si="21"/>
        <v>6.1485264795531931</v>
      </c>
      <c r="P69">
        <f t="shared" si="22"/>
        <v>22.470615334563767</v>
      </c>
      <c r="Q69">
        <f t="shared" si="20"/>
        <v>57.075362949791973</v>
      </c>
      <c r="R69">
        <f t="shared" si="23"/>
        <v>2788.928014602604</v>
      </c>
      <c r="S69">
        <f t="shared" si="24"/>
        <v>6702.5426931088768</v>
      </c>
      <c r="T69">
        <f t="shared" si="25"/>
        <v>17761.738136738524</v>
      </c>
      <c r="U69" s="4">
        <v>58.9</v>
      </c>
      <c r="V69" s="4">
        <v>0.22</v>
      </c>
      <c r="W69" s="4">
        <v>0.20699999999999999</v>
      </c>
    </row>
    <row r="70" spans="1:30" x14ac:dyDescent="0.25">
      <c r="A70" t="s">
        <v>33</v>
      </c>
      <c r="B70" t="s">
        <v>34</v>
      </c>
      <c r="C70">
        <v>9</v>
      </c>
      <c r="D70">
        <v>2</v>
      </c>
      <c r="E70">
        <f t="shared" si="19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f t="shared" si="21"/>
        <v>6.3608306234498766</v>
      </c>
      <c r="P70">
        <f t="shared" si="22"/>
        <v>22.72632570252296</v>
      </c>
      <c r="Q70">
        <f t="shared" si="20"/>
        <v>57.724867284408319</v>
      </c>
      <c r="R70">
        <f t="shared" si="23"/>
        <v>2885.2276689179434</v>
      </c>
      <c r="S70">
        <f t="shared" si="24"/>
        <v>6933.976613597556</v>
      </c>
      <c r="T70">
        <f t="shared" si="25"/>
        <v>18375.038026033522</v>
      </c>
      <c r="U70" s="4">
        <v>58.9</v>
      </c>
      <c r="V70" s="4">
        <v>0.22</v>
      </c>
      <c r="W70" s="4">
        <v>0.20699999999999999</v>
      </c>
    </row>
    <row r="71" spans="1:30" x14ac:dyDescent="0.25">
      <c r="A71" t="s">
        <v>33</v>
      </c>
      <c r="B71" t="s">
        <v>34</v>
      </c>
      <c r="C71">
        <v>10</v>
      </c>
      <c r="D71">
        <v>2</v>
      </c>
      <c r="E71">
        <f t="shared" si="19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f t="shared" si="21"/>
        <v>6.5001167777729911</v>
      </c>
      <c r="P71">
        <f t="shared" si="22"/>
        <v>22.89101249273725</v>
      </c>
      <c r="Q71">
        <f t="shared" si="20"/>
        <v>58.14317173155262</v>
      </c>
      <c r="R71">
        <f t="shared" si="23"/>
        <v>2948.4068809014666</v>
      </c>
      <c r="S71">
        <f t="shared" si="24"/>
        <v>7085.8132201429144</v>
      </c>
      <c r="T71">
        <f t="shared" si="25"/>
        <v>18777.405033378724</v>
      </c>
      <c r="U71" s="4">
        <v>58.9</v>
      </c>
      <c r="V71" s="4">
        <v>0.22</v>
      </c>
      <c r="W71" s="4">
        <v>0.20699999999999999</v>
      </c>
    </row>
    <row r="72" spans="1:30" x14ac:dyDescent="0.25">
      <c r="A72" t="s">
        <v>35</v>
      </c>
      <c r="B72" t="s">
        <v>36</v>
      </c>
      <c r="C72">
        <v>1</v>
      </c>
      <c r="D72">
        <v>1</v>
      </c>
      <c r="E72">
        <f t="shared" si="19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f t="shared" si="21"/>
        <v>9.3586934812820599E-2</v>
      </c>
      <c r="P72">
        <f t="shared" si="22"/>
        <v>4.9779860886537195</v>
      </c>
      <c r="Q72">
        <f t="shared" ref="Q72:Q81" si="26">21.02*(1-EXP(-0.86*(E72+0.0699)))</f>
        <v>12.644084665180449</v>
      </c>
      <c r="R72">
        <f t="shared" si="23"/>
        <v>42.450370046910848</v>
      </c>
      <c r="S72">
        <f t="shared" si="24"/>
        <v>102.0196348159357</v>
      </c>
      <c r="T72">
        <f t="shared" si="25"/>
        <v>270.35203226222961</v>
      </c>
      <c r="U72" s="4">
        <v>21.02</v>
      </c>
      <c r="V72" s="4">
        <v>0.86</v>
      </c>
      <c r="W72" s="4">
        <v>-6.9989999999999997E-2</v>
      </c>
      <c r="Y72" t="s">
        <v>402</v>
      </c>
    </row>
    <row r="73" spans="1:30" x14ac:dyDescent="0.25">
      <c r="A73" t="s">
        <v>35</v>
      </c>
      <c r="B73" t="s">
        <v>36</v>
      </c>
      <c r="C73">
        <v>2</v>
      </c>
      <c r="D73">
        <v>1</v>
      </c>
      <c r="E73">
        <f t="shared" si="19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f t="shared" si="21"/>
        <v>0.24708795659947014</v>
      </c>
      <c r="P73">
        <f t="shared" si="22"/>
        <v>6.8801693801577137</v>
      </c>
      <c r="Q73">
        <f t="shared" si="26"/>
        <v>17.475630225600593</v>
      </c>
      <c r="R73">
        <f t="shared" si="23"/>
        <v>112.07734512046073</v>
      </c>
      <c r="S73">
        <f t="shared" si="24"/>
        <v>269.35194693693995</v>
      </c>
      <c r="T73">
        <f t="shared" si="25"/>
        <v>713.78265938289087</v>
      </c>
      <c r="U73" s="4">
        <v>21.02</v>
      </c>
      <c r="V73" s="4">
        <v>0.86</v>
      </c>
      <c r="W73" s="4">
        <v>-6.9989999999999997E-2</v>
      </c>
    </row>
    <row r="74" spans="1:30" x14ac:dyDescent="0.25">
      <c r="A74" t="s">
        <v>35</v>
      </c>
      <c r="B74" t="s">
        <v>36</v>
      </c>
      <c r="C74">
        <v>3</v>
      </c>
      <c r="D74">
        <v>1</v>
      </c>
      <c r="E74">
        <f t="shared" si="19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f t="shared" si="21"/>
        <v>0.34435228077785363</v>
      </c>
      <c r="P74">
        <f t="shared" si="22"/>
        <v>7.6851012227405739</v>
      </c>
      <c r="Q74">
        <f t="shared" si="26"/>
        <v>19.520157105761058</v>
      </c>
      <c r="R74">
        <f t="shared" si="23"/>
        <v>156.19575290882494</v>
      </c>
      <c r="S74">
        <f t="shared" si="24"/>
        <v>375.380324222122</v>
      </c>
      <c r="T74">
        <f t="shared" si="25"/>
        <v>994.75785918862323</v>
      </c>
      <c r="U74" s="4">
        <v>21.02</v>
      </c>
      <c r="V74" s="4">
        <v>0.86</v>
      </c>
      <c r="W74" s="4">
        <v>-6.9989999999999997E-2</v>
      </c>
    </row>
    <row r="75" spans="1:30" x14ac:dyDescent="0.25">
      <c r="A75" t="s">
        <v>35</v>
      </c>
      <c r="B75" t="s">
        <v>36</v>
      </c>
      <c r="C75">
        <v>4</v>
      </c>
      <c r="D75">
        <v>1</v>
      </c>
      <c r="E75">
        <f t="shared" si="19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f t="shared" si="21"/>
        <v>0.39219843099099205</v>
      </c>
      <c r="P75">
        <f t="shared" si="22"/>
        <v>8.0257178573717987</v>
      </c>
      <c r="Q75">
        <f t="shared" si="26"/>
        <v>20.385323357724371</v>
      </c>
      <c r="R75">
        <f t="shared" si="23"/>
        <v>177.89842738929704</v>
      </c>
      <c r="S75">
        <f t="shared" si="24"/>
        <v>427.53767697499887</v>
      </c>
      <c r="T75">
        <f t="shared" si="25"/>
        <v>1132.974843983747</v>
      </c>
      <c r="U75" s="4">
        <v>21.02</v>
      </c>
      <c r="V75" s="4">
        <v>0.86</v>
      </c>
      <c r="W75" s="4">
        <v>-6.9989999999999997E-2</v>
      </c>
    </row>
    <row r="76" spans="1:30" x14ac:dyDescent="0.25">
      <c r="A76" t="s">
        <v>35</v>
      </c>
      <c r="B76" t="s">
        <v>36</v>
      </c>
      <c r="C76">
        <v>5</v>
      </c>
      <c r="D76">
        <v>1</v>
      </c>
      <c r="E76">
        <f t="shared" si="19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f t="shared" si="21"/>
        <v>0.41371099054202543</v>
      </c>
      <c r="P76">
        <f t="shared" si="22"/>
        <v>8.1698539017544114</v>
      </c>
      <c r="Q76">
        <f t="shared" si="26"/>
        <v>20.751428910456205</v>
      </c>
      <c r="R76">
        <f t="shared" si="23"/>
        <v>187.65637186545774</v>
      </c>
      <c r="S76">
        <f t="shared" si="24"/>
        <v>450.98863702345051</v>
      </c>
      <c r="T76">
        <f t="shared" si="25"/>
        <v>1195.1198881121438</v>
      </c>
      <c r="U76" s="4">
        <v>21.02</v>
      </c>
      <c r="V76" s="4">
        <v>0.86</v>
      </c>
      <c r="W76" s="4">
        <v>-6.9989999999999997E-2</v>
      </c>
    </row>
    <row r="77" spans="1:30" x14ac:dyDescent="0.25">
      <c r="A77" t="s">
        <v>35</v>
      </c>
      <c r="B77" t="s">
        <v>36</v>
      </c>
      <c r="C77">
        <v>6</v>
      </c>
      <c r="D77">
        <v>1</v>
      </c>
      <c r="E77">
        <f t="shared" si="19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f t="shared" si="21"/>
        <v>0.42304614707953214</v>
      </c>
      <c r="P77">
        <f t="shared" si="22"/>
        <v>8.2308468104324017</v>
      </c>
      <c r="Q77">
        <f t="shared" si="26"/>
        <v>20.9063508984983</v>
      </c>
      <c r="R77">
        <f t="shared" si="23"/>
        <v>191.89073267934253</v>
      </c>
      <c r="S77">
        <f t="shared" si="24"/>
        <v>461.16494275256559</v>
      </c>
      <c r="T77">
        <f t="shared" si="25"/>
        <v>1222.0870982942988</v>
      </c>
      <c r="U77" s="4">
        <v>21.02</v>
      </c>
      <c r="V77" s="4">
        <v>0.86</v>
      </c>
      <c r="W77" s="4">
        <v>-6.9989999999999997E-2</v>
      </c>
    </row>
    <row r="78" spans="1:30" x14ac:dyDescent="0.25">
      <c r="A78" t="s">
        <v>35</v>
      </c>
      <c r="B78" t="s">
        <v>36</v>
      </c>
      <c r="C78">
        <v>7</v>
      </c>
      <c r="D78">
        <v>1</v>
      </c>
      <c r="E78">
        <f t="shared" si="19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f t="shared" si="21"/>
        <v>0.42703834163435911</v>
      </c>
      <c r="P78">
        <f t="shared" si="22"/>
        <v>8.2566566966751953</v>
      </c>
      <c r="Q78">
        <f t="shared" si="26"/>
        <v>20.971908009554998</v>
      </c>
      <c r="R78">
        <f t="shared" si="23"/>
        <v>193.70156382249962</v>
      </c>
      <c r="S78">
        <f t="shared" si="24"/>
        <v>465.51685609829281</v>
      </c>
      <c r="T78">
        <f t="shared" si="25"/>
        <v>1233.6196686604758</v>
      </c>
      <c r="U78" s="4">
        <v>21.02</v>
      </c>
      <c r="V78" s="4">
        <v>0.86</v>
      </c>
      <c r="W78" s="4">
        <v>-6.9989999999999997E-2</v>
      </c>
    </row>
    <row r="79" spans="1:30" x14ac:dyDescent="0.25">
      <c r="A79" t="s">
        <v>35</v>
      </c>
      <c r="B79" t="s">
        <v>36</v>
      </c>
      <c r="C79">
        <v>8</v>
      </c>
      <c r="D79">
        <v>1</v>
      </c>
      <c r="E79">
        <f t="shared" si="19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f t="shared" si="21"/>
        <v>0.42873522145025711</v>
      </c>
      <c r="P79">
        <f t="shared" si="22"/>
        <v>8.2675784618820831</v>
      </c>
      <c r="Q79">
        <f t="shared" si="26"/>
        <v>20.999649293180489</v>
      </c>
      <c r="R79">
        <f t="shared" si="23"/>
        <v>194.4712564751554</v>
      </c>
      <c r="S79">
        <f t="shared" si="24"/>
        <v>467.36663416283449</v>
      </c>
      <c r="T79">
        <f t="shared" si="25"/>
        <v>1238.5215805315113</v>
      </c>
      <c r="U79" s="4">
        <v>21.02</v>
      </c>
      <c r="V79" s="4">
        <v>0.86</v>
      </c>
      <c r="W79" s="4">
        <v>-6.9989999999999997E-2</v>
      </c>
    </row>
    <row r="80" spans="1:30" x14ac:dyDescent="0.25">
      <c r="A80" t="s">
        <v>35</v>
      </c>
      <c r="B80" t="s">
        <v>36</v>
      </c>
      <c r="C80">
        <v>9</v>
      </c>
      <c r="D80">
        <v>1</v>
      </c>
      <c r="E80">
        <f t="shared" si="19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f t="shared" si="21"/>
        <v>0.42945462806621904</v>
      </c>
      <c r="P80">
        <f t="shared" si="22"/>
        <v>8.2722001387896125</v>
      </c>
      <c r="Q80">
        <f t="shared" si="26"/>
        <v>21.011388352525618</v>
      </c>
      <c r="R80">
        <f t="shared" si="23"/>
        <v>194.79757421515683</v>
      </c>
      <c r="S80">
        <f t="shared" si="24"/>
        <v>468.15086329045141</v>
      </c>
      <c r="T80">
        <f t="shared" si="25"/>
        <v>1240.5997877196962</v>
      </c>
      <c r="U80" s="4">
        <v>21.02</v>
      </c>
      <c r="V80" s="4">
        <v>0.86</v>
      </c>
      <c r="W80" s="4">
        <v>-6.9989999999999997E-2</v>
      </c>
      <c r="AD80" t="s">
        <v>453</v>
      </c>
    </row>
    <row r="81" spans="1:33" x14ac:dyDescent="0.25">
      <c r="A81" t="s">
        <v>35</v>
      </c>
      <c r="B81" t="s">
        <v>36</v>
      </c>
      <c r="C81">
        <v>10</v>
      </c>
      <c r="D81">
        <v>1</v>
      </c>
      <c r="E81">
        <f t="shared" si="19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f t="shared" si="21"/>
        <v>0.42975929583214673</v>
      </c>
      <c r="P81">
        <f t="shared" si="22"/>
        <v>8.2741558572136036</v>
      </c>
      <c r="Q81">
        <f t="shared" si="26"/>
        <v>21.016355877322553</v>
      </c>
      <c r="R81">
        <f t="shared" si="23"/>
        <v>194.93576935351521</v>
      </c>
      <c r="S81">
        <f t="shared" si="24"/>
        <v>468.48298330573226</v>
      </c>
      <c r="T81">
        <f t="shared" si="25"/>
        <v>1241.4799057601904</v>
      </c>
      <c r="U81" s="4">
        <v>21.02</v>
      </c>
      <c r="V81" s="4">
        <v>0.86</v>
      </c>
      <c r="W81" s="4">
        <v>-6.9989999999999997E-2</v>
      </c>
      <c r="Y81" t="s">
        <v>454</v>
      </c>
      <c r="Z81" t="s">
        <v>455</v>
      </c>
      <c r="AA81" t="s">
        <v>456</v>
      </c>
      <c r="AB81" t="s">
        <v>457</v>
      </c>
      <c r="AC81" t="s">
        <v>458</v>
      </c>
    </row>
    <row r="82" spans="1:33" x14ac:dyDescent="0.25">
      <c r="A82" t="s">
        <v>37</v>
      </c>
      <c r="B82" t="s">
        <v>38</v>
      </c>
      <c r="C82">
        <v>1</v>
      </c>
      <c r="D82">
        <v>9</v>
      </c>
      <c r="E82">
        <f t="shared" si="19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f t="shared" si="21"/>
        <v>118154.92278936305</v>
      </c>
      <c r="P82">
        <f t="shared" si="22"/>
        <v>816.87428697715336</v>
      </c>
      <c r="Q82" s="2">
        <f t="shared" ref="Q82:Q91" si="27">U82*(1-EXP(-V82*(E82+0.0699)))</f>
        <v>2074.8606889219695</v>
      </c>
      <c r="R82" s="2">
        <f t="shared" si="23"/>
        <v>53594235.192170553</v>
      </c>
      <c r="S82" s="2">
        <f t="shared" si="24"/>
        <v>128801334.27582446</v>
      </c>
      <c r="T82" s="2">
        <f t="shared" si="25"/>
        <v>341323535.83093482</v>
      </c>
      <c r="U82" s="2">
        <f t="shared" ref="U82:U91" si="28">$AD$83*100</f>
        <v>2097.3599999999997</v>
      </c>
      <c r="V82" s="2">
        <v>0.5</v>
      </c>
      <c r="W82" s="2">
        <v>0</v>
      </c>
      <c r="X82" t="s">
        <v>459</v>
      </c>
      <c r="Y82">
        <f>(AVERAGE(40,80))*907.185</f>
        <v>54431.1</v>
      </c>
      <c r="Z82">
        <f>AVERAGE(22000, 36000)</f>
        <v>29000</v>
      </c>
      <c r="AA82">
        <f>20000*0.45392</f>
        <v>9078.4</v>
      </c>
      <c r="AB82">
        <f>100000*0.453592</f>
        <v>45359.199999999997</v>
      </c>
      <c r="AC82">
        <f>330000*0.453592</f>
        <v>149685.35999999999</v>
      </c>
      <c r="AD82">
        <f t="shared" ref="AD82:AD91" si="29">AVERAGE(Y82:AC82)</f>
        <v>57510.811999999998</v>
      </c>
      <c r="AF82">
        <f>AD82*0.001</f>
        <v>57.510812000000001</v>
      </c>
      <c r="AG82">
        <f t="shared" ref="AG82:AG90" si="30">R82*0.000001</f>
        <v>53.594235192170551</v>
      </c>
    </row>
    <row r="83" spans="1:33" x14ac:dyDescent="0.25">
      <c r="A83" t="s">
        <v>37</v>
      </c>
      <c r="B83" t="s">
        <v>38</v>
      </c>
      <c r="C83">
        <v>2</v>
      </c>
      <c r="D83">
        <v>9</v>
      </c>
      <c r="E83">
        <f t="shared" si="19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f t="shared" si="21"/>
        <v>121996.86235305671</v>
      </c>
      <c r="P83">
        <f t="shared" si="22"/>
        <v>825.63388001225235</v>
      </c>
      <c r="Q83" s="2">
        <f t="shared" si="27"/>
        <v>2097.1100552311209</v>
      </c>
      <c r="R83" s="2">
        <f t="shared" si="23"/>
        <v>55336911.736742258</v>
      </c>
      <c r="S83" s="2">
        <f t="shared" si="24"/>
        <v>132989453.82538395</v>
      </c>
      <c r="T83" s="2">
        <f t="shared" si="25"/>
        <v>352422052.63726747</v>
      </c>
      <c r="U83" s="2">
        <f t="shared" si="28"/>
        <v>2097.3599999999997</v>
      </c>
      <c r="V83" s="2">
        <v>0.5</v>
      </c>
      <c r="W83" s="2">
        <v>0</v>
      </c>
      <c r="X83" t="s">
        <v>460</v>
      </c>
      <c r="Y83">
        <f>(AVERAGE(75, 85))*0.3048</f>
        <v>24.384</v>
      </c>
      <c r="Z83">
        <v>18</v>
      </c>
      <c r="AA83">
        <f>35*0.3048</f>
        <v>10.668000000000001</v>
      </c>
      <c r="AB83">
        <f>60*0.3048</f>
        <v>18.288</v>
      </c>
      <c r="AC83">
        <f>110*0.3048</f>
        <v>33.527999999999999</v>
      </c>
      <c r="AD83">
        <f t="shared" si="29"/>
        <v>20.973599999999998</v>
      </c>
      <c r="AG83">
        <f t="shared" si="30"/>
        <v>55.336911736742259</v>
      </c>
    </row>
    <row r="84" spans="1:33" x14ac:dyDescent="0.25">
      <c r="A84" t="s">
        <v>37</v>
      </c>
      <c r="B84" t="s">
        <v>38</v>
      </c>
      <c r="C84">
        <v>3</v>
      </c>
      <c r="D84">
        <v>9</v>
      </c>
      <c r="E84">
        <f t="shared" si="19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f t="shared" si="21"/>
        <v>122040.00356649989</v>
      </c>
      <c r="P84">
        <f t="shared" si="22"/>
        <v>825.73119030095563</v>
      </c>
      <c r="Q84" s="2">
        <f t="shared" si="27"/>
        <v>2097.3572233644272</v>
      </c>
      <c r="R84" s="2">
        <f t="shared" si="23"/>
        <v>55356480.285264529</v>
      </c>
      <c r="S84" s="2">
        <f t="shared" si="24"/>
        <v>133036482.30056366</v>
      </c>
      <c r="T84" s="2">
        <f t="shared" si="25"/>
        <v>352546678.09649372</v>
      </c>
      <c r="U84" s="2">
        <f t="shared" si="28"/>
        <v>2097.3599999999997</v>
      </c>
      <c r="V84" s="2">
        <v>0.5</v>
      </c>
      <c r="W84" s="2">
        <v>0</v>
      </c>
      <c r="X84" t="s">
        <v>461</v>
      </c>
      <c r="Y84">
        <v>90</v>
      </c>
      <c r="Z84">
        <v>50</v>
      </c>
      <c r="AA84">
        <v>50</v>
      </c>
      <c r="AB84">
        <v>70</v>
      </c>
      <c r="AD84">
        <f t="shared" si="29"/>
        <v>65</v>
      </c>
      <c r="AG84">
        <f t="shared" si="30"/>
        <v>55.356480285264524</v>
      </c>
    </row>
    <row r="85" spans="1:33" x14ac:dyDescent="0.25">
      <c r="A85" t="s">
        <v>37</v>
      </c>
      <c r="B85" t="s">
        <v>38</v>
      </c>
      <c r="C85">
        <v>4</v>
      </c>
      <c r="D85">
        <v>9</v>
      </c>
      <c r="E85">
        <f t="shared" si="19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f t="shared" si="21"/>
        <v>122040.48287920165</v>
      </c>
      <c r="P85">
        <f t="shared" si="22"/>
        <v>825.73227132061595</v>
      </c>
      <c r="Q85" s="2">
        <f t="shared" si="27"/>
        <v>2097.3599691543645</v>
      </c>
      <c r="R85" s="2">
        <f t="shared" si="23"/>
        <v>55356697.698107451</v>
      </c>
      <c r="S85" s="2">
        <f t="shared" si="24"/>
        <v>133037004.8019886</v>
      </c>
      <c r="T85" s="2">
        <f t="shared" si="25"/>
        <v>352548062.72526979</v>
      </c>
      <c r="U85" s="2">
        <f t="shared" si="28"/>
        <v>2097.3599999999997</v>
      </c>
      <c r="V85" s="2">
        <v>0.5</v>
      </c>
      <c r="W85" s="2">
        <v>0</v>
      </c>
      <c r="X85" t="s">
        <v>462</v>
      </c>
      <c r="Y85">
        <f>(AVERAGE(4000,6000))*0.453592</f>
        <v>2267.96</v>
      </c>
      <c r="Z85">
        <v>900</v>
      </c>
      <c r="AA85">
        <f>(AVERAGE(700, 1000))*0.453592</f>
        <v>385.5532</v>
      </c>
      <c r="AB85">
        <f>1500*0.453592</f>
        <v>680.38800000000003</v>
      </c>
      <c r="AD85">
        <f t="shared" si="29"/>
        <v>1058.4753000000001</v>
      </c>
      <c r="AG85">
        <f t="shared" si="30"/>
        <v>55.356697698107446</v>
      </c>
    </row>
    <row r="86" spans="1:33" x14ac:dyDescent="0.25">
      <c r="A86" t="s">
        <v>37</v>
      </c>
      <c r="B86" t="s">
        <v>38</v>
      </c>
      <c r="C86">
        <v>5</v>
      </c>
      <c r="D86">
        <v>9</v>
      </c>
      <c r="E86">
        <f t="shared" si="19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>
        <f t="shared" si="21"/>
        <v>122040.4882038919</v>
      </c>
      <c r="P86">
        <f t="shared" si="22"/>
        <v>825.73228332965971</v>
      </c>
      <c r="Q86" s="2">
        <f t="shared" si="27"/>
        <v>2097.3599996573357</v>
      </c>
      <c r="R86" s="2">
        <f t="shared" si="23"/>
        <v>55356700.113349192</v>
      </c>
      <c r="S86" s="2">
        <f t="shared" si="24"/>
        <v>133037010.60646287</v>
      </c>
      <c r="T86" s="2">
        <f t="shared" si="25"/>
        <v>352548078.10712659</v>
      </c>
      <c r="U86" s="2">
        <f t="shared" si="28"/>
        <v>2097.3599999999997</v>
      </c>
      <c r="V86" s="2">
        <v>0.5</v>
      </c>
      <c r="W86" s="2">
        <v>0</v>
      </c>
      <c r="X86" t="s">
        <v>463</v>
      </c>
      <c r="Y86">
        <f>18*0.3048</f>
        <v>5.4864000000000006</v>
      </c>
      <c r="Z86">
        <v>4.5</v>
      </c>
      <c r="AA86">
        <f>(AVERAGE(8, 11.5))*0.3048</f>
        <v>2.9718</v>
      </c>
      <c r="AB86">
        <f>15*0.3048</f>
        <v>4.5720000000000001</v>
      </c>
      <c r="AD86">
        <f t="shared" si="29"/>
        <v>4.3825500000000002</v>
      </c>
      <c r="AG86">
        <f t="shared" si="30"/>
        <v>55.356700113349191</v>
      </c>
    </row>
    <row r="87" spans="1:33" x14ac:dyDescent="0.25">
      <c r="A87" t="s">
        <v>37</v>
      </c>
      <c r="B87" t="s">
        <v>38</v>
      </c>
      <c r="C87">
        <v>6</v>
      </c>
      <c r="D87">
        <v>9</v>
      </c>
      <c r="E87">
        <f t="shared" si="19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f t="shared" si="21"/>
        <v>122040.48826304385</v>
      </c>
      <c r="P87">
        <f t="shared" si="22"/>
        <v>825.73228346306814</v>
      </c>
      <c r="Q87" s="2">
        <f t="shared" si="27"/>
        <v>2097.359999996193</v>
      </c>
      <c r="R87" s="2">
        <f t="shared" si="23"/>
        <v>55356700.140180096</v>
      </c>
      <c r="S87" s="2">
        <f t="shared" si="24"/>
        <v>133037010.67094471</v>
      </c>
      <c r="T87" s="2">
        <f t="shared" si="25"/>
        <v>352548078.27800345</v>
      </c>
      <c r="U87" s="2">
        <f t="shared" si="28"/>
        <v>2097.3599999999997</v>
      </c>
      <c r="V87" s="2">
        <v>0.5</v>
      </c>
      <c r="W87" s="2">
        <v>0</v>
      </c>
      <c r="X87" t="s">
        <v>464</v>
      </c>
      <c r="Y87">
        <f>4000*0.453592</f>
        <v>1814.3679999999999</v>
      </c>
      <c r="Z87">
        <v>1360</v>
      </c>
      <c r="AB87">
        <f>2000*0.453592</f>
        <v>907.18399999999997</v>
      </c>
      <c r="AD87">
        <f t="shared" si="29"/>
        <v>1360.5173333333332</v>
      </c>
      <c r="AG87">
        <f t="shared" si="30"/>
        <v>55.356700140180095</v>
      </c>
    </row>
    <row r="88" spans="1:33" x14ac:dyDescent="0.25">
      <c r="A88" t="s">
        <v>37</v>
      </c>
      <c r="B88" t="s">
        <v>38</v>
      </c>
      <c r="C88">
        <v>7</v>
      </c>
      <c r="D88">
        <v>9</v>
      </c>
      <c r="E88">
        <f t="shared" si="19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f t="shared" si="21"/>
        <v>122040.48826370099</v>
      </c>
      <c r="P88">
        <f t="shared" si="22"/>
        <v>825.73228346455016</v>
      </c>
      <c r="Q88" s="2">
        <f t="shared" si="27"/>
        <v>2097.3599999999574</v>
      </c>
      <c r="R88" s="2">
        <f t="shared" si="23"/>
        <v>55356700.140478171</v>
      </c>
      <c r="S88" s="2">
        <f t="shared" si="24"/>
        <v>133037010.67166106</v>
      </c>
      <c r="T88" s="2">
        <f t="shared" si="25"/>
        <v>352548078.2799018</v>
      </c>
      <c r="U88" s="2">
        <f t="shared" si="28"/>
        <v>2097.3599999999997</v>
      </c>
      <c r="V88" s="2">
        <v>0.5</v>
      </c>
      <c r="W88" s="2">
        <v>0</v>
      </c>
      <c r="X88" t="s">
        <v>434</v>
      </c>
      <c r="Y88" s="7" t="s">
        <v>465</v>
      </c>
      <c r="Z88" s="7" t="s">
        <v>466</v>
      </c>
      <c r="AA88" s="7" t="s">
        <v>467</v>
      </c>
      <c r="AB88" s="7" t="s">
        <v>468</v>
      </c>
      <c r="AD88" t="e">
        <f t="shared" si="29"/>
        <v>#DIV/0!</v>
      </c>
      <c r="AG88">
        <f t="shared" si="30"/>
        <v>55.356700140478168</v>
      </c>
    </row>
    <row r="89" spans="1:33" x14ac:dyDescent="0.25">
      <c r="A89" t="s">
        <v>37</v>
      </c>
      <c r="B89" t="s">
        <v>38</v>
      </c>
      <c r="C89">
        <v>8</v>
      </c>
      <c r="D89">
        <v>9</v>
      </c>
      <c r="E89">
        <f t="shared" si="19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f t="shared" si="21"/>
        <v>122040.48826370828</v>
      </c>
      <c r="P89">
        <f t="shared" si="22"/>
        <v>825.73228346456665</v>
      </c>
      <c r="Q89" s="2">
        <f t="shared" si="27"/>
        <v>2097.3599999999992</v>
      </c>
      <c r="R89" s="2">
        <f t="shared" si="23"/>
        <v>55356700.140481479</v>
      </c>
      <c r="S89" s="2">
        <f t="shared" si="24"/>
        <v>133037010.67166904</v>
      </c>
      <c r="T89" s="2">
        <f t="shared" si="25"/>
        <v>352548078.27992296</v>
      </c>
      <c r="U89" s="2">
        <f t="shared" si="28"/>
        <v>2097.3599999999997</v>
      </c>
      <c r="V89" s="2">
        <v>0.5</v>
      </c>
      <c r="W89" s="2">
        <v>0</v>
      </c>
      <c r="X89" t="s">
        <v>469</v>
      </c>
      <c r="Y89">
        <v>12</v>
      </c>
      <c r="Z89">
        <v>11</v>
      </c>
      <c r="AA89">
        <v>10</v>
      </c>
      <c r="AB89">
        <v>12</v>
      </c>
      <c r="AD89">
        <f t="shared" si="29"/>
        <v>11.25</v>
      </c>
      <c r="AG89">
        <f t="shared" si="30"/>
        <v>55.356700140481479</v>
      </c>
    </row>
    <row r="90" spans="1:33" x14ac:dyDescent="0.25">
      <c r="A90" t="s">
        <v>37</v>
      </c>
      <c r="B90" t="s">
        <v>38</v>
      </c>
      <c r="C90">
        <v>9</v>
      </c>
      <c r="D90">
        <v>9</v>
      </c>
      <c r="E90">
        <f t="shared" si="19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f t="shared" si="21"/>
        <v>122040.48826370835</v>
      </c>
      <c r="P90">
        <f t="shared" si="22"/>
        <v>825.73228346456676</v>
      </c>
      <c r="Q90" s="2">
        <f t="shared" si="27"/>
        <v>2097.3599999999997</v>
      </c>
      <c r="R90" s="2">
        <f t="shared" si="23"/>
        <v>55356700.140481509</v>
      </c>
      <c r="S90" s="2">
        <f t="shared" si="24"/>
        <v>133037010.6716691</v>
      </c>
      <c r="T90" s="2">
        <f t="shared" si="25"/>
        <v>352548078.27992308</v>
      </c>
      <c r="U90" s="2">
        <f t="shared" si="28"/>
        <v>2097.3599999999997</v>
      </c>
      <c r="V90" s="2">
        <v>0.5</v>
      </c>
      <c r="W90" s="2">
        <v>0</v>
      </c>
      <c r="X90" t="s">
        <v>470</v>
      </c>
      <c r="Y90">
        <v>10</v>
      </c>
      <c r="Z90">
        <v>8</v>
      </c>
      <c r="AA90">
        <v>6</v>
      </c>
      <c r="AB90">
        <v>8</v>
      </c>
      <c r="AD90">
        <f t="shared" si="29"/>
        <v>8</v>
      </c>
      <c r="AG90">
        <f t="shared" si="30"/>
        <v>55.356700140481507</v>
      </c>
    </row>
    <row r="91" spans="1:33" x14ac:dyDescent="0.25">
      <c r="A91" t="s">
        <v>37</v>
      </c>
      <c r="B91" t="s">
        <v>38</v>
      </c>
      <c r="C91">
        <v>10</v>
      </c>
      <c r="D91">
        <v>9</v>
      </c>
      <c r="E91">
        <f t="shared" si="19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f t="shared" si="21"/>
        <v>122040.48826370835</v>
      </c>
      <c r="P91">
        <f t="shared" si="22"/>
        <v>825.73228346456676</v>
      </c>
      <c r="Q91" s="2">
        <f t="shared" si="27"/>
        <v>2097.3599999999997</v>
      </c>
      <c r="R91" s="2">
        <f t="shared" si="23"/>
        <v>55356700.140481509</v>
      </c>
      <c r="S91" s="2">
        <f t="shared" si="24"/>
        <v>133037010.6716691</v>
      </c>
      <c r="T91" s="2">
        <f t="shared" si="25"/>
        <v>352548078.27992308</v>
      </c>
      <c r="U91" s="2">
        <f t="shared" si="28"/>
        <v>2097.3599999999997</v>
      </c>
      <c r="V91" s="2">
        <v>0.5</v>
      </c>
      <c r="W91" s="2">
        <v>0</v>
      </c>
      <c r="X91" t="s">
        <v>471</v>
      </c>
      <c r="Z91">
        <v>1</v>
      </c>
      <c r="AA91">
        <v>0.5</v>
      </c>
      <c r="AB91">
        <v>0.5</v>
      </c>
      <c r="AD91">
        <f t="shared" si="29"/>
        <v>0.66666666666666663</v>
      </c>
    </row>
    <row r="92" spans="1:33" x14ac:dyDescent="0.25">
      <c r="A92" t="s">
        <v>39</v>
      </c>
      <c r="B92" t="s">
        <v>40</v>
      </c>
      <c r="C92">
        <v>1</v>
      </c>
      <c r="D92">
        <v>2</v>
      </c>
      <c r="E92">
        <f t="shared" si="19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f t="shared" si="21"/>
        <v>0.584573627345923</v>
      </c>
      <c r="P92">
        <f t="shared" si="22"/>
        <v>11.0477632758948</v>
      </c>
      <c r="Q92">
        <f t="shared" ref="Q92:Q101" si="31">150.93*(1-EXP(-0.11*(E92-0.13)))</f>
        <v>28.061318720772793</v>
      </c>
      <c r="R92">
        <f t="shared" si="23"/>
        <v>265.15845240718266</v>
      </c>
      <c r="S92">
        <f t="shared" si="24"/>
        <v>637.24694161783873</v>
      </c>
      <c r="T92">
        <f t="shared" si="25"/>
        <v>1688.7043952872725</v>
      </c>
      <c r="U92">
        <v>150.93</v>
      </c>
      <c r="V92">
        <v>0.11</v>
      </c>
      <c r="W92">
        <v>0.13</v>
      </c>
      <c r="Y92" t="s">
        <v>472</v>
      </c>
    </row>
    <row r="93" spans="1:33" x14ac:dyDescent="0.25">
      <c r="A93" t="s">
        <v>39</v>
      </c>
      <c r="B93" t="s">
        <v>40</v>
      </c>
      <c r="C93">
        <v>2</v>
      </c>
      <c r="D93">
        <v>2</v>
      </c>
      <c r="E93">
        <f t="shared" si="19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f t="shared" si="21"/>
        <v>3.7901550988063568</v>
      </c>
      <c r="P93">
        <f t="shared" si="22"/>
        <v>20.600619524629806</v>
      </c>
      <c r="Q93">
        <f t="shared" si="31"/>
        <v>52.325573592559707</v>
      </c>
      <c r="R93">
        <f t="shared" si="23"/>
        <v>1719.1874784798999</v>
      </c>
      <c r="S93">
        <f t="shared" si="24"/>
        <v>4131.6690182165348</v>
      </c>
      <c r="T93">
        <f t="shared" si="25"/>
        <v>10948.922898273817</v>
      </c>
      <c r="U93">
        <v>150.93</v>
      </c>
      <c r="V93">
        <v>0.11</v>
      </c>
      <c r="W93">
        <v>0.13</v>
      </c>
    </row>
    <row r="94" spans="1:33" x14ac:dyDescent="0.25">
      <c r="A94" t="s">
        <v>39</v>
      </c>
      <c r="B94" t="s">
        <v>40</v>
      </c>
      <c r="C94">
        <v>3</v>
      </c>
      <c r="D94">
        <v>2</v>
      </c>
      <c r="E94">
        <f t="shared" si="19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f t="shared" si="21"/>
        <v>9.7916017086089191</v>
      </c>
      <c r="P94">
        <f t="shared" si="22"/>
        <v>28.266966238472971</v>
      </c>
      <c r="Q94">
        <f t="shared" si="31"/>
        <v>71.798094245721344</v>
      </c>
      <c r="R94">
        <f t="shared" si="23"/>
        <v>4441.4011070429005</v>
      </c>
      <c r="S94">
        <f t="shared" si="24"/>
        <v>10673.879132523194</v>
      </c>
      <c r="T94">
        <f t="shared" si="25"/>
        <v>28285.779701186464</v>
      </c>
      <c r="U94">
        <v>150.93</v>
      </c>
      <c r="V94">
        <v>0.11</v>
      </c>
      <c r="W94">
        <v>0.13</v>
      </c>
    </row>
    <row r="95" spans="1:33" x14ac:dyDescent="0.25">
      <c r="A95" t="s">
        <v>39</v>
      </c>
      <c r="B95" t="s">
        <v>40</v>
      </c>
      <c r="C95">
        <v>4</v>
      </c>
      <c r="D95">
        <v>2</v>
      </c>
      <c r="E95">
        <f t="shared" si="19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f t="shared" si="21"/>
        <v>17.677639304648796</v>
      </c>
      <c r="P95">
        <f t="shared" si="22"/>
        <v>34.419353588029985</v>
      </c>
      <c r="Q95">
        <f t="shared" si="31"/>
        <v>87.425158113596154</v>
      </c>
      <c r="R95">
        <f t="shared" si="23"/>
        <v>8018.4518441494665</v>
      </c>
      <c r="S95">
        <f t="shared" si="24"/>
        <v>19270.492295480573</v>
      </c>
      <c r="T95">
        <f t="shared" si="25"/>
        <v>51066.804583023521</v>
      </c>
      <c r="U95">
        <v>150.93</v>
      </c>
      <c r="V95">
        <v>0.11</v>
      </c>
      <c r="W95">
        <v>0.13</v>
      </c>
    </row>
    <row r="96" spans="1:33" x14ac:dyDescent="0.25">
      <c r="A96" t="s">
        <v>39</v>
      </c>
      <c r="B96" t="s">
        <v>40</v>
      </c>
      <c r="C96">
        <v>5</v>
      </c>
      <c r="D96">
        <v>2</v>
      </c>
      <c r="E96">
        <f t="shared" si="19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f t="shared" si="21"/>
        <v>26.428599951476155</v>
      </c>
      <c r="P96">
        <f t="shared" si="22"/>
        <v>39.356760088396037</v>
      </c>
      <c r="Q96">
        <f t="shared" si="31"/>
        <v>99.96617062452593</v>
      </c>
      <c r="R96">
        <f t="shared" si="23"/>
        <v>11987.825544300675</v>
      </c>
      <c r="S96">
        <f t="shared" si="24"/>
        <v>28809.962855805512</v>
      </c>
      <c r="T96">
        <f t="shared" si="25"/>
        <v>76346.401567884604</v>
      </c>
      <c r="U96">
        <v>150.93</v>
      </c>
      <c r="V96">
        <v>0.11</v>
      </c>
      <c r="W96">
        <v>0.13</v>
      </c>
    </row>
    <row r="97" spans="1:29" x14ac:dyDescent="0.25">
      <c r="A97" t="s">
        <v>39</v>
      </c>
      <c r="B97" t="s">
        <v>40</v>
      </c>
      <c r="C97">
        <v>6</v>
      </c>
      <c r="D97">
        <v>2</v>
      </c>
      <c r="E97">
        <f t="shared" si="19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f t="shared" si="21"/>
        <v>35.241555115787342</v>
      </c>
      <c r="P97">
        <f t="shared" si="22"/>
        <v>43.319121618121926</v>
      </c>
      <c r="Q97">
        <f t="shared" si="31"/>
        <v>110.0305689100297</v>
      </c>
      <c r="R97">
        <f t="shared" si="23"/>
        <v>15985.319518006434</v>
      </c>
      <c r="S97">
        <f t="shared" si="24"/>
        <v>38417.013982231285</v>
      </c>
      <c r="T97">
        <f t="shared" si="25"/>
        <v>101805.0870529129</v>
      </c>
      <c r="U97">
        <v>150.93</v>
      </c>
      <c r="V97">
        <v>0.11</v>
      </c>
      <c r="W97">
        <v>0.13</v>
      </c>
    </row>
    <row r="98" spans="1:29" x14ac:dyDescent="0.25">
      <c r="A98" t="s">
        <v>39</v>
      </c>
      <c r="B98" t="s">
        <v>40</v>
      </c>
      <c r="C98">
        <v>7</v>
      </c>
      <c r="D98">
        <v>2</v>
      </c>
      <c r="E98">
        <f t="shared" si="19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f t="shared" si="21"/>
        <v>43.585971696550949</v>
      </c>
      <c r="P98">
        <f t="shared" si="22"/>
        <v>46.498991230050322</v>
      </c>
      <c r="Q98">
        <f t="shared" si="31"/>
        <v>118.10743772432782</v>
      </c>
      <c r="R98">
        <f t="shared" si="23"/>
        <v>19770.28771241799</v>
      </c>
      <c r="S98">
        <f t="shared" si="24"/>
        <v>47513.308609512111</v>
      </c>
      <c r="T98">
        <f t="shared" si="25"/>
        <v>125910.26781520709</v>
      </c>
      <c r="U98">
        <v>150.93</v>
      </c>
      <c r="V98">
        <v>0.11</v>
      </c>
      <c r="W98">
        <v>0.13</v>
      </c>
    </row>
    <row r="99" spans="1:29" x14ac:dyDescent="0.25">
      <c r="A99" t="s">
        <v>39</v>
      </c>
      <c r="B99" t="s">
        <v>40</v>
      </c>
      <c r="C99">
        <v>8</v>
      </c>
      <c r="D99">
        <v>2</v>
      </c>
      <c r="E99">
        <f t="shared" si="19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f t="shared" si="21"/>
        <v>51.163115634360331</v>
      </c>
      <c r="P99">
        <f t="shared" si="22"/>
        <v>49.050896368692506</v>
      </c>
      <c r="Q99">
        <f t="shared" si="31"/>
        <v>124.58927677647897</v>
      </c>
      <c r="R99">
        <f t="shared" si="23"/>
        <v>23207.226476381566</v>
      </c>
      <c r="S99">
        <f t="shared" si="24"/>
        <v>55773.195088636297</v>
      </c>
      <c r="T99">
        <f t="shared" si="25"/>
        <v>147798.96698488618</v>
      </c>
      <c r="U99">
        <v>150.93</v>
      </c>
      <c r="V99">
        <v>0.11</v>
      </c>
      <c r="W99">
        <v>0.13</v>
      </c>
    </row>
    <row r="100" spans="1:29" x14ac:dyDescent="0.25">
      <c r="A100" t="s">
        <v>39</v>
      </c>
      <c r="B100" t="s">
        <v>40</v>
      </c>
      <c r="C100">
        <v>9</v>
      </c>
      <c r="D100">
        <v>2</v>
      </c>
      <c r="E100">
        <f t="shared" si="19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f t="shared" si="21"/>
        <v>57.842821896938077</v>
      </c>
      <c r="P100">
        <f t="shared" si="22"/>
        <v>51.0988482130699</v>
      </c>
      <c r="Q100">
        <f t="shared" si="31"/>
        <v>129.79107446119755</v>
      </c>
      <c r="R100">
        <f t="shared" si="23"/>
        <v>26237.093874199669</v>
      </c>
      <c r="S100">
        <f t="shared" si="24"/>
        <v>63054.779798605312</v>
      </c>
      <c r="T100">
        <f t="shared" si="25"/>
        <v>167095.16646630407</v>
      </c>
      <c r="U100">
        <v>150.93</v>
      </c>
      <c r="V100">
        <v>0.11</v>
      </c>
      <c r="W100">
        <v>0.13</v>
      </c>
    </row>
    <row r="101" spans="1:29" x14ac:dyDescent="0.25">
      <c r="A101" t="s">
        <v>39</v>
      </c>
      <c r="B101" t="s">
        <v>40</v>
      </c>
      <c r="C101">
        <v>10</v>
      </c>
      <c r="D101">
        <v>2</v>
      </c>
      <c r="E101">
        <f t="shared" si="19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f t="shared" si="21"/>
        <v>63.60555029705624</v>
      </c>
      <c r="P101">
        <f t="shared" si="22"/>
        <v>52.742368065504692</v>
      </c>
      <c r="Q101">
        <f t="shared" si="31"/>
        <v>133.96561488638193</v>
      </c>
      <c r="R101">
        <f t="shared" si="23"/>
        <v>28851.026615496656</v>
      </c>
      <c r="S101">
        <f t="shared" si="24"/>
        <v>69336.76187333971</v>
      </c>
      <c r="T101">
        <f t="shared" si="25"/>
        <v>183742.41896435022</v>
      </c>
      <c r="U101">
        <v>150.93</v>
      </c>
      <c r="V101">
        <v>0.11</v>
      </c>
      <c r="W101">
        <v>0.13</v>
      </c>
    </row>
    <row r="102" spans="1:29" x14ac:dyDescent="0.25">
      <c r="A102" t="s">
        <v>41</v>
      </c>
      <c r="B102" t="s">
        <v>42</v>
      </c>
      <c r="C102">
        <v>1</v>
      </c>
      <c r="D102">
        <v>4</v>
      </c>
      <c r="E102">
        <f t="shared" si="19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f t="shared" si="21"/>
        <v>2.0449819515939427</v>
      </c>
      <c r="P102">
        <f t="shared" si="22"/>
        <v>14.339617063112403</v>
      </c>
      <c r="Q102">
        <f t="shared" ref="Q102:Q111" si="32">91.5*(1-EXP(-0.1269*(E102-0)))</f>
        <v>36.422627340305503</v>
      </c>
      <c r="R102">
        <f t="shared" si="23"/>
        <v>927.58931316686903</v>
      </c>
      <c r="S102">
        <f t="shared" si="24"/>
        <v>2229.246126332298</v>
      </c>
      <c r="T102">
        <f t="shared" si="25"/>
        <v>5907.5022347805898</v>
      </c>
      <c r="U102">
        <v>91.5</v>
      </c>
      <c r="V102">
        <v>0.12690000000000001</v>
      </c>
      <c r="W102">
        <v>0</v>
      </c>
      <c r="Y102" t="s">
        <v>473</v>
      </c>
    </row>
    <row r="103" spans="1:29" x14ac:dyDescent="0.25">
      <c r="A103" t="s">
        <v>41</v>
      </c>
      <c r="B103" t="s">
        <v>42</v>
      </c>
      <c r="C103">
        <v>2</v>
      </c>
      <c r="D103">
        <v>4</v>
      </c>
      <c r="E103">
        <f t="shared" si="19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f t="shared" si="21"/>
        <v>8.8123467943379108</v>
      </c>
      <c r="P103">
        <f t="shared" si="22"/>
        <v>22.971184634504269</v>
      </c>
      <c r="Q103">
        <f t="shared" si="32"/>
        <v>58.34680897164084</v>
      </c>
      <c r="R103">
        <f t="shared" si="23"/>
        <v>3997.2180213995657</v>
      </c>
      <c r="S103">
        <f t="shared" si="24"/>
        <v>9606.3879389559388</v>
      </c>
      <c r="T103">
        <f t="shared" si="25"/>
        <v>25456.928038233236</v>
      </c>
      <c r="U103">
        <v>91.5</v>
      </c>
      <c r="V103">
        <v>0.12690000000000001</v>
      </c>
      <c r="W103">
        <v>0</v>
      </c>
    </row>
    <row r="104" spans="1:29" x14ac:dyDescent="0.25">
      <c r="A104" t="s">
        <v>41</v>
      </c>
      <c r="B104" t="s">
        <v>42</v>
      </c>
      <c r="C104">
        <v>3</v>
      </c>
      <c r="D104">
        <v>4</v>
      </c>
      <c r="E104">
        <f t="shared" si="19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f t="shared" si="21"/>
        <v>16.581052355175359</v>
      </c>
      <c r="P104">
        <f t="shared" si="22"/>
        <v>28.16685746255764</v>
      </c>
      <c r="Q104">
        <f t="shared" si="32"/>
        <v>71.543817954896411</v>
      </c>
      <c r="R104">
        <f t="shared" si="23"/>
        <v>7521.0477792886577</v>
      </c>
      <c r="S104">
        <f t="shared" si="24"/>
        <v>18075.096801943422</v>
      </c>
      <c r="T104">
        <f t="shared" si="25"/>
        <v>47899.006525150064</v>
      </c>
      <c r="U104">
        <v>91.5</v>
      </c>
      <c r="V104">
        <v>0.12690000000000001</v>
      </c>
      <c r="W104">
        <v>0</v>
      </c>
    </row>
    <row r="105" spans="1:29" x14ac:dyDescent="0.25">
      <c r="A105" t="s">
        <v>41</v>
      </c>
      <c r="B105" t="s">
        <v>42</v>
      </c>
      <c r="C105">
        <v>4</v>
      </c>
      <c r="D105">
        <v>4</v>
      </c>
      <c r="E105">
        <f t="shared" si="19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f t="shared" si="21"/>
        <v>22.980883966940183</v>
      </c>
      <c r="P105">
        <f t="shared" si="22"/>
        <v>31.294332966039004</v>
      </c>
      <c r="Q105">
        <f t="shared" si="32"/>
        <v>79.487605733739073</v>
      </c>
      <c r="R105">
        <f t="shared" si="23"/>
        <v>10423.966019967243</v>
      </c>
      <c r="S105">
        <f t="shared" si="24"/>
        <v>25051.588608428843</v>
      </c>
      <c r="T105">
        <f t="shared" si="25"/>
        <v>66386.709812336427</v>
      </c>
      <c r="U105">
        <v>91.5</v>
      </c>
      <c r="V105">
        <v>0.12690000000000001</v>
      </c>
      <c r="W105">
        <v>0</v>
      </c>
    </row>
    <row r="106" spans="1:29" x14ac:dyDescent="0.25">
      <c r="A106" t="s">
        <v>41</v>
      </c>
      <c r="B106" t="s">
        <v>42</v>
      </c>
      <c r="C106">
        <v>5</v>
      </c>
      <c r="D106">
        <v>4</v>
      </c>
      <c r="E106">
        <f t="shared" si="19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f t="shared" si="21"/>
        <v>27.543129144945357</v>
      </c>
      <c r="P106">
        <f t="shared" si="22"/>
        <v>33.176880876304679</v>
      </c>
      <c r="Q106">
        <f t="shared" si="32"/>
        <v>84.269277425813883</v>
      </c>
      <c r="R106">
        <f t="shared" si="23"/>
        <v>12493.368083817328</v>
      </c>
      <c r="S106">
        <f t="shared" si="24"/>
        <v>30024.917288674184</v>
      </c>
      <c r="T106">
        <f t="shared" si="25"/>
        <v>79566.030814986589</v>
      </c>
      <c r="U106">
        <v>91.5</v>
      </c>
      <c r="V106">
        <v>0.12690000000000001</v>
      </c>
      <c r="W106">
        <v>0</v>
      </c>
    </row>
    <row r="107" spans="1:29" x14ac:dyDescent="0.25">
      <c r="A107" t="s">
        <v>41</v>
      </c>
      <c r="B107" t="s">
        <v>42</v>
      </c>
      <c r="C107">
        <v>6</v>
      </c>
      <c r="D107">
        <v>4</v>
      </c>
      <c r="E107">
        <f t="shared" si="19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f t="shared" si="21"/>
        <v>30.565366073329951</v>
      </c>
      <c r="P107">
        <f t="shared" si="22"/>
        <v>34.310058939730155</v>
      </c>
      <c r="Q107">
        <f t="shared" si="32"/>
        <v>87.147549706914589</v>
      </c>
      <c r="R107">
        <f t="shared" si="23"/>
        <v>13864.233325167126</v>
      </c>
      <c r="S107">
        <f t="shared" si="24"/>
        <v>33319.474465674422</v>
      </c>
      <c r="T107">
        <f t="shared" si="25"/>
        <v>88296.60733403721</v>
      </c>
      <c r="U107">
        <v>91.5</v>
      </c>
      <c r="V107">
        <v>0.12690000000000001</v>
      </c>
      <c r="W107">
        <v>0</v>
      </c>
    </row>
    <row r="108" spans="1:29" x14ac:dyDescent="0.25">
      <c r="A108" t="s">
        <v>41</v>
      </c>
      <c r="B108" t="s">
        <v>42</v>
      </c>
      <c r="C108">
        <v>7</v>
      </c>
      <c r="D108">
        <v>4</v>
      </c>
      <c r="E108">
        <f t="shared" si="19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f t="shared" si="21"/>
        <v>32.488711412223459</v>
      </c>
      <c r="P108">
        <f t="shared" si="22"/>
        <v>34.992162442343009</v>
      </c>
      <c r="Q108">
        <f t="shared" si="32"/>
        <v>88.880092603551248</v>
      </c>
      <c r="R108">
        <f t="shared" si="23"/>
        <v>14736.649133285309</v>
      </c>
      <c r="S108">
        <f t="shared" si="24"/>
        <v>35416.123848318457</v>
      </c>
      <c r="T108">
        <f t="shared" si="25"/>
        <v>93852.728198043915</v>
      </c>
      <c r="U108">
        <v>91.5</v>
      </c>
      <c r="V108">
        <v>0.12690000000000001</v>
      </c>
      <c r="W108">
        <v>0</v>
      </c>
    </row>
    <row r="109" spans="1:29" x14ac:dyDescent="0.25">
      <c r="A109" t="s">
        <v>41</v>
      </c>
      <c r="B109" t="s">
        <v>42</v>
      </c>
      <c r="C109">
        <v>8</v>
      </c>
      <c r="D109">
        <v>4</v>
      </c>
      <c r="E109">
        <f t="shared" si="19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f t="shared" si="21"/>
        <v>33.685084090738826</v>
      </c>
      <c r="P109">
        <f t="shared" si="22"/>
        <v>35.402746800877338</v>
      </c>
      <c r="Q109">
        <f t="shared" si="32"/>
        <v>89.922976874228439</v>
      </c>
      <c r="R109">
        <f t="shared" si="23"/>
        <v>15279.315297302403</v>
      </c>
      <c r="S109">
        <f t="shared" si="24"/>
        <v>36720.296316516229</v>
      </c>
      <c r="T109">
        <f t="shared" si="25"/>
        <v>97308.785238768003</v>
      </c>
      <c r="U109">
        <v>91.5</v>
      </c>
      <c r="V109">
        <v>0.12690000000000001</v>
      </c>
      <c r="W109">
        <v>0</v>
      </c>
    </row>
    <row r="110" spans="1:29" x14ac:dyDescent="0.25">
      <c r="A110" t="s">
        <v>41</v>
      </c>
      <c r="B110" t="s">
        <v>42</v>
      </c>
      <c r="C110">
        <v>9</v>
      </c>
      <c r="D110">
        <v>4</v>
      </c>
      <c r="E110">
        <f t="shared" si="19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f t="shared" si="21"/>
        <v>34.419423392181123</v>
      </c>
      <c r="P110">
        <f t="shared" si="22"/>
        <v>35.649893333371722</v>
      </c>
      <c r="Q110">
        <f t="shared" si="32"/>
        <v>90.550729066764177</v>
      </c>
      <c r="R110">
        <f t="shared" si="23"/>
        <v>15612.40639755655</v>
      </c>
      <c r="S110">
        <f t="shared" si="24"/>
        <v>37520.803647095767</v>
      </c>
      <c r="T110">
        <f t="shared" si="25"/>
        <v>99430.129664803782</v>
      </c>
      <c r="U110">
        <v>91.5</v>
      </c>
      <c r="V110">
        <v>0.12690000000000001</v>
      </c>
      <c r="W110">
        <v>0</v>
      </c>
    </row>
    <row r="111" spans="1:29" x14ac:dyDescent="0.25">
      <c r="A111" t="s">
        <v>41</v>
      </c>
      <c r="B111" t="s">
        <v>42</v>
      </c>
      <c r="C111">
        <v>10</v>
      </c>
      <c r="D111">
        <v>4</v>
      </c>
      <c r="E111">
        <f t="shared" si="19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f t="shared" si="21"/>
        <v>34.866637361856597</v>
      </c>
      <c r="P111">
        <f t="shared" si="22"/>
        <v>35.798660346177684</v>
      </c>
      <c r="Q111">
        <f t="shared" si="32"/>
        <v>90.92859727929131</v>
      </c>
      <c r="R111">
        <f t="shared" si="23"/>
        <v>15815.259483201911</v>
      </c>
      <c r="S111">
        <f t="shared" si="24"/>
        <v>38008.314066815459</v>
      </c>
      <c r="T111">
        <f t="shared" si="25"/>
        <v>100722.03227706096</v>
      </c>
      <c r="U111">
        <v>91.5</v>
      </c>
      <c r="V111">
        <v>0.12690000000000001</v>
      </c>
      <c r="W111">
        <v>0</v>
      </c>
    </row>
    <row r="112" spans="1:29" x14ac:dyDescent="0.25">
      <c r="A112" t="s">
        <v>43</v>
      </c>
      <c r="B112" t="s">
        <v>44</v>
      </c>
      <c r="C112">
        <v>1</v>
      </c>
      <c r="D112">
        <v>2</v>
      </c>
      <c r="E112">
        <f t="shared" si="19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f t="shared" si="21"/>
        <v>0.71114115274024581</v>
      </c>
      <c r="P112">
        <f t="shared" si="22"/>
        <v>11.098206692228981</v>
      </c>
      <c r="Q112" s="2">
        <f t="shared" ref="Q112:Q121" si="33">$AC$114*(1-EXP(-$AC$115*(E112-0)))</f>
        <v>28.189444998261614</v>
      </c>
      <c r="R112" s="2">
        <f t="shared" si="23"/>
        <v>322.56858449086275</v>
      </c>
      <c r="S112" s="2">
        <f t="shared" si="24"/>
        <v>775.21890048272712</v>
      </c>
      <c r="T112" s="2">
        <f t="shared" si="25"/>
        <v>2054.3300862792266</v>
      </c>
      <c r="U112" s="2">
        <f t="shared" ref="U112:U121" si="34">$AC$114</f>
        <v>47.633333333333333</v>
      </c>
      <c r="V112" s="2">
        <f t="shared" ref="V112:V121" si="35">$AC$115</f>
        <v>0.44799999999999995</v>
      </c>
      <c r="W112" s="2">
        <v>0</v>
      </c>
      <c r="Y112" t="s">
        <v>474</v>
      </c>
      <c r="Z112" t="s">
        <v>475</v>
      </c>
      <c r="AA112" t="s">
        <v>476</v>
      </c>
      <c r="AC112" t="s">
        <v>453</v>
      </c>
    </row>
    <row r="113" spans="1:39" x14ac:dyDescent="0.25">
      <c r="A113" t="s">
        <v>43</v>
      </c>
      <c r="B113" t="s">
        <v>44</v>
      </c>
      <c r="C113">
        <v>2</v>
      </c>
      <c r="D113">
        <v>2</v>
      </c>
      <c r="E113">
        <f t="shared" si="19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f t="shared" si="21"/>
        <v>1.985857524505982</v>
      </c>
      <c r="P113">
        <f t="shared" si="22"/>
        <v>15.628485733024908</v>
      </c>
      <c r="Q113" s="2">
        <f t="shared" si="33"/>
        <v>39.696353761883266</v>
      </c>
      <c r="R113" s="2">
        <f t="shared" si="23"/>
        <v>900.77089226532553</v>
      </c>
      <c r="S113" s="2">
        <f t="shared" si="24"/>
        <v>2164.7942616326013</v>
      </c>
      <c r="T113" s="2">
        <f t="shared" si="25"/>
        <v>5736.704793326393</v>
      </c>
      <c r="U113" s="2">
        <f t="shared" si="34"/>
        <v>47.633333333333333</v>
      </c>
      <c r="V113" s="2">
        <f t="shared" si="35"/>
        <v>0.44799999999999995</v>
      </c>
      <c r="W113" s="2">
        <v>0</v>
      </c>
      <c r="X113" t="s">
        <v>422</v>
      </c>
      <c r="Y113">
        <v>55</v>
      </c>
      <c r="Z113">
        <v>170</v>
      </c>
      <c r="AA113">
        <v>36</v>
      </c>
      <c r="AC113">
        <f>AVERAGE(Y113:AA113)</f>
        <v>87</v>
      </c>
    </row>
    <row r="114" spans="1:39" x14ac:dyDescent="0.25">
      <c r="A114" t="s">
        <v>43</v>
      </c>
      <c r="B114" t="s">
        <v>44</v>
      </c>
      <c r="C114">
        <v>3</v>
      </c>
      <c r="D114">
        <v>2</v>
      </c>
      <c r="E114">
        <f t="shared" si="19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f t="shared" si="21"/>
        <v>2.777495453994816</v>
      </c>
      <c r="P114">
        <f t="shared" si="22"/>
        <v>17.477741991862246</v>
      </c>
      <c r="Q114" s="2">
        <f t="shared" si="33"/>
        <v>44.393464659330107</v>
      </c>
      <c r="R114" s="2">
        <f t="shared" si="23"/>
        <v>1259.8522439217716</v>
      </c>
      <c r="S114" s="2">
        <f t="shared" si="24"/>
        <v>3027.7631432871221</v>
      </c>
      <c r="T114" s="2">
        <f t="shared" si="25"/>
        <v>8023.5723297108734</v>
      </c>
      <c r="U114" s="2">
        <f t="shared" si="34"/>
        <v>47.633333333333333</v>
      </c>
      <c r="V114" s="2">
        <f t="shared" si="35"/>
        <v>0.44799999999999995</v>
      </c>
      <c r="W114" s="2">
        <v>0</v>
      </c>
      <c r="X114" t="s">
        <v>18</v>
      </c>
      <c r="Y114">
        <v>39</v>
      </c>
      <c r="Z114">
        <v>79.8</v>
      </c>
      <c r="AA114">
        <v>24.1</v>
      </c>
      <c r="AC114">
        <f>AVERAGE(Y114:AA114)</f>
        <v>47.633333333333333</v>
      </c>
    </row>
    <row r="115" spans="1:39" x14ac:dyDescent="0.25">
      <c r="A115" t="s">
        <v>43</v>
      </c>
      <c r="B115" t="s">
        <v>44</v>
      </c>
      <c r="C115">
        <v>4</v>
      </c>
      <c r="D115">
        <v>2</v>
      </c>
      <c r="E115">
        <f t="shared" si="19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f t="shared" si="21"/>
        <v>3.1531431748360164</v>
      </c>
      <c r="P115">
        <f t="shared" si="22"/>
        <v>18.232606908582309</v>
      </c>
      <c r="Q115" s="2">
        <f t="shared" si="33"/>
        <v>46.310821547799065</v>
      </c>
      <c r="R115" s="2">
        <f t="shared" si="23"/>
        <v>1430.2433865409987</v>
      </c>
      <c r="S115" s="2">
        <f t="shared" si="24"/>
        <v>3437.2587996659422</v>
      </c>
      <c r="T115" s="2">
        <f t="shared" si="25"/>
        <v>9108.7358191147468</v>
      </c>
      <c r="U115" s="2">
        <f t="shared" si="34"/>
        <v>47.633333333333333</v>
      </c>
      <c r="V115" s="2">
        <f t="shared" si="35"/>
        <v>0.44799999999999995</v>
      </c>
      <c r="W115" s="2">
        <v>0</v>
      </c>
      <c r="X115" t="s">
        <v>19</v>
      </c>
      <c r="Y115">
        <v>0.4</v>
      </c>
      <c r="Z115">
        <v>0.219</v>
      </c>
      <c r="AA115">
        <v>0.72499999999999998</v>
      </c>
      <c r="AC115">
        <f>AVERAGE(Y115:AA115)</f>
        <v>0.44799999999999995</v>
      </c>
    </row>
    <row r="116" spans="1:39" x14ac:dyDescent="0.25">
      <c r="A116" t="s">
        <v>43</v>
      </c>
      <c r="B116" t="s">
        <v>44</v>
      </c>
      <c r="C116">
        <v>5</v>
      </c>
      <c r="D116">
        <v>2</v>
      </c>
      <c r="E116">
        <f t="shared" si="19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f t="shared" si="21"/>
        <v>3.3157267116091043</v>
      </c>
      <c r="P116">
        <f t="shared" si="22"/>
        <v>18.540742160130975</v>
      </c>
      <c r="Q116" s="2">
        <f t="shared" si="33"/>
        <v>47.093485086732677</v>
      </c>
      <c r="R116" s="2">
        <f t="shared" si="23"/>
        <v>1503.9901260122399</v>
      </c>
      <c r="S116" s="2">
        <f t="shared" si="24"/>
        <v>3614.4920115651048</v>
      </c>
      <c r="T116" s="2">
        <f t="shared" si="25"/>
        <v>9578.4038306475268</v>
      </c>
      <c r="U116" s="2">
        <f t="shared" si="34"/>
        <v>47.633333333333333</v>
      </c>
      <c r="V116" s="2">
        <f t="shared" si="35"/>
        <v>0.44799999999999995</v>
      </c>
      <c r="W116" s="2">
        <v>0</v>
      </c>
      <c r="X116" t="s">
        <v>477</v>
      </c>
      <c r="AA116">
        <v>-1.1299999999999999</v>
      </c>
    </row>
    <row r="117" spans="1:39" x14ac:dyDescent="0.25">
      <c r="A117" t="s">
        <v>43</v>
      </c>
      <c r="B117" t="s">
        <v>44</v>
      </c>
      <c r="C117">
        <v>6</v>
      </c>
      <c r="D117">
        <v>2</v>
      </c>
      <c r="E117">
        <f t="shared" ref="E117:E180" si="36">C117*D117</f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f t="shared" si="21"/>
        <v>3.3836673032858817</v>
      </c>
      <c r="P117">
        <f t="shared" si="22"/>
        <v>18.666522721849898</v>
      </c>
      <c r="Q117" s="2">
        <f t="shared" si="33"/>
        <v>47.412967713498745</v>
      </c>
      <c r="R117" s="2">
        <f t="shared" si="23"/>
        <v>1534.8074966596882</v>
      </c>
      <c r="S117" s="2">
        <f t="shared" si="24"/>
        <v>3688.5544260026159</v>
      </c>
      <c r="T117" s="2">
        <f t="shared" si="25"/>
        <v>9774.6692289069324</v>
      </c>
      <c r="U117" s="2">
        <f t="shared" si="34"/>
        <v>47.633333333333333</v>
      </c>
      <c r="V117" s="2">
        <f t="shared" si="35"/>
        <v>0.44799999999999995</v>
      </c>
      <c r="W117" s="2">
        <v>0</v>
      </c>
      <c r="X117" t="s">
        <v>423</v>
      </c>
      <c r="Y117" t="s">
        <v>428</v>
      </c>
      <c r="Z117" t="s">
        <v>478</v>
      </c>
      <c r="AA117" t="s">
        <v>479</v>
      </c>
    </row>
    <row r="118" spans="1:39" x14ac:dyDescent="0.25">
      <c r="A118" t="s">
        <v>43</v>
      </c>
      <c r="B118" t="s">
        <v>44</v>
      </c>
      <c r="C118">
        <v>7</v>
      </c>
      <c r="D118">
        <v>2</v>
      </c>
      <c r="E118">
        <f t="shared" si="36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f t="shared" si="21"/>
        <v>3.4116651846413717</v>
      </c>
      <c r="P118">
        <f t="shared" si="22"/>
        <v>18.717866245925169</v>
      </c>
      <c r="Q118" s="2">
        <f t="shared" si="33"/>
        <v>47.543380264649933</v>
      </c>
      <c r="R118" s="2">
        <f t="shared" si="23"/>
        <v>1547.5071371217587</v>
      </c>
      <c r="S118" s="2">
        <f t="shared" si="24"/>
        <v>3719.0750711890378</v>
      </c>
      <c r="T118" s="2">
        <f t="shared" si="25"/>
        <v>9855.5489386509489</v>
      </c>
      <c r="U118" s="2">
        <f t="shared" si="34"/>
        <v>47.633333333333333</v>
      </c>
      <c r="V118" s="2">
        <f t="shared" si="35"/>
        <v>0.44799999999999995</v>
      </c>
      <c r="W118" s="2">
        <v>0</v>
      </c>
      <c r="X118" t="s">
        <v>434</v>
      </c>
      <c r="Y118" s="7" t="s">
        <v>480</v>
      </c>
      <c r="Z118" s="7" t="s">
        <v>481</v>
      </c>
      <c r="AA118" s="7" t="s">
        <v>482</v>
      </c>
    </row>
    <row r="119" spans="1:39" x14ac:dyDescent="0.25">
      <c r="A119" t="s">
        <v>43</v>
      </c>
      <c r="B119" t="s">
        <v>44</v>
      </c>
      <c r="C119">
        <v>8</v>
      </c>
      <c r="D119">
        <v>2</v>
      </c>
      <c r="E119">
        <f t="shared" si="36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f t="shared" si="21"/>
        <v>3.4231381405788768</v>
      </c>
      <c r="P119">
        <f t="shared" si="22"/>
        <v>18.738824631135429</v>
      </c>
      <c r="Q119" s="2">
        <f t="shared" si="33"/>
        <v>47.596614563083989</v>
      </c>
      <c r="R119" s="2">
        <f t="shared" si="23"/>
        <v>1552.7111885852785</v>
      </c>
      <c r="S119" s="2">
        <f t="shared" si="24"/>
        <v>3731.5818038579146</v>
      </c>
      <c r="T119" s="2">
        <f t="shared" si="25"/>
        <v>9888.691780223473</v>
      </c>
      <c r="U119" s="2">
        <f t="shared" si="34"/>
        <v>47.633333333333333</v>
      </c>
      <c r="V119" s="2">
        <f t="shared" si="35"/>
        <v>0.44799999999999995</v>
      </c>
      <c r="W119" s="2">
        <v>0</v>
      </c>
    </row>
    <row r="120" spans="1:39" x14ac:dyDescent="0.25">
      <c r="A120" t="s">
        <v>43</v>
      </c>
      <c r="B120" t="s">
        <v>44</v>
      </c>
      <c r="C120">
        <v>9</v>
      </c>
      <c r="D120">
        <v>2</v>
      </c>
      <c r="E120">
        <f t="shared" si="36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f t="shared" si="21"/>
        <v>3.4278287746907621</v>
      </c>
      <c r="P120">
        <f t="shared" si="22"/>
        <v>18.747379827112582</v>
      </c>
      <c r="Q120" s="2">
        <f t="shared" si="33"/>
        <v>47.618344760865959</v>
      </c>
      <c r="R120" s="2">
        <f t="shared" si="23"/>
        <v>1554.8388269591867</v>
      </c>
      <c r="S120" s="2">
        <f t="shared" si="24"/>
        <v>3736.6950900244819</v>
      </c>
      <c r="T120" s="2">
        <f t="shared" si="25"/>
        <v>9902.241988564876</v>
      </c>
      <c r="U120" s="2">
        <f t="shared" si="34"/>
        <v>47.633333333333333</v>
      </c>
      <c r="V120" s="2">
        <f t="shared" si="35"/>
        <v>0.44799999999999995</v>
      </c>
      <c r="W120" s="2">
        <v>0</v>
      </c>
    </row>
    <row r="121" spans="1:39" x14ac:dyDescent="0.25">
      <c r="A121" t="s">
        <v>43</v>
      </c>
      <c r="B121" t="s">
        <v>44</v>
      </c>
      <c r="C121">
        <v>10</v>
      </c>
      <c r="D121">
        <v>2</v>
      </c>
      <c r="E121">
        <f t="shared" si="36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f t="shared" si="21"/>
        <v>3.4297447186421808</v>
      </c>
      <c r="P121">
        <f t="shared" si="22"/>
        <v>18.750872051225898</v>
      </c>
      <c r="Q121" s="2">
        <f t="shared" si="33"/>
        <v>47.62721501011378</v>
      </c>
      <c r="R121" s="2">
        <f t="shared" si="23"/>
        <v>1555.7078855504262</v>
      </c>
      <c r="S121" s="2">
        <f t="shared" si="24"/>
        <v>3738.783671113737</v>
      </c>
      <c r="T121" s="2">
        <f t="shared" si="25"/>
        <v>9907.776728451403</v>
      </c>
      <c r="U121" s="2">
        <f t="shared" si="34"/>
        <v>47.633333333333333</v>
      </c>
      <c r="V121" s="2">
        <f t="shared" si="35"/>
        <v>0.44799999999999995</v>
      </c>
      <c r="W121" s="2">
        <v>0</v>
      </c>
    </row>
    <row r="122" spans="1:39" x14ac:dyDescent="0.25">
      <c r="A122" t="s">
        <v>45</v>
      </c>
      <c r="B122" t="s">
        <v>46</v>
      </c>
      <c r="C122">
        <v>1</v>
      </c>
      <c r="D122">
        <v>5</v>
      </c>
      <c r="E122">
        <f t="shared" si="36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f t="shared" si="21"/>
        <v>236.49415018863132</v>
      </c>
      <c r="P122">
        <f t="shared" si="22"/>
        <v>82.777750262180959</v>
      </c>
      <c r="Q122" s="2">
        <f t="shared" ref="Q122:Q161" si="37">U122*(1-EXP(-V122*(E122-W122)))</f>
        <v>210.25548566593963</v>
      </c>
      <c r="R122" s="2">
        <f t="shared" si="23"/>
        <v>107272.06964857042</v>
      </c>
      <c r="S122" s="2">
        <f t="shared" si="24"/>
        <v>257803.58002540361</v>
      </c>
      <c r="T122" s="2">
        <f t="shared" si="25"/>
        <v>683179.48706731957</v>
      </c>
      <c r="U122" s="2">
        <f t="shared" ref="U122:U131" si="38">$AM$124</f>
        <v>300.78571428571428</v>
      </c>
      <c r="V122" s="2">
        <f t="shared" ref="V122:V131" si="39">$AM$125</f>
        <v>0.24014285714285719</v>
      </c>
      <c r="W122" s="2">
        <v>0</v>
      </c>
      <c r="Y122" t="s">
        <v>483</v>
      </c>
      <c r="Z122" t="s">
        <v>484</v>
      </c>
      <c r="AA122" t="s">
        <v>485</v>
      </c>
      <c r="AB122" t="s">
        <v>486</v>
      </c>
      <c r="AC122" t="s">
        <v>487</v>
      </c>
      <c r="AD122" t="s">
        <v>488</v>
      </c>
      <c r="AE122" t="s">
        <v>489</v>
      </c>
      <c r="AF122" t="s">
        <v>490</v>
      </c>
      <c r="AG122" t="s">
        <v>491</v>
      </c>
      <c r="AH122" t="s">
        <v>492</v>
      </c>
      <c r="AI122" t="s">
        <v>493</v>
      </c>
      <c r="AJ122" t="s">
        <v>494</v>
      </c>
      <c r="AK122" t="s">
        <v>495</v>
      </c>
    </row>
    <row r="123" spans="1:39" x14ac:dyDescent="0.25">
      <c r="A123" t="s">
        <v>45</v>
      </c>
      <c r="B123" t="s">
        <v>46</v>
      </c>
      <c r="C123">
        <v>2</v>
      </c>
      <c r="D123">
        <v>5</v>
      </c>
      <c r="E123">
        <f t="shared" si="36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f t="shared" si="21"/>
        <v>502.79687483030051</v>
      </c>
      <c r="P123">
        <f t="shared" si="22"/>
        <v>104.78036841309248</v>
      </c>
      <c r="Q123" s="2">
        <f t="shared" si="37"/>
        <v>266.14213576925488</v>
      </c>
      <c r="R123" s="2">
        <f t="shared" si="23"/>
        <v>228065.09730942317</v>
      </c>
      <c r="S123" s="2">
        <f t="shared" si="24"/>
        <v>548101.6517890488</v>
      </c>
      <c r="T123" s="2">
        <f t="shared" si="25"/>
        <v>1452469.3772409793</v>
      </c>
      <c r="U123" s="2">
        <f t="shared" si="38"/>
        <v>300.78571428571428</v>
      </c>
      <c r="V123" s="2">
        <f t="shared" si="39"/>
        <v>0.24014285714285719</v>
      </c>
      <c r="W123" s="2">
        <v>1</v>
      </c>
      <c r="X123" t="s">
        <v>422</v>
      </c>
      <c r="Y123">
        <v>70</v>
      </c>
      <c r="Z123">
        <v>450</v>
      </c>
      <c r="AA123">
        <v>48</v>
      </c>
      <c r="AB123">
        <v>152</v>
      </c>
      <c r="AC123">
        <v>430</v>
      </c>
      <c r="AD123">
        <v>360</v>
      </c>
      <c r="AE123">
        <v>340</v>
      </c>
      <c r="AF123">
        <v>110</v>
      </c>
      <c r="AG123">
        <v>430</v>
      </c>
      <c r="AH123">
        <v>573</v>
      </c>
      <c r="AI123">
        <v>487</v>
      </c>
      <c r="AM123">
        <f>AVERAGE(Y123:AI123)</f>
        <v>313.63636363636363</v>
      </c>
    </row>
    <row r="124" spans="1:39" x14ac:dyDescent="0.25">
      <c r="A124" t="s">
        <v>45</v>
      </c>
      <c r="B124" t="s">
        <v>46</v>
      </c>
      <c r="C124">
        <v>3</v>
      </c>
      <c r="D124">
        <v>5</v>
      </c>
      <c r="E124">
        <f t="shared" si="36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f t="shared" si="21"/>
        <v>643.88434170857965</v>
      </c>
      <c r="P124">
        <f t="shared" si="22"/>
        <v>113.2002016676865</v>
      </c>
      <c r="Q124" s="2">
        <f t="shared" si="37"/>
        <v>287.5285122359237</v>
      </c>
      <c r="R124" s="2">
        <f t="shared" si="23"/>
        <v>292061.37189564627</v>
      </c>
      <c r="S124" s="2">
        <f t="shared" si="24"/>
        <v>701901.87910513394</v>
      </c>
      <c r="T124" s="2">
        <f t="shared" si="25"/>
        <v>1860039.9796286048</v>
      </c>
      <c r="U124" s="2">
        <f t="shared" si="38"/>
        <v>300.78571428571428</v>
      </c>
      <c r="V124" s="2">
        <f t="shared" si="39"/>
        <v>0.24014285714285719</v>
      </c>
      <c r="W124" s="2">
        <v>2</v>
      </c>
      <c r="X124" t="s">
        <v>18</v>
      </c>
      <c r="AC124">
        <v>449</v>
      </c>
      <c r="AD124">
        <v>285</v>
      </c>
      <c r="AE124">
        <v>250</v>
      </c>
      <c r="AF124">
        <v>92.5</v>
      </c>
      <c r="AG124">
        <v>329</v>
      </c>
      <c r="AH124">
        <v>416</v>
      </c>
      <c r="AI124">
        <v>284</v>
      </c>
      <c r="AM124">
        <f>AVERAGE(Y124:AI124)</f>
        <v>300.78571428571428</v>
      </c>
    </row>
    <row r="125" spans="1:39" x14ac:dyDescent="0.25">
      <c r="A125" t="s">
        <v>45</v>
      </c>
      <c r="B125" t="s">
        <v>46</v>
      </c>
      <c r="C125">
        <v>4</v>
      </c>
      <c r="D125">
        <v>5</v>
      </c>
      <c r="E125">
        <f t="shared" si="36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>
        <f t="shared" si="21"/>
        <v>704.38814000550622</v>
      </c>
      <c r="P125">
        <f t="shared" si="22"/>
        <v>116.4222542229289</v>
      </c>
      <c r="Q125" s="2">
        <f t="shared" si="37"/>
        <v>295.71252572623939</v>
      </c>
      <c r="R125" s="2">
        <f t="shared" si="23"/>
        <v>319505.46579705627</v>
      </c>
      <c r="S125" s="2">
        <f t="shared" si="24"/>
        <v>767857.40398235095</v>
      </c>
      <c r="T125" s="2">
        <f t="shared" si="25"/>
        <v>2034822.1205532299</v>
      </c>
      <c r="U125" s="2">
        <f t="shared" si="38"/>
        <v>300.78571428571428</v>
      </c>
      <c r="V125" s="2">
        <f t="shared" si="39"/>
        <v>0.24014285714285719</v>
      </c>
      <c r="W125" s="2">
        <v>3</v>
      </c>
      <c r="X125" t="s">
        <v>19</v>
      </c>
      <c r="AC125">
        <v>0.14099999999999999</v>
      </c>
      <c r="AD125">
        <v>0.1</v>
      </c>
      <c r="AE125">
        <v>0.54</v>
      </c>
      <c r="AF125">
        <v>0.5</v>
      </c>
      <c r="AG125">
        <v>0.1</v>
      </c>
      <c r="AH125">
        <v>0.2</v>
      </c>
      <c r="AI125">
        <v>0.1</v>
      </c>
      <c r="AM125">
        <f>AVERAGE(Y125:AI125)</f>
        <v>0.24014285714285719</v>
      </c>
    </row>
    <row r="126" spans="1:39" x14ac:dyDescent="0.25">
      <c r="A126" t="s">
        <v>45</v>
      </c>
      <c r="B126" t="s">
        <v>46</v>
      </c>
      <c r="C126">
        <v>5</v>
      </c>
      <c r="D126">
        <v>5</v>
      </c>
      <c r="E126">
        <f t="shared" si="36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f t="shared" si="21"/>
        <v>728.53936450918093</v>
      </c>
      <c r="P126">
        <f t="shared" si="22"/>
        <v>117.65525045395043</v>
      </c>
      <c r="Q126" s="2">
        <f t="shared" si="37"/>
        <v>298.84433615303408</v>
      </c>
      <c r="R126" s="2">
        <f t="shared" si="23"/>
        <v>330460.2899861114</v>
      </c>
      <c r="S126" s="2">
        <f t="shared" si="24"/>
        <v>794184.78727736452</v>
      </c>
      <c r="T126" s="2">
        <f t="shared" si="25"/>
        <v>2104589.6862850161</v>
      </c>
      <c r="U126" s="2">
        <f t="shared" si="38"/>
        <v>300.78571428571428</v>
      </c>
      <c r="V126" s="2">
        <f t="shared" si="39"/>
        <v>0.24014285714285719</v>
      </c>
      <c r="W126" s="2">
        <v>4</v>
      </c>
      <c r="X126" t="s">
        <v>477</v>
      </c>
    </row>
    <row r="127" spans="1:39" x14ac:dyDescent="0.25">
      <c r="A127" t="s">
        <v>45</v>
      </c>
      <c r="B127" t="s">
        <v>46</v>
      </c>
      <c r="C127">
        <v>6</v>
      </c>
      <c r="D127">
        <v>5</v>
      </c>
      <c r="E127">
        <f t="shared" si="36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f t="shared" si="21"/>
        <v>737.93004883363142</v>
      </c>
      <c r="P127">
        <f t="shared" si="22"/>
        <v>118.12708624174343</v>
      </c>
      <c r="Q127" s="2">
        <f t="shared" si="37"/>
        <v>300.04279905402831</v>
      </c>
      <c r="R127" s="2">
        <f t="shared" si="23"/>
        <v>334719.83781043056</v>
      </c>
      <c r="S127" s="2">
        <f t="shared" si="24"/>
        <v>804421.62415388261</v>
      </c>
      <c r="T127" s="2">
        <f t="shared" si="25"/>
        <v>2131717.3040077887</v>
      </c>
      <c r="U127" s="2">
        <f t="shared" si="38"/>
        <v>300.78571428571428</v>
      </c>
      <c r="V127" s="2">
        <f t="shared" si="39"/>
        <v>0.24014285714285719</v>
      </c>
      <c r="W127" s="2">
        <v>5</v>
      </c>
      <c r="X127" t="s">
        <v>423</v>
      </c>
      <c r="AD127" t="s">
        <v>426</v>
      </c>
      <c r="AE127" t="s">
        <v>496</v>
      </c>
      <c r="AF127" t="s">
        <v>428</v>
      </c>
      <c r="AG127" t="s">
        <v>428</v>
      </c>
      <c r="AH127" t="s">
        <v>428</v>
      </c>
      <c r="AI127" t="s">
        <v>428</v>
      </c>
    </row>
    <row r="128" spans="1:39" x14ac:dyDescent="0.25">
      <c r="A128" t="s">
        <v>45</v>
      </c>
      <c r="B128" t="s">
        <v>46</v>
      </c>
      <c r="C128">
        <v>7</v>
      </c>
      <c r="D128">
        <v>5</v>
      </c>
      <c r="E128">
        <f t="shared" si="36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>
        <f t="shared" si="21"/>
        <v>741.54552690168384</v>
      </c>
      <c r="P128">
        <f t="shared" si="22"/>
        <v>118.30764560197586</v>
      </c>
      <c r="Q128" s="2">
        <f t="shared" si="37"/>
        <v>300.50141982901869</v>
      </c>
      <c r="R128" s="2">
        <f t="shared" si="23"/>
        <v>336359.79302631918</v>
      </c>
      <c r="S128" s="2">
        <f t="shared" si="24"/>
        <v>808362.87677558069</v>
      </c>
      <c r="T128" s="2">
        <f t="shared" si="25"/>
        <v>2142161.6234552888</v>
      </c>
      <c r="U128" s="2">
        <f t="shared" si="38"/>
        <v>300.78571428571428</v>
      </c>
      <c r="V128" s="2">
        <f t="shared" si="39"/>
        <v>0.24014285714285719</v>
      </c>
      <c r="W128" s="2">
        <v>6</v>
      </c>
      <c r="X128" t="s">
        <v>434</v>
      </c>
      <c r="Y128" s="7" t="s">
        <v>497</v>
      </c>
      <c r="Z128" s="7" t="s">
        <v>498</v>
      </c>
      <c r="AA128" s="7" t="s">
        <v>499</v>
      </c>
      <c r="AB128" s="7" t="s">
        <v>500</v>
      </c>
      <c r="AC128" s="7" t="s">
        <v>501</v>
      </c>
      <c r="AD128" s="7" t="s">
        <v>502</v>
      </c>
      <c r="AE128" s="7" t="s">
        <v>503</v>
      </c>
      <c r="AF128" s="7" t="s">
        <v>504</v>
      </c>
      <c r="AG128" s="7" t="s">
        <v>505</v>
      </c>
      <c r="AH128" s="7" t="s">
        <v>506</v>
      </c>
      <c r="AI128" s="7" t="s">
        <v>507</v>
      </c>
    </row>
    <row r="129" spans="1:97" x14ac:dyDescent="0.25">
      <c r="A129" t="s">
        <v>45</v>
      </c>
      <c r="B129" t="s">
        <v>46</v>
      </c>
      <c r="C129">
        <v>8</v>
      </c>
      <c r="D129">
        <v>5</v>
      </c>
      <c r="E129">
        <f t="shared" si="36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f t="shared" si="21"/>
        <v>742.9322926417459</v>
      </c>
      <c r="P129">
        <f t="shared" si="22"/>
        <v>118.37674100213623</v>
      </c>
      <c r="Q129" s="2">
        <f t="shared" si="37"/>
        <v>300.67692214542603</v>
      </c>
      <c r="R129" s="2">
        <f t="shared" si="23"/>
        <v>336988.82013305963</v>
      </c>
      <c r="S129" s="2">
        <f t="shared" si="24"/>
        <v>809874.5977723134</v>
      </c>
      <c r="T129" s="2">
        <f t="shared" si="25"/>
        <v>2146167.6840966307</v>
      </c>
      <c r="U129" s="2">
        <f t="shared" si="38"/>
        <v>300.78571428571428</v>
      </c>
      <c r="V129" s="2">
        <f t="shared" si="39"/>
        <v>0.24014285714285719</v>
      </c>
      <c r="W129" s="2">
        <v>7</v>
      </c>
    </row>
    <row r="130" spans="1:97" x14ac:dyDescent="0.25">
      <c r="A130" t="s">
        <v>45</v>
      </c>
      <c r="B130" t="s">
        <v>46</v>
      </c>
      <c r="C130">
        <v>9</v>
      </c>
      <c r="D130">
        <v>5</v>
      </c>
      <c r="E130">
        <f t="shared" si="36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f t="shared" ref="O130:O193" si="40">R130*0.00220462</f>
        <v>743.46344339640029</v>
      </c>
      <c r="P130">
        <f t="shared" ref="P130:P193" si="41">Q130/2.54</f>
        <v>118.40318202583714</v>
      </c>
      <c r="Q130" s="2">
        <f t="shared" si="37"/>
        <v>300.74408234562634</v>
      </c>
      <c r="R130" s="2">
        <f t="shared" ref="R130:R193" si="42">L130*(Q130^M130)</f>
        <v>337229.74634921225</v>
      </c>
      <c r="S130" s="2">
        <f t="shared" ref="S130:S193" si="43">R130/20/5.7/3.65*1000</f>
        <v>810453.60814518679</v>
      </c>
      <c r="T130" s="2">
        <f t="shared" ref="T130:T193" si="44">S130*2.65</f>
        <v>2147702.0615847451</v>
      </c>
      <c r="U130" s="2">
        <f t="shared" si="38"/>
        <v>300.78571428571428</v>
      </c>
      <c r="V130" s="2">
        <f t="shared" si="39"/>
        <v>0.24014285714285719</v>
      </c>
      <c r="W130" s="2">
        <v>8</v>
      </c>
    </row>
    <row r="131" spans="1:97" x14ac:dyDescent="0.25">
      <c r="A131" t="s">
        <v>45</v>
      </c>
      <c r="B131" t="s">
        <v>46</v>
      </c>
      <c r="C131">
        <v>10</v>
      </c>
      <c r="D131">
        <v>5</v>
      </c>
      <c r="E131">
        <f t="shared" si="36"/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f t="shared" si="40"/>
        <v>743.66677011026241</v>
      </c>
      <c r="P131">
        <f t="shared" si="41"/>
        <v>118.41330032217421</v>
      </c>
      <c r="Q131" s="2">
        <f t="shared" si="37"/>
        <v>300.76978281832248</v>
      </c>
      <c r="R131" s="2">
        <f t="shared" si="42"/>
        <v>337321.97390491894</v>
      </c>
      <c r="S131" s="2">
        <f t="shared" si="43"/>
        <v>810675.25571958418</v>
      </c>
      <c r="T131" s="2">
        <f t="shared" si="44"/>
        <v>2148289.4276568978</v>
      </c>
      <c r="U131" s="2">
        <f t="shared" si="38"/>
        <v>300.78571428571428</v>
      </c>
      <c r="V131" s="2">
        <f t="shared" si="39"/>
        <v>0.24014285714285719</v>
      </c>
      <c r="W131" s="2">
        <v>9</v>
      </c>
      <c r="AE131" t="s">
        <v>508</v>
      </c>
    </row>
    <row r="132" spans="1:97" x14ac:dyDescent="0.25">
      <c r="A132" s="2" t="s">
        <v>47</v>
      </c>
      <c r="B132" t="s">
        <v>48</v>
      </c>
      <c r="C132">
        <v>1</v>
      </c>
      <c r="D132">
        <v>1</v>
      </c>
      <c r="E132">
        <f t="shared" si="36"/>
        <v>1</v>
      </c>
      <c r="F132">
        <v>48.065368900000003</v>
      </c>
      <c r="G132">
        <v>127.37322760000001</v>
      </c>
      <c r="H132">
        <f t="shared" ref="H132:H161" si="45">F132*3.65*5.7*20/1000</f>
        <v>19.999999999290001</v>
      </c>
      <c r="I132">
        <f t="shared" ref="I132:J161" si="46">H132/1000</f>
        <v>1.9999999999290002E-2</v>
      </c>
      <c r="J132">
        <f t="shared" si="46"/>
        <v>1.9999999999290002E-5</v>
      </c>
      <c r="K132">
        <f t="shared" ref="K132:K161" si="47">I132*2.20462</f>
        <v>4.4092399998434721E-2</v>
      </c>
      <c r="L132" s="3">
        <v>1.23E-2</v>
      </c>
      <c r="M132" s="3">
        <v>3.2</v>
      </c>
      <c r="N132">
        <f t="shared" ref="N132:N161" si="48">(H132/L132)^(1/M132)</f>
        <v>10.080371233277278</v>
      </c>
      <c r="O132">
        <f t="shared" si="40"/>
        <v>0.25186145377015484</v>
      </c>
      <c r="P132">
        <f t="shared" si="41"/>
        <v>6.8413557525043736</v>
      </c>
      <c r="Q132" s="2">
        <f t="shared" si="37"/>
        <v>17.37704361136111</v>
      </c>
      <c r="R132" s="2">
        <f t="shared" si="42"/>
        <v>114.24256959029441</v>
      </c>
      <c r="S132" s="2">
        <f t="shared" si="43"/>
        <v>274.55556258181787</v>
      </c>
      <c r="T132" s="2">
        <f t="shared" si="44"/>
        <v>727.57224084181735</v>
      </c>
      <c r="U132" s="2">
        <f t="shared" ref="U132:U141" si="49">$AH$134</f>
        <v>39.200000000000003</v>
      </c>
      <c r="V132" s="2">
        <f t="shared" ref="V132:V141" si="50">$AH$135</f>
        <v>0.58571428571428563</v>
      </c>
      <c r="W132" s="2">
        <v>0</v>
      </c>
      <c r="Y132" t="s">
        <v>509</v>
      </c>
      <c r="Z132" t="s">
        <v>510</v>
      </c>
      <c r="AA132" t="s">
        <v>511</v>
      </c>
      <c r="AB132" t="s">
        <v>512</v>
      </c>
      <c r="AC132" t="s">
        <v>513</v>
      </c>
      <c r="AD132" t="s">
        <v>514</v>
      </c>
      <c r="AE132" t="s">
        <v>515</v>
      </c>
      <c r="AF132" t="s">
        <v>516</v>
      </c>
      <c r="AH132" t="s">
        <v>453</v>
      </c>
    </row>
    <row r="133" spans="1:97" x14ac:dyDescent="0.25">
      <c r="A133" s="2" t="s">
        <v>47</v>
      </c>
      <c r="B133" t="s">
        <v>48</v>
      </c>
      <c r="C133">
        <v>2</v>
      </c>
      <c r="D133">
        <v>1</v>
      </c>
      <c r="E133">
        <f t="shared" si="36"/>
        <v>2</v>
      </c>
      <c r="F133">
        <v>120.16342229999999</v>
      </c>
      <c r="G133">
        <v>318.43306899999999</v>
      </c>
      <c r="H133">
        <f t="shared" si="45"/>
        <v>50.000000019030004</v>
      </c>
      <c r="I133">
        <f t="shared" si="46"/>
        <v>5.0000000019030003E-2</v>
      </c>
      <c r="J133">
        <f t="shared" si="46"/>
        <v>5.000000001903E-5</v>
      </c>
      <c r="K133">
        <f t="shared" si="47"/>
        <v>0.11023100004195391</v>
      </c>
      <c r="L133" s="3">
        <v>1.23E-2</v>
      </c>
      <c r="M133" s="3">
        <v>3.2</v>
      </c>
      <c r="N133">
        <f t="shared" si="48"/>
        <v>13.422480419127959</v>
      </c>
      <c r="O133">
        <f t="shared" si="40"/>
        <v>1.0380652970264856</v>
      </c>
      <c r="P133">
        <f t="shared" si="41"/>
        <v>10.649993717455057</v>
      </c>
      <c r="Q133" s="2">
        <f t="shared" si="37"/>
        <v>27.050984042335848</v>
      </c>
      <c r="R133" s="2">
        <f t="shared" si="42"/>
        <v>470.85905826241515</v>
      </c>
      <c r="S133" s="2">
        <f t="shared" si="43"/>
        <v>1131.6007168046506</v>
      </c>
      <c r="T133" s="2">
        <f t="shared" si="44"/>
        <v>2998.7418995323237</v>
      </c>
      <c r="U133" s="2">
        <f t="shared" si="49"/>
        <v>39.200000000000003</v>
      </c>
      <c r="V133" s="2">
        <f t="shared" si="50"/>
        <v>0.58571428571428563</v>
      </c>
      <c r="W133" s="2">
        <v>0</v>
      </c>
      <c r="X133" t="s">
        <v>422</v>
      </c>
      <c r="Y133">
        <v>33</v>
      </c>
      <c r="Z133">
        <v>40</v>
      </c>
      <c r="AA133">
        <v>40</v>
      </c>
      <c r="AB133">
        <v>76</v>
      </c>
      <c r="AC133">
        <v>57</v>
      </c>
      <c r="AD133">
        <v>60</v>
      </c>
      <c r="AE133">
        <v>70</v>
      </c>
      <c r="AF133">
        <v>35.6</v>
      </c>
      <c r="AH133">
        <f>AVERAGE(Y133:AF133)</f>
        <v>51.45</v>
      </c>
    </row>
    <row r="134" spans="1:97" x14ac:dyDescent="0.25">
      <c r="A134" s="2" t="s">
        <v>47</v>
      </c>
      <c r="B134" t="s">
        <v>48</v>
      </c>
      <c r="C134">
        <v>3</v>
      </c>
      <c r="D134">
        <v>1</v>
      </c>
      <c r="E134">
        <f t="shared" si="36"/>
        <v>3</v>
      </c>
      <c r="F134">
        <v>192.26147560000001</v>
      </c>
      <c r="G134">
        <v>509.49291040000003</v>
      </c>
      <c r="H134">
        <f t="shared" si="45"/>
        <v>79.999999997160003</v>
      </c>
      <c r="I134">
        <f t="shared" si="46"/>
        <v>7.999999999716001E-2</v>
      </c>
      <c r="J134">
        <f t="shared" si="46"/>
        <v>7.9999999997160007E-5</v>
      </c>
      <c r="K134">
        <f t="shared" si="47"/>
        <v>0.17636959999373888</v>
      </c>
      <c r="L134" s="3">
        <v>1.23E-2</v>
      </c>
      <c r="M134" s="3">
        <v>3.2</v>
      </c>
      <c r="N134">
        <f t="shared" si="48"/>
        <v>15.546057640091004</v>
      </c>
      <c r="O134">
        <f t="shared" si="40"/>
        <v>1.8558784479473054</v>
      </c>
      <c r="P134">
        <f t="shared" si="41"/>
        <v>12.770293212588555</v>
      </c>
      <c r="Q134" s="2">
        <f t="shared" si="37"/>
        <v>32.436544759974929</v>
      </c>
      <c r="R134" s="2">
        <f t="shared" si="42"/>
        <v>841.81330476331766</v>
      </c>
      <c r="S134" s="2">
        <f t="shared" si="43"/>
        <v>2023.1033519906698</v>
      </c>
      <c r="T134" s="2">
        <f t="shared" si="44"/>
        <v>5361.2238827752744</v>
      </c>
      <c r="U134" s="2">
        <f t="shared" si="49"/>
        <v>39.200000000000003</v>
      </c>
      <c r="V134" s="2">
        <f t="shared" si="50"/>
        <v>0.58571428571428563</v>
      </c>
      <c r="W134" s="2">
        <v>0</v>
      </c>
      <c r="X134" t="s">
        <v>18</v>
      </c>
      <c r="Y134">
        <v>25.4</v>
      </c>
      <c r="Z134">
        <v>19.899999999999999</v>
      </c>
      <c r="AB134">
        <v>48.8</v>
      </c>
      <c r="AC134">
        <v>43.7</v>
      </c>
      <c r="AD134">
        <v>61</v>
      </c>
      <c r="AE134">
        <v>43.8</v>
      </c>
      <c r="AF134">
        <v>31.8</v>
      </c>
      <c r="AH134">
        <f>AVERAGE(Y134:AF134)</f>
        <v>39.200000000000003</v>
      </c>
    </row>
    <row r="135" spans="1:97" x14ac:dyDescent="0.25">
      <c r="A135" s="2" t="s">
        <v>47</v>
      </c>
      <c r="B135" t="s">
        <v>48</v>
      </c>
      <c r="C135">
        <v>4</v>
      </c>
      <c r="D135">
        <v>1</v>
      </c>
      <c r="E135">
        <f t="shared" si="36"/>
        <v>4</v>
      </c>
      <c r="F135">
        <v>242.73011299999999</v>
      </c>
      <c r="G135">
        <v>643.23479940000004</v>
      </c>
      <c r="H135">
        <f t="shared" si="45"/>
        <v>101.00000001929999</v>
      </c>
      <c r="I135">
        <f t="shared" si="46"/>
        <v>0.10100000001929998</v>
      </c>
      <c r="J135">
        <f t="shared" si="46"/>
        <v>1.0100000001929998E-4</v>
      </c>
      <c r="K135">
        <f t="shared" si="47"/>
        <v>0.22266662004254911</v>
      </c>
      <c r="L135" s="3">
        <v>1.23E-2</v>
      </c>
      <c r="M135" s="3">
        <v>3.2</v>
      </c>
      <c r="N135">
        <f t="shared" si="48"/>
        <v>16.72072414391199</v>
      </c>
      <c r="O135">
        <f t="shared" si="40"/>
        <v>2.4627031113161757</v>
      </c>
      <c r="P135">
        <f t="shared" si="41"/>
        <v>13.950681054760786</v>
      </c>
      <c r="Q135" s="2">
        <f t="shared" si="37"/>
        <v>35.434729879092394</v>
      </c>
      <c r="R135" s="2">
        <f t="shared" si="42"/>
        <v>1117.0646693381061</v>
      </c>
      <c r="S135" s="2">
        <f t="shared" si="43"/>
        <v>2684.606270939933</v>
      </c>
      <c r="T135" s="2">
        <f t="shared" si="44"/>
        <v>7114.2066179908225</v>
      </c>
      <c r="U135" s="2">
        <f t="shared" si="49"/>
        <v>39.200000000000003</v>
      </c>
      <c r="V135" s="2">
        <f t="shared" si="50"/>
        <v>0.58571428571428563</v>
      </c>
      <c r="W135" s="2">
        <v>0</v>
      </c>
      <c r="X135" t="s">
        <v>19</v>
      </c>
      <c r="Y135">
        <v>1.9</v>
      </c>
      <c r="Z135">
        <v>0.5</v>
      </c>
      <c r="AB135">
        <v>0.5</v>
      </c>
      <c r="AC135">
        <v>0.5</v>
      </c>
      <c r="AD135">
        <v>0.3</v>
      </c>
      <c r="AE135">
        <v>0.1</v>
      </c>
      <c r="AF135">
        <v>0.3</v>
      </c>
      <c r="AH135">
        <f>AVERAGE(Y135:AF135)</f>
        <v>0.58571428571428563</v>
      </c>
    </row>
    <row r="136" spans="1:97" x14ac:dyDescent="0.25">
      <c r="A136" s="2" t="s">
        <v>47</v>
      </c>
      <c r="B136" t="s">
        <v>48</v>
      </c>
      <c r="C136">
        <v>5</v>
      </c>
      <c r="D136">
        <v>1</v>
      </c>
      <c r="E136">
        <f t="shared" si="36"/>
        <v>5</v>
      </c>
      <c r="F136">
        <v>254.74645520000001</v>
      </c>
      <c r="G136">
        <v>675.07810619999998</v>
      </c>
      <c r="H136">
        <f t="shared" si="45"/>
        <v>106.00000000872002</v>
      </c>
      <c r="I136">
        <f t="shared" si="46"/>
        <v>0.10600000000872002</v>
      </c>
      <c r="J136">
        <f t="shared" si="46"/>
        <v>1.0600000000872002E-4</v>
      </c>
      <c r="K136">
        <f t="shared" si="47"/>
        <v>0.23368972001922431</v>
      </c>
      <c r="L136" s="3">
        <v>1.23E-2</v>
      </c>
      <c r="M136" s="3">
        <v>3.2</v>
      </c>
      <c r="N136">
        <f t="shared" si="48"/>
        <v>16.975115407979288</v>
      </c>
      <c r="O136">
        <f t="shared" si="40"/>
        <v>2.8535096232610093</v>
      </c>
      <c r="P136">
        <f t="shared" si="41"/>
        <v>14.607812493572116</v>
      </c>
      <c r="Q136" s="2">
        <f t="shared" si="37"/>
        <v>37.103843733673173</v>
      </c>
      <c r="R136" s="2">
        <f t="shared" si="42"/>
        <v>1294.3317321175573</v>
      </c>
      <c r="S136" s="2">
        <f t="shared" si="43"/>
        <v>3110.6266092707456</v>
      </c>
      <c r="T136" s="2">
        <f t="shared" si="44"/>
        <v>8243.1605145674748</v>
      </c>
      <c r="U136" s="2">
        <f t="shared" si="49"/>
        <v>39.200000000000003</v>
      </c>
      <c r="V136" s="2">
        <f t="shared" si="50"/>
        <v>0.58571428571428563</v>
      </c>
      <c r="W136" s="2">
        <v>0</v>
      </c>
      <c r="X136" t="s">
        <v>477</v>
      </c>
    </row>
    <row r="137" spans="1:97" x14ac:dyDescent="0.25">
      <c r="A137" s="2" t="s">
        <v>47</v>
      </c>
      <c r="B137" t="s">
        <v>48</v>
      </c>
      <c r="C137">
        <v>6</v>
      </c>
      <c r="D137">
        <v>1</v>
      </c>
      <c r="E137">
        <f t="shared" si="36"/>
        <v>6</v>
      </c>
      <c r="F137">
        <v>283.32131700000002</v>
      </c>
      <c r="G137">
        <v>750.80149010000002</v>
      </c>
      <c r="H137">
        <f t="shared" si="45"/>
        <v>117.89000000370002</v>
      </c>
      <c r="I137">
        <f t="shared" si="46"/>
        <v>0.11789000000370002</v>
      </c>
      <c r="J137">
        <f t="shared" si="46"/>
        <v>1.1789000000370003E-4</v>
      </c>
      <c r="K137">
        <f t="shared" si="47"/>
        <v>0.25990265180815714</v>
      </c>
      <c r="L137" s="3">
        <v>1.23E-2</v>
      </c>
      <c r="M137" s="3">
        <v>3.2</v>
      </c>
      <c r="N137">
        <f t="shared" si="48"/>
        <v>17.548548692677855</v>
      </c>
      <c r="O137">
        <f t="shared" si="40"/>
        <v>3.0885501240514888</v>
      </c>
      <c r="P137">
        <f t="shared" si="41"/>
        <v>14.9736428693574</v>
      </c>
      <c r="Q137" s="2">
        <f t="shared" si="37"/>
        <v>38.033052888167795</v>
      </c>
      <c r="R137" s="2">
        <f t="shared" si="42"/>
        <v>1400.9444367063206</v>
      </c>
      <c r="S137" s="2">
        <f t="shared" si="43"/>
        <v>3366.8455580541236</v>
      </c>
      <c r="T137" s="2">
        <f t="shared" si="44"/>
        <v>8922.1407288434275</v>
      </c>
      <c r="U137" s="2">
        <f t="shared" si="49"/>
        <v>39.200000000000003</v>
      </c>
      <c r="V137" s="2">
        <f t="shared" si="50"/>
        <v>0.58571428571428563</v>
      </c>
      <c r="W137" s="2">
        <v>0</v>
      </c>
      <c r="X137" t="s">
        <v>423</v>
      </c>
      <c r="Y137" t="s">
        <v>428</v>
      </c>
      <c r="Z137" t="s">
        <v>428</v>
      </c>
      <c r="AA137" t="s">
        <v>429</v>
      </c>
      <c r="AB137" t="s">
        <v>428</v>
      </c>
      <c r="AC137" t="s">
        <v>428</v>
      </c>
      <c r="AD137" t="s">
        <v>517</v>
      </c>
      <c r="AE137" t="s">
        <v>428</v>
      </c>
      <c r="AF137" t="s">
        <v>428</v>
      </c>
    </row>
    <row r="138" spans="1:97" x14ac:dyDescent="0.25">
      <c r="A138" s="2" t="s">
        <v>47</v>
      </c>
      <c r="B138" t="s">
        <v>48</v>
      </c>
      <c r="C138">
        <v>7</v>
      </c>
      <c r="D138">
        <v>1</v>
      </c>
      <c r="E138">
        <f t="shared" si="36"/>
        <v>7</v>
      </c>
      <c r="F138">
        <v>314.44364339999998</v>
      </c>
      <c r="G138">
        <v>833.27565500000003</v>
      </c>
      <c r="H138">
        <f t="shared" si="45"/>
        <v>130.84000001874</v>
      </c>
      <c r="I138">
        <f t="shared" si="46"/>
        <v>0.13084000001873999</v>
      </c>
      <c r="J138">
        <f t="shared" si="46"/>
        <v>1.3084000001873999E-4</v>
      </c>
      <c r="K138">
        <f t="shared" si="47"/>
        <v>0.28845248084131453</v>
      </c>
      <c r="L138" s="3">
        <v>1.23E-2</v>
      </c>
      <c r="M138" s="3">
        <v>3.2</v>
      </c>
      <c r="N138">
        <f t="shared" si="48"/>
        <v>18.129510157606568</v>
      </c>
      <c r="O138">
        <f t="shared" si="40"/>
        <v>3.2249986423096479</v>
      </c>
      <c r="P138">
        <f t="shared" si="41"/>
        <v>15.17730359222479</v>
      </c>
      <c r="Q138" s="2">
        <f t="shared" si="37"/>
        <v>38.550351124250966</v>
      </c>
      <c r="R138" s="2">
        <f t="shared" si="42"/>
        <v>1462.8365170912211</v>
      </c>
      <c r="S138" s="2">
        <f t="shared" si="43"/>
        <v>3515.588841843839</v>
      </c>
      <c r="T138" s="2">
        <f t="shared" si="44"/>
        <v>9316.310430886173</v>
      </c>
      <c r="U138" s="2">
        <f t="shared" si="49"/>
        <v>39.200000000000003</v>
      </c>
      <c r="V138" s="2">
        <f t="shared" si="50"/>
        <v>0.58571428571428563</v>
      </c>
      <c r="W138" s="2">
        <v>0</v>
      </c>
      <c r="X138" t="s">
        <v>434</v>
      </c>
      <c r="Y138" s="7" t="s">
        <v>518</v>
      </c>
      <c r="Z138" s="7" t="s">
        <v>519</v>
      </c>
      <c r="AA138" s="7" t="s">
        <v>520</v>
      </c>
      <c r="AB138" s="7" t="s">
        <v>521</v>
      </c>
      <c r="AC138" s="7" t="s">
        <v>522</v>
      </c>
      <c r="AD138" s="7" t="s">
        <v>523</v>
      </c>
      <c r="AE138" s="7" t="s">
        <v>524</v>
      </c>
      <c r="AF138" s="7" t="s">
        <v>525</v>
      </c>
    </row>
    <row r="139" spans="1:97" x14ac:dyDescent="0.25">
      <c r="A139" s="2" t="s">
        <v>47</v>
      </c>
      <c r="B139" t="s">
        <v>48</v>
      </c>
      <c r="C139">
        <v>8</v>
      </c>
      <c r="D139">
        <v>1</v>
      </c>
      <c r="E139">
        <f t="shared" si="36"/>
        <v>8</v>
      </c>
      <c r="F139">
        <v>345.5659698</v>
      </c>
      <c r="G139">
        <v>915.74981979999995</v>
      </c>
      <c r="H139">
        <f t="shared" si="45"/>
        <v>143.79000003377999</v>
      </c>
      <c r="I139">
        <f t="shared" si="46"/>
        <v>0.14379000003377998</v>
      </c>
      <c r="J139">
        <f t="shared" si="46"/>
        <v>1.4379000003377998E-4</v>
      </c>
      <c r="K139">
        <f t="shared" si="47"/>
        <v>0.31700230987447198</v>
      </c>
      <c r="L139" s="3">
        <v>1.23E-2</v>
      </c>
      <c r="M139" s="3">
        <v>3.2</v>
      </c>
      <c r="N139">
        <f t="shared" si="48"/>
        <v>18.672173165729784</v>
      </c>
      <c r="O139">
        <f t="shared" si="40"/>
        <v>3.3027278870807972</v>
      </c>
      <c r="P139">
        <f t="shared" si="41"/>
        <v>15.290683160419015</v>
      </c>
      <c r="Q139" s="2">
        <f t="shared" si="37"/>
        <v>38.838335227464299</v>
      </c>
      <c r="R139" s="2">
        <f t="shared" si="42"/>
        <v>1498.0939513752016</v>
      </c>
      <c r="S139" s="2">
        <f t="shared" si="43"/>
        <v>3600.3219211131977</v>
      </c>
      <c r="T139" s="2">
        <f t="shared" si="44"/>
        <v>9540.8530909499732</v>
      </c>
      <c r="U139" s="2">
        <f t="shared" si="49"/>
        <v>39.200000000000003</v>
      </c>
      <c r="V139" s="2">
        <f t="shared" si="50"/>
        <v>0.58571428571428563</v>
      </c>
      <c r="W139" s="2">
        <v>0</v>
      </c>
    </row>
    <row r="140" spans="1:97" x14ac:dyDescent="0.25">
      <c r="A140" s="2" t="s">
        <v>47</v>
      </c>
      <c r="B140" t="s">
        <v>48</v>
      </c>
      <c r="C140">
        <v>9</v>
      </c>
      <c r="D140">
        <v>1</v>
      </c>
      <c r="E140">
        <f t="shared" si="36"/>
        <v>9</v>
      </c>
      <c r="F140">
        <v>372.74693589999998</v>
      </c>
      <c r="G140">
        <v>987.77937999999995</v>
      </c>
      <c r="H140">
        <f t="shared" si="45"/>
        <v>155.10000002799001</v>
      </c>
      <c r="I140">
        <f t="shared" si="46"/>
        <v>0.15510000002799001</v>
      </c>
      <c r="J140">
        <f t="shared" si="46"/>
        <v>1.5510000002799001E-4</v>
      </c>
      <c r="K140">
        <f t="shared" si="47"/>
        <v>0.34193656206170731</v>
      </c>
      <c r="L140" s="3">
        <v>1.23E-2</v>
      </c>
      <c r="M140" s="3">
        <v>3.2</v>
      </c>
      <c r="N140">
        <f t="shared" si="48"/>
        <v>19.11924945060121</v>
      </c>
      <c r="O140">
        <f t="shared" si="40"/>
        <v>3.3465536012826043</v>
      </c>
      <c r="P140">
        <f t="shared" si="41"/>
        <v>15.353802481134966</v>
      </c>
      <c r="Q140" s="2">
        <f t="shared" si="37"/>
        <v>38.998658302082816</v>
      </c>
      <c r="R140" s="2">
        <f t="shared" si="42"/>
        <v>1517.9729845880943</v>
      </c>
      <c r="S140" s="2">
        <f t="shared" si="43"/>
        <v>3648.0965743525458</v>
      </c>
      <c r="T140" s="2">
        <f t="shared" si="44"/>
        <v>9667.4559220342453</v>
      </c>
      <c r="U140" s="2">
        <f t="shared" si="49"/>
        <v>39.200000000000003</v>
      </c>
      <c r="V140" s="2">
        <f t="shared" si="50"/>
        <v>0.58571428571428563</v>
      </c>
      <c r="W140" s="2">
        <v>0</v>
      </c>
    </row>
    <row r="141" spans="1:97" x14ac:dyDescent="0.25">
      <c r="A141" s="2" t="s">
        <v>47</v>
      </c>
      <c r="B141" t="s">
        <v>48</v>
      </c>
      <c r="C141">
        <v>10</v>
      </c>
      <c r="D141">
        <v>1</v>
      </c>
      <c r="E141">
        <f t="shared" si="36"/>
        <v>10</v>
      </c>
      <c r="F141">
        <v>408.79596249999997</v>
      </c>
      <c r="G141">
        <v>1083.309301</v>
      </c>
      <c r="H141">
        <f t="shared" si="45"/>
        <v>170.09999999625001</v>
      </c>
      <c r="I141">
        <f t="shared" si="46"/>
        <v>0.17009999999625</v>
      </c>
      <c r="J141">
        <f t="shared" si="46"/>
        <v>1.7009999999625E-4</v>
      </c>
      <c r="K141">
        <f t="shared" si="47"/>
        <v>0.37500586199173264</v>
      </c>
      <c r="L141" s="3">
        <v>1.23E-2</v>
      </c>
      <c r="M141" s="3">
        <v>3.2</v>
      </c>
      <c r="N141">
        <f t="shared" si="48"/>
        <v>19.678851599644297</v>
      </c>
      <c r="O141">
        <f t="shared" si="40"/>
        <v>3.3711241356732273</v>
      </c>
      <c r="P141">
        <f t="shared" si="41"/>
        <v>15.388941516422333</v>
      </c>
      <c r="Q141" s="2">
        <f t="shared" si="37"/>
        <v>39.087911451712728</v>
      </c>
      <c r="R141" s="2">
        <f t="shared" si="42"/>
        <v>1529.1180047687253</v>
      </c>
      <c r="S141" s="2">
        <f t="shared" si="43"/>
        <v>3674.8810496724955</v>
      </c>
      <c r="T141" s="2">
        <f t="shared" si="44"/>
        <v>9738.4347816321133</v>
      </c>
      <c r="U141" s="2">
        <f t="shared" si="49"/>
        <v>39.200000000000003</v>
      </c>
      <c r="V141" s="2">
        <f t="shared" si="50"/>
        <v>0.58571428571428563</v>
      </c>
      <c r="W141" s="2">
        <v>0</v>
      </c>
    </row>
    <row r="142" spans="1:97" x14ac:dyDescent="0.25">
      <c r="A142" s="2" t="s">
        <v>49</v>
      </c>
      <c r="B142" t="s">
        <v>50</v>
      </c>
      <c r="C142">
        <v>1</v>
      </c>
      <c r="D142">
        <v>1</v>
      </c>
      <c r="E142">
        <f t="shared" si="36"/>
        <v>1</v>
      </c>
      <c r="F142">
        <v>127.5414564</v>
      </c>
      <c r="G142">
        <v>337.98485950000003</v>
      </c>
      <c r="H142">
        <f t="shared" si="45"/>
        <v>53.070000008040005</v>
      </c>
      <c r="I142">
        <f t="shared" si="46"/>
        <v>5.3070000008040005E-2</v>
      </c>
      <c r="J142">
        <f t="shared" si="46"/>
        <v>5.3070000008040008E-5</v>
      </c>
      <c r="K142">
        <f t="shared" si="47"/>
        <v>0.11699918341772515</v>
      </c>
      <c r="L142" s="3">
        <v>1.2E-2</v>
      </c>
      <c r="M142" s="3">
        <v>3.1</v>
      </c>
      <c r="N142">
        <f t="shared" si="48"/>
        <v>14.997604075732943</v>
      </c>
      <c r="O142">
        <f t="shared" si="40"/>
        <v>4.4008721087089593E-2</v>
      </c>
      <c r="P142">
        <f t="shared" si="41"/>
        <v>4.307310756443238</v>
      </c>
      <c r="Q142" s="2">
        <f t="shared" si="37"/>
        <v>10.940569321365825</v>
      </c>
      <c r="R142" s="2">
        <f t="shared" si="42"/>
        <v>19.962043838434557</v>
      </c>
      <c r="S142" s="2">
        <f t="shared" si="43"/>
        <v>47.974150056319537</v>
      </c>
      <c r="T142" s="2">
        <f t="shared" si="44"/>
        <v>127.13149764924677</v>
      </c>
      <c r="U142" s="2">
        <f t="shared" ref="U142:U151" si="51">AVERAGE($Z$144:$AA$144)</f>
        <v>54.3</v>
      </c>
      <c r="V142" s="2">
        <f t="shared" ref="V142:V151" si="52">AVERAGE($Z$145:$AA$145)</f>
        <v>0.22500000000000001</v>
      </c>
      <c r="W142" s="2">
        <v>0</v>
      </c>
      <c r="Y142" t="s">
        <v>526</v>
      </c>
      <c r="Z142" t="s">
        <v>527</v>
      </c>
      <c r="AA142" t="s">
        <v>528</v>
      </c>
      <c r="AB142" t="s">
        <v>529</v>
      </c>
      <c r="AC142" t="s">
        <v>530</v>
      </c>
      <c r="AD142" t="s">
        <v>531</v>
      </c>
      <c r="AE142" t="s">
        <v>532</v>
      </c>
      <c r="AF142" t="s">
        <v>533</v>
      </c>
      <c r="AG142" t="s">
        <v>534</v>
      </c>
      <c r="AH142" t="s">
        <v>535</v>
      </c>
      <c r="AI142" t="s">
        <v>536</v>
      </c>
      <c r="AJ142" t="s">
        <v>537</v>
      </c>
      <c r="AK142" t="s">
        <v>538</v>
      </c>
      <c r="AL142" t="s">
        <v>539</v>
      </c>
      <c r="AM142" t="s">
        <v>540</v>
      </c>
      <c r="AN142" t="s">
        <v>541</v>
      </c>
      <c r="AO142" t="s">
        <v>542</v>
      </c>
      <c r="AP142" t="s">
        <v>543</v>
      </c>
      <c r="AQ142" t="s">
        <v>544</v>
      </c>
      <c r="AR142" t="s">
        <v>544</v>
      </c>
      <c r="AS142" t="s">
        <v>545</v>
      </c>
      <c r="AT142" t="s">
        <v>546</v>
      </c>
      <c r="AU142" t="s">
        <v>547</v>
      </c>
      <c r="AV142" t="s">
        <v>548</v>
      </c>
      <c r="AW142" t="s">
        <v>549</v>
      </c>
      <c r="AX142" t="s">
        <v>429</v>
      </c>
      <c r="AY142" t="s">
        <v>550</v>
      </c>
      <c r="AZ142" t="s">
        <v>551</v>
      </c>
      <c r="BA142" t="s">
        <v>552</v>
      </c>
      <c r="BB142" t="s">
        <v>553</v>
      </c>
      <c r="BC142" t="s">
        <v>554</v>
      </c>
      <c r="BD142" t="s">
        <v>555</v>
      </c>
      <c r="BE142" t="s">
        <v>556</v>
      </c>
      <c r="BF142" t="s">
        <v>557</v>
      </c>
      <c r="BG142" t="s">
        <v>558</v>
      </c>
      <c r="BH142" t="s">
        <v>559</v>
      </c>
      <c r="BI142" t="s">
        <v>560</v>
      </c>
      <c r="BJ142" t="s">
        <v>561</v>
      </c>
      <c r="BK142" t="s">
        <v>562</v>
      </c>
      <c r="BL142" t="s">
        <v>563</v>
      </c>
      <c r="BM142" t="s">
        <v>564</v>
      </c>
      <c r="BN142" t="s">
        <v>565</v>
      </c>
      <c r="BO142" t="s">
        <v>566</v>
      </c>
      <c r="BP142" t="s">
        <v>567</v>
      </c>
      <c r="BQ142" t="s">
        <v>568</v>
      </c>
      <c r="BR142" t="s">
        <v>569</v>
      </c>
      <c r="BS142" t="s">
        <v>429</v>
      </c>
      <c r="BT142" t="s">
        <v>570</v>
      </c>
      <c r="BU142" t="s">
        <v>571</v>
      </c>
      <c r="BV142" t="s">
        <v>572</v>
      </c>
      <c r="BW142" t="s">
        <v>573</v>
      </c>
      <c r="BX142" t="s">
        <v>574</v>
      </c>
      <c r="BY142" t="s">
        <v>575</v>
      </c>
      <c r="BZ142" t="s">
        <v>576</v>
      </c>
      <c r="CA142" t="s">
        <v>577</v>
      </c>
      <c r="CB142" t="s">
        <v>578</v>
      </c>
      <c r="CC142" t="s">
        <v>579</v>
      </c>
      <c r="CD142" t="s">
        <v>580</v>
      </c>
      <c r="CE142" t="s">
        <v>581</v>
      </c>
      <c r="CF142" t="s">
        <v>582</v>
      </c>
      <c r="CG142" t="s">
        <v>583</v>
      </c>
      <c r="CH142" t="s">
        <v>584</v>
      </c>
      <c r="CI142" t="s">
        <v>585</v>
      </c>
      <c r="CJ142" t="s">
        <v>586</v>
      </c>
      <c r="CK142" t="s">
        <v>587</v>
      </c>
      <c r="CL142" t="s">
        <v>588</v>
      </c>
      <c r="CM142" t="s">
        <v>589</v>
      </c>
      <c r="CN142" t="s">
        <v>590</v>
      </c>
      <c r="CO142" t="s">
        <v>591</v>
      </c>
      <c r="CP142" t="s">
        <v>592</v>
      </c>
      <c r="CQ142" t="s">
        <v>593</v>
      </c>
      <c r="CR142" t="s">
        <v>594</v>
      </c>
      <c r="CS142" t="s">
        <v>595</v>
      </c>
    </row>
    <row r="143" spans="1:97" x14ac:dyDescent="0.25">
      <c r="A143" s="2" t="s">
        <v>49</v>
      </c>
      <c r="B143" t="s">
        <v>50</v>
      </c>
      <c r="C143">
        <v>2</v>
      </c>
      <c r="D143">
        <v>1</v>
      </c>
      <c r="E143">
        <f t="shared" si="36"/>
        <v>2</v>
      </c>
      <c r="F143">
        <v>347.4885845</v>
      </c>
      <c r="G143">
        <v>920.84474890000001</v>
      </c>
      <c r="H143">
        <f t="shared" si="45"/>
        <v>144.59000001044998</v>
      </c>
      <c r="I143">
        <f t="shared" si="46"/>
        <v>0.14459000001044997</v>
      </c>
      <c r="J143">
        <f t="shared" si="46"/>
        <v>1.4459000001044997E-4</v>
      </c>
      <c r="K143">
        <f t="shared" si="47"/>
        <v>0.31876600582303821</v>
      </c>
      <c r="L143" s="3">
        <v>1.2E-2</v>
      </c>
      <c r="M143" s="3">
        <v>3.1</v>
      </c>
      <c r="N143">
        <f t="shared" si="48"/>
        <v>20.722289929778977</v>
      </c>
      <c r="O143">
        <f t="shared" si="40"/>
        <v>0.27150214154147551</v>
      </c>
      <c r="P143">
        <f t="shared" si="41"/>
        <v>7.7467682546998846</v>
      </c>
      <c r="Q143" s="2">
        <f t="shared" si="37"/>
        <v>19.676791366937707</v>
      </c>
      <c r="R143" s="2">
        <f t="shared" si="42"/>
        <v>123.15144629980473</v>
      </c>
      <c r="S143" s="2">
        <f t="shared" si="43"/>
        <v>295.96598485893952</v>
      </c>
      <c r="T143" s="2">
        <f t="shared" si="44"/>
        <v>784.30985987618965</v>
      </c>
      <c r="U143" s="2">
        <f t="shared" si="51"/>
        <v>54.3</v>
      </c>
      <c r="V143" s="2">
        <f t="shared" si="52"/>
        <v>0.22500000000000001</v>
      </c>
      <c r="W143" s="2">
        <v>0</v>
      </c>
      <c r="X143" t="s">
        <v>422</v>
      </c>
      <c r="Y143">
        <v>41</v>
      </c>
      <c r="Z143">
        <v>41</v>
      </c>
      <c r="AA143">
        <v>120</v>
      </c>
      <c r="AB143">
        <v>40</v>
      </c>
    </row>
    <row r="144" spans="1:97" x14ac:dyDescent="0.25">
      <c r="A144" s="2" t="s">
        <v>49</v>
      </c>
      <c r="B144" t="s">
        <v>50</v>
      </c>
      <c r="C144">
        <v>3</v>
      </c>
      <c r="D144">
        <v>1</v>
      </c>
      <c r="E144">
        <f t="shared" si="36"/>
        <v>3</v>
      </c>
      <c r="F144">
        <v>732.42009129999997</v>
      </c>
      <c r="G144">
        <v>1940.9132420000001</v>
      </c>
      <c r="H144">
        <f t="shared" si="45"/>
        <v>304.75999998992995</v>
      </c>
      <c r="I144">
        <f t="shared" si="46"/>
        <v>0.30475999998992997</v>
      </c>
      <c r="J144">
        <f t="shared" si="46"/>
        <v>3.0475999998992999E-4</v>
      </c>
      <c r="K144">
        <f t="shared" si="47"/>
        <v>0.6718799911777994</v>
      </c>
      <c r="L144" s="3">
        <v>1.2E-2</v>
      </c>
      <c r="M144" s="3">
        <v>3.1</v>
      </c>
      <c r="N144">
        <f t="shared" si="48"/>
        <v>26.356984171020404</v>
      </c>
      <c r="O144">
        <f t="shared" si="40"/>
        <v>0.69553360117709406</v>
      </c>
      <c r="P144">
        <f t="shared" si="41"/>
        <v>10.49323085079137</v>
      </c>
      <c r="Q144" s="2">
        <f t="shared" si="37"/>
        <v>26.652806361010079</v>
      </c>
      <c r="R144" s="2">
        <f t="shared" si="42"/>
        <v>315.48910976816597</v>
      </c>
      <c r="S144" s="2">
        <f t="shared" si="43"/>
        <v>758.20502227389079</v>
      </c>
      <c r="T144" s="2">
        <f t="shared" si="44"/>
        <v>2009.2433090258105</v>
      </c>
      <c r="U144" s="2">
        <f t="shared" si="51"/>
        <v>54.3</v>
      </c>
      <c r="V144" s="2">
        <f t="shared" si="52"/>
        <v>0.22500000000000001</v>
      </c>
      <c r="W144" s="2">
        <v>0</v>
      </c>
      <c r="X144" t="s">
        <v>18</v>
      </c>
      <c r="Z144">
        <v>31</v>
      </c>
      <c r="AA144">
        <v>77.599999999999994</v>
      </c>
    </row>
    <row r="145" spans="1:28" x14ac:dyDescent="0.25">
      <c r="A145" s="2" t="s">
        <v>49</v>
      </c>
      <c r="B145" t="s">
        <v>50</v>
      </c>
      <c r="C145">
        <v>4</v>
      </c>
      <c r="D145">
        <v>1</v>
      </c>
      <c r="E145">
        <f t="shared" si="36"/>
        <v>4</v>
      </c>
      <c r="F145">
        <v>1115.2006730000001</v>
      </c>
      <c r="G145">
        <v>2955.281782</v>
      </c>
      <c r="H145">
        <f t="shared" si="45"/>
        <v>464.03500003530002</v>
      </c>
      <c r="I145">
        <f t="shared" si="46"/>
        <v>0.46403500003530002</v>
      </c>
      <c r="J145">
        <f t="shared" si="46"/>
        <v>4.6403500003530001E-4</v>
      </c>
      <c r="K145">
        <f t="shared" si="47"/>
        <v>1.023020841777823</v>
      </c>
      <c r="L145" s="3">
        <v>1.2E-2</v>
      </c>
      <c r="M145" s="3">
        <v>3.1</v>
      </c>
      <c r="N145">
        <f t="shared" si="48"/>
        <v>30.185377428941027</v>
      </c>
      <c r="O145">
        <f t="shared" si="40"/>
        <v>1.2526815339585728</v>
      </c>
      <c r="P145">
        <f t="shared" si="41"/>
        <v>12.686325777986404</v>
      </c>
      <c r="Q145" s="2">
        <f t="shared" si="37"/>
        <v>32.223267476085468</v>
      </c>
      <c r="R145" s="2">
        <f t="shared" si="42"/>
        <v>568.20746158456916</v>
      </c>
      <c r="S145" s="2">
        <f t="shared" si="43"/>
        <v>1365.5550626882218</v>
      </c>
      <c r="T145" s="2">
        <f t="shared" si="44"/>
        <v>3618.7209161237879</v>
      </c>
      <c r="U145" s="2">
        <f t="shared" si="51"/>
        <v>54.3</v>
      </c>
      <c r="V145" s="2">
        <f t="shared" si="52"/>
        <v>0.22500000000000001</v>
      </c>
      <c r="W145" s="2">
        <v>0</v>
      </c>
      <c r="X145" t="s">
        <v>19</v>
      </c>
      <c r="Z145">
        <v>0.25</v>
      </c>
      <c r="AA145">
        <v>0.2</v>
      </c>
    </row>
    <row r="146" spans="1:28" x14ac:dyDescent="0.25">
      <c r="A146" s="2" t="s">
        <v>49</v>
      </c>
      <c r="B146" t="s">
        <v>50</v>
      </c>
      <c r="C146">
        <v>5</v>
      </c>
      <c r="D146">
        <v>1</v>
      </c>
      <c r="E146">
        <f t="shared" si="36"/>
        <v>5</v>
      </c>
      <c r="F146">
        <v>1550.4325879999999</v>
      </c>
      <c r="G146">
        <v>4108.6463590000003</v>
      </c>
      <c r="H146">
        <f t="shared" si="45"/>
        <v>645.13499986679994</v>
      </c>
      <c r="I146">
        <f t="shared" si="46"/>
        <v>0.6451349998667999</v>
      </c>
      <c r="J146">
        <f t="shared" si="46"/>
        <v>6.4513499986679993E-4</v>
      </c>
      <c r="K146">
        <f t="shared" si="47"/>
        <v>1.4222775234063443</v>
      </c>
      <c r="L146" s="3">
        <v>1.2E-2</v>
      </c>
      <c r="M146" s="3">
        <v>3.1</v>
      </c>
      <c r="N146">
        <f t="shared" si="48"/>
        <v>33.570503685170742</v>
      </c>
      <c r="O146">
        <f t="shared" si="40"/>
        <v>1.8703769643042842</v>
      </c>
      <c r="P146">
        <f t="shared" si="41"/>
        <v>14.437547646630552</v>
      </c>
      <c r="Q146" s="2">
        <f t="shared" si="37"/>
        <v>36.671371022441605</v>
      </c>
      <c r="R146" s="2">
        <f t="shared" si="42"/>
        <v>848.38972898017994</v>
      </c>
      <c r="S146" s="2">
        <f t="shared" si="43"/>
        <v>2038.9082647925497</v>
      </c>
      <c r="T146" s="2">
        <f t="shared" si="44"/>
        <v>5403.1069017002565</v>
      </c>
      <c r="U146" s="2">
        <f t="shared" si="51"/>
        <v>54.3</v>
      </c>
      <c r="V146" s="2">
        <f t="shared" si="52"/>
        <v>0.22500000000000001</v>
      </c>
      <c r="W146" s="2">
        <v>0</v>
      </c>
      <c r="X146" t="s">
        <v>477</v>
      </c>
    </row>
    <row r="147" spans="1:28" x14ac:dyDescent="0.25">
      <c r="A147" s="2" t="s">
        <v>49</v>
      </c>
      <c r="B147" t="s">
        <v>50</v>
      </c>
      <c r="C147">
        <v>6</v>
      </c>
      <c r="D147">
        <v>1</v>
      </c>
      <c r="E147">
        <f t="shared" si="36"/>
        <v>6</v>
      </c>
      <c r="F147">
        <v>1976.4359529999999</v>
      </c>
      <c r="G147">
        <v>5237.5552749999997</v>
      </c>
      <c r="H147">
        <f t="shared" si="45"/>
        <v>822.3950000433</v>
      </c>
      <c r="I147">
        <f t="shared" si="46"/>
        <v>0.82239500004330002</v>
      </c>
      <c r="J147">
        <f t="shared" si="46"/>
        <v>8.2239500004330007E-4</v>
      </c>
      <c r="K147">
        <f t="shared" si="47"/>
        <v>1.8130684649954598</v>
      </c>
      <c r="L147" s="3">
        <v>1.2E-2</v>
      </c>
      <c r="M147" s="3">
        <v>3.1</v>
      </c>
      <c r="N147">
        <f t="shared" si="48"/>
        <v>36.305087581617954</v>
      </c>
      <c r="O147">
        <f t="shared" si="40"/>
        <v>2.4911180490079294</v>
      </c>
      <c r="P147">
        <f t="shared" si="41"/>
        <v>15.835926711389014</v>
      </c>
      <c r="Q147" s="2">
        <f t="shared" si="37"/>
        <v>40.223253846928095</v>
      </c>
      <c r="R147" s="2">
        <f t="shared" si="42"/>
        <v>1129.9534835971413</v>
      </c>
      <c r="S147" s="2">
        <f t="shared" si="43"/>
        <v>2715.5815515432378</v>
      </c>
      <c r="T147" s="2">
        <f t="shared" si="44"/>
        <v>7196.2911115895795</v>
      </c>
      <c r="U147" s="2">
        <f t="shared" si="51"/>
        <v>54.3</v>
      </c>
      <c r="V147" s="2">
        <f t="shared" si="52"/>
        <v>0.22500000000000001</v>
      </c>
      <c r="W147" s="2">
        <v>0</v>
      </c>
      <c r="X147" t="s">
        <v>423</v>
      </c>
      <c r="Y147" t="s">
        <v>429</v>
      </c>
      <c r="Z147" t="s">
        <v>517</v>
      </c>
      <c r="AA147" t="s">
        <v>428</v>
      </c>
      <c r="AB147" t="s">
        <v>429</v>
      </c>
    </row>
    <row r="148" spans="1:28" x14ac:dyDescent="0.25">
      <c r="A148" s="2" t="s">
        <v>49</v>
      </c>
      <c r="B148" t="s">
        <v>50</v>
      </c>
      <c r="C148">
        <v>7</v>
      </c>
      <c r="D148">
        <v>1</v>
      </c>
      <c r="E148">
        <f t="shared" si="36"/>
        <v>7</v>
      </c>
      <c r="F148">
        <v>2275.6669069999998</v>
      </c>
      <c r="G148">
        <v>6030.517304</v>
      </c>
      <c r="H148">
        <f t="shared" si="45"/>
        <v>946.90500000269992</v>
      </c>
      <c r="I148">
        <f t="shared" si="46"/>
        <v>0.94690500000269995</v>
      </c>
      <c r="J148">
        <f t="shared" si="46"/>
        <v>9.4690500000269994E-4</v>
      </c>
      <c r="K148">
        <f t="shared" si="47"/>
        <v>2.0875657011059521</v>
      </c>
      <c r="L148" s="3">
        <v>1.2E-2</v>
      </c>
      <c r="M148" s="3">
        <v>3.1</v>
      </c>
      <c r="N148">
        <f t="shared" si="48"/>
        <v>37.994242889558372</v>
      </c>
      <c r="O148">
        <f t="shared" si="40"/>
        <v>3.0770072449392756</v>
      </c>
      <c r="P148">
        <f t="shared" si="41"/>
        <v>16.952555074572206</v>
      </c>
      <c r="Q148" s="2">
        <f t="shared" si="37"/>
        <v>43.059489889413406</v>
      </c>
      <c r="R148" s="2">
        <f t="shared" si="42"/>
        <v>1395.7086685865481</v>
      </c>
      <c r="S148" s="2">
        <f t="shared" si="43"/>
        <v>3354.2626017460907</v>
      </c>
      <c r="T148" s="2">
        <f t="shared" si="44"/>
        <v>8888.7958946271392</v>
      </c>
      <c r="U148" s="2">
        <f t="shared" si="51"/>
        <v>54.3</v>
      </c>
      <c r="V148" s="2">
        <f t="shared" si="52"/>
        <v>0.22500000000000001</v>
      </c>
      <c r="W148" s="2">
        <v>0</v>
      </c>
      <c r="X148" t="s">
        <v>434</v>
      </c>
      <c r="Y148" s="7" t="s">
        <v>596</v>
      </c>
      <c r="Z148" s="7" t="s">
        <v>597</v>
      </c>
      <c r="AA148" s="7" t="s">
        <v>598</v>
      </c>
      <c r="AB148" s="7" t="s">
        <v>599</v>
      </c>
    </row>
    <row r="149" spans="1:28" x14ac:dyDescent="0.25">
      <c r="A149" s="2" t="s">
        <v>49</v>
      </c>
      <c r="B149" t="s">
        <v>50</v>
      </c>
      <c r="C149">
        <v>8</v>
      </c>
      <c r="D149">
        <v>1</v>
      </c>
      <c r="E149">
        <f t="shared" si="36"/>
        <v>8</v>
      </c>
      <c r="F149">
        <v>2451.3338140000001</v>
      </c>
      <c r="G149">
        <v>6496.0346079999999</v>
      </c>
      <c r="H149">
        <f t="shared" si="45"/>
        <v>1020.0000000054</v>
      </c>
      <c r="I149">
        <f t="shared" si="46"/>
        <v>1.0200000000053999</v>
      </c>
      <c r="J149">
        <f t="shared" si="46"/>
        <v>1.0200000000053998E-3</v>
      </c>
      <c r="K149">
        <f t="shared" si="47"/>
        <v>2.2487124000119048</v>
      </c>
      <c r="L149" s="3">
        <v>1.2E-2</v>
      </c>
      <c r="M149" s="3">
        <v>3.1</v>
      </c>
      <c r="N149">
        <f t="shared" si="48"/>
        <v>38.916622113975315</v>
      </c>
      <c r="O149">
        <f t="shared" si="40"/>
        <v>3.6069534357875623</v>
      </c>
      <c r="P149">
        <f t="shared" si="41"/>
        <v>17.844200932900726</v>
      </c>
      <c r="Q149" s="2">
        <f t="shared" si="37"/>
        <v>45.324270369567849</v>
      </c>
      <c r="R149" s="2">
        <f t="shared" si="42"/>
        <v>1636.0885031377572</v>
      </c>
      <c r="S149" s="2">
        <f t="shared" si="43"/>
        <v>3931.9598729578402</v>
      </c>
      <c r="T149" s="2">
        <f t="shared" si="44"/>
        <v>10419.693663338276</v>
      </c>
      <c r="U149" s="2">
        <f t="shared" si="51"/>
        <v>54.3</v>
      </c>
      <c r="V149" s="2">
        <f t="shared" si="52"/>
        <v>0.22500000000000001</v>
      </c>
      <c r="W149" s="2">
        <v>0</v>
      </c>
    </row>
    <row r="150" spans="1:28" x14ac:dyDescent="0.25">
      <c r="A150" s="2" t="s">
        <v>49</v>
      </c>
      <c r="B150" t="s">
        <v>50</v>
      </c>
      <c r="C150">
        <v>9</v>
      </c>
      <c r="D150">
        <v>1</v>
      </c>
      <c r="E150">
        <f t="shared" si="36"/>
        <v>9</v>
      </c>
      <c r="F150">
        <v>2643.5952900000002</v>
      </c>
      <c r="G150">
        <v>7005.5275179999999</v>
      </c>
      <c r="H150">
        <f t="shared" si="45"/>
        <v>1100.000000169</v>
      </c>
      <c r="I150">
        <f t="shared" si="46"/>
        <v>1.100000000169</v>
      </c>
      <c r="J150">
        <f t="shared" si="46"/>
        <v>1.1000000001690001E-3</v>
      </c>
      <c r="K150">
        <f t="shared" si="47"/>
        <v>2.4250820003725808</v>
      </c>
      <c r="L150" s="3">
        <v>1.2E-2</v>
      </c>
      <c r="M150" s="3">
        <v>3.1</v>
      </c>
      <c r="N150">
        <f t="shared" si="48"/>
        <v>39.876163449959911</v>
      </c>
      <c r="O150">
        <f t="shared" si="40"/>
        <v>4.0720692802737393</v>
      </c>
      <c r="P150">
        <f t="shared" si="41"/>
        <v>18.556194612165676</v>
      </c>
      <c r="Q150" s="2">
        <f t="shared" si="37"/>
        <v>47.132734314900816</v>
      </c>
      <c r="R150" s="2">
        <f t="shared" si="42"/>
        <v>1847.0617522628568</v>
      </c>
      <c r="S150" s="2">
        <f t="shared" si="43"/>
        <v>4438.9852253373138</v>
      </c>
      <c r="T150" s="2">
        <f t="shared" si="44"/>
        <v>11763.310847143881</v>
      </c>
      <c r="U150" s="2">
        <f t="shared" si="51"/>
        <v>54.3</v>
      </c>
      <c r="V150" s="2">
        <f t="shared" si="52"/>
        <v>0.22500000000000001</v>
      </c>
      <c r="W150" s="2">
        <v>0</v>
      </c>
    </row>
    <row r="151" spans="1:28" x14ac:dyDescent="0.25">
      <c r="A151" s="2" t="s">
        <v>49</v>
      </c>
      <c r="B151" t="s">
        <v>50</v>
      </c>
      <c r="C151">
        <v>10</v>
      </c>
      <c r="D151">
        <v>1</v>
      </c>
      <c r="E151">
        <f t="shared" si="36"/>
        <v>10</v>
      </c>
      <c r="F151">
        <v>3076.18361</v>
      </c>
      <c r="G151">
        <v>8151.8865660000001</v>
      </c>
      <c r="H151">
        <f t="shared" si="45"/>
        <v>1280.0000001210001</v>
      </c>
      <c r="I151">
        <f t="shared" si="46"/>
        <v>1.2800000001210001</v>
      </c>
      <c r="J151">
        <f t="shared" si="46"/>
        <v>1.2800000001210001E-3</v>
      </c>
      <c r="K151">
        <f t="shared" si="47"/>
        <v>2.8219136002667589</v>
      </c>
      <c r="L151" s="3">
        <v>1.2E-2</v>
      </c>
      <c r="M151" s="3">
        <v>3.1</v>
      </c>
      <c r="N151">
        <f t="shared" si="48"/>
        <v>41.874029007707747</v>
      </c>
      <c r="O151">
        <f t="shared" si="40"/>
        <v>4.4714172570266442</v>
      </c>
      <c r="P151">
        <f t="shared" si="41"/>
        <v>19.124733112712899</v>
      </c>
      <c r="Q151" s="2">
        <f t="shared" si="37"/>
        <v>48.576822106290763</v>
      </c>
      <c r="R151" s="2">
        <f t="shared" si="42"/>
        <v>2028.203162915443</v>
      </c>
      <c r="S151" s="2">
        <f t="shared" si="43"/>
        <v>4874.3166616569169</v>
      </c>
      <c r="T151" s="2">
        <f t="shared" si="44"/>
        <v>12916.939153390829</v>
      </c>
      <c r="U151" s="2">
        <f t="shared" si="51"/>
        <v>54.3</v>
      </c>
      <c r="V151" s="2">
        <f t="shared" si="52"/>
        <v>0.22500000000000001</v>
      </c>
      <c r="W151" s="2">
        <v>0</v>
      </c>
    </row>
    <row r="152" spans="1:28" x14ac:dyDescent="0.25">
      <c r="A152" s="2" t="s">
        <v>51</v>
      </c>
      <c r="B152" t="s">
        <v>52</v>
      </c>
      <c r="C152">
        <v>1</v>
      </c>
      <c r="D152">
        <v>1</v>
      </c>
      <c r="E152">
        <f t="shared" si="36"/>
        <v>1</v>
      </c>
      <c r="F152">
        <v>476.02739730000002</v>
      </c>
      <c r="G152">
        <v>1261.4726029999999</v>
      </c>
      <c r="H152">
        <f t="shared" si="45"/>
        <v>198.07500001653005</v>
      </c>
      <c r="I152">
        <f t="shared" si="46"/>
        <v>0.19807500001653006</v>
      </c>
      <c r="J152">
        <f t="shared" si="46"/>
        <v>1.9807500001653005E-4</v>
      </c>
      <c r="K152">
        <f t="shared" si="47"/>
        <v>0.43668010653644246</v>
      </c>
      <c r="L152" s="3">
        <v>1.24E-2</v>
      </c>
      <c r="M152" s="3">
        <v>3.2</v>
      </c>
      <c r="N152">
        <f t="shared" si="48"/>
        <v>20.585669387454402</v>
      </c>
      <c r="O152">
        <f t="shared" si="40"/>
        <v>4.2411938413157834E-3</v>
      </c>
      <c r="P152">
        <f t="shared" si="41"/>
        <v>1.9044529608533411</v>
      </c>
      <c r="Q152" s="2">
        <f t="shared" si="37"/>
        <v>4.8373105205674864</v>
      </c>
      <c r="R152" s="2">
        <f t="shared" si="42"/>
        <v>1.923775453962943</v>
      </c>
      <c r="S152" s="2">
        <f t="shared" si="43"/>
        <v>4.6233488439388202</v>
      </c>
      <c r="T152" s="2">
        <f t="shared" si="44"/>
        <v>12.251874436437873</v>
      </c>
      <c r="U152">
        <f t="shared" ref="U152:U161" si="53">$Y$154</f>
        <v>20.9</v>
      </c>
      <c r="V152">
        <f t="shared" ref="V152:V161" si="54">$Y$155</f>
        <v>0.19500000000000001</v>
      </c>
      <c r="W152">
        <f t="shared" ref="W152:W161" si="55">$Y$156</f>
        <v>-0.35</v>
      </c>
      <c r="Y152" t="s">
        <v>600</v>
      </c>
      <c r="Z152" t="s">
        <v>601</v>
      </c>
      <c r="AA152" t="s">
        <v>602</v>
      </c>
    </row>
    <row r="153" spans="1:28" x14ac:dyDescent="0.25">
      <c r="A153" s="2" t="s">
        <v>51</v>
      </c>
      <c r="B153" t="s">
        <v>52</v>
      </c>
      <c r="C153">
        <v>2</v>
      </c>
      <c r="D153">
        <v>1</v>
      </c>
      <c r="E153">
        <f t="shared" si="36"/>
        <v>2</v>
      </c>
      <c r="F153">
        <v>1129.488104</v>
      </c>
      <c r="G153">
        <v>2993.143474</v>
      </c>
      <c r="H153">
        <f t="shared" si="45"/>
        <v>469.98000007439998</v>
      </c>
      <c r="I153">
        <f t="shared" si="46"/>
        <v>0.4699800000744</v>
      </c>
      <c r="J153">
        <f t="shared" si="46"/>
        <v>4.6998000007440001E-4</v>
      </c>
      <c r="K153">
        <f t="shared" si="47"/>
        <v>1.0361273077640236</v>
      </c>
      <c r="L153" s="3">
        <v>1.24E-2</v>
      </c>
      <c r="M153" s="3">
        <v>3.2</v>
      </c>
      <c r="N153">
        <f t="shared" si="48"/>
        <v>26.966869202838879</v>
      </c>
      <c r="O153">
        <f t="shared" si="40"/>
        <v>1.8640835784128396E-2</v>
      </c>
      <c r="P153">
        <f t="shared" si="41"/>
        <v>3.0248277144610802</v>
      </c>
      <c r="Q153" s="2">
        <f t="shared" si="37"/>
        <v>7.6830623947311434</v>
      </c>
      <c r="R153" s="2">
        <f t="shared" si="42"/>
        <v>8.4553509376347833</v>
      </c>
      <c r="S153" s="2">
        <f t="shared" si="43"/>
        <v>20.320478100540214</v>
      </c>
      <c r="T153" s="2">
        <f t="shared" si="44"/>
        <v>53.849266966431564</v>
      </c>
      <c r="U153">
        <f t="shared" si="53"/>
        <v>20.9</v>
      </c>
      <c r="V153">
        <f t="shared" si="54"/>
        <v>0.19500000000000001</v>
      </c>
      <c r="W153">
        <f t="shared" si="55"/>
        <v>-0.35</v>
      </c>
      <c r="X153" t="s">
        <v>422</v>
      </c>
      <c r="Y153">
        <v>20</v>
      </c>
      <c r="Z153">
        <v>18</v>
      </c>
      <c r="AA153">
        <v>18</v>
      </c>
    </row>
    <row r="154" spans="1:28" x14ac:dyDescent="0.25">
      <c r="A154" s="2" t="s">
        <v>51</v>
      </c>
      <c r="B154" t="s">
        <v>52</v>
      </c>
      <c r="C154">
        <v>3</v>
      </c>
      <c r="D154">
        <v>1</v>
      </c>
      <c r="E154">
        <f t="shared" si="36"/>
        <v>3</v>
      </c>
      <c r="F154">
        <v>1548.9065129999999</v>
      </c>
      <c r="G154">
        <v>4104.6022599999997</v>
      </c>
      <c r="H154">
        <f t="shared" si="45"/>
        <v>644.50000005929996</v>
      </c>
      <c r="I154">
        <f t="shared" si="46"/>
        <v>0.64450000005929997</v>
      </c>
      <c r="J154">
        <f t="shared" si="46"/>
        <v>6.445000000593E-4</v>
      </c>
      <c r="K154">
        <f t="shared" si="47"/>
        <v>1.4208775901307338</v>
      </c>
      <c r="L154" s="3">
        <v>1.24E-2</v>
      </c>
      <c r="M154" s="3">
        <v>3.2</v>
      </c>
      <c r="N154">
        <f t="shared" si="48"/>
        <v>29.763766337987356</v>
      </c>
      <c r="O154">
        <f t="shared" si="40"/>
        <v>4.366930968595243E-2</v>
      </c>
      <c r="P154">
        <f t="shared" si="41"/>
        <v>3.9467108917405</v>
      </c>
      <c r="Q154" s="2">
        <f t="shared" si="37"/>
        <v>10.02464566502087</v>
      </c>
      <c r="R154" s="2">
        <f t="shared" si="42"/>
        <v>19.808089233497125</v>
      </c>
      <c r="S154" s="2">
        <f t="shared" si="43"/>
        <v>47.604155812297819</v>
      </c>
      <c r="T154" s="2">
        <f t="shared" si="44"/>
        <v>126.15101290258922</v>
      </c>
      <c r="U154">
        <f t="shared" si="53"/>
        <v>20.9</v>
      </c>
      <c r="V154">
        <f t="shared" si="54"/>
        <v>0.19500000000000001</v>
      </c>
      <c r="W154">
        <f t="shared" si="55"/>
        <v>-0.35</v>
      </c>
      <c r="X154" t="s">
        <v>18</v>
      </c>
      <c r="Y154">
        <v>20.9</v>
      </c>
    </row>
    <row r="155" spans="1:28" x14ac:dyDescent="0.25">
      <c r="A155" s="2" t="s">
        <v>51</v>
      </c>
      <c r="B155" t="s">
        <v>52</v>
      </c>
      <c r="C155">
        <v>4</v>
      </c>
      <c r="D155">
        <v>1</v>
      </c>
      <c r="E155">
        <f t="shared" si="36"/>
        <v>4</v>
      </c>
      <c r="F155">
        <v>2095.4578219999999</v>
      </c>
      <c r="G155">
        <v>5552.9632300000003</v>
      </c>
      <c r="H155">
        <f t="shared" si="45"/>
        <v>871.91999973419991</v>
      </c>
      <c r="I155">
        <f t="shared" si="46"/>
        <v>0.87191999973419987</v>
      </c>
      <c r="J155">
        <f t="shared" si="46"/>
        <v>8.7191999973419991E-4</v>
      </c>
      <c r="K155">
        <f t="shared" si="47"/>
        <v>1.9222522698140116</v>
      </c>
      <c r="L155" s="3">
        <v>1.24E-2</v>
      </c>
      <c r="M155" s="3">
        <v>3.2</v>
      </c>
      <c r="N155">
        <f t="shared" si="48"/>
        <v>32.711817394436984</v>
      </c>
      <c r="O155">
        <f t="shared" si="40"/>
        <v>7.6646686250982088E-2</v>
      </c>
      <c r="P155">
        <f t="shared" si="41"/>
        <v>4.705268320684806</v>
      </c>
      <c r="Q155" s="2">
        <f t="shared" si="37"/>
        <v>11.951381534539408</v>
      </c>
      <c r="R155" s="2">
        <f t="shared" si="42"/>
        <v>34.766393415183607</v>
      </c>
      <c r="S155" s="2">
        <f t="shared" si="43"/>
        <v>83.552976244132694</v>
      </c>
      <c r="T155" s="2">
        <f t="shared" si="44"/>
        <v>221.41538704695162</v>
      </c>
      <c r="U155">
        <f t="shared" si="53"/>
        <v>20.9</v>
      </c>
      <c r="V155">
        <f t="shared" si="54"/>
        <v>0.19500000000000001</v>
      </c>
      <c r="W155">
        <f t="shared" si="55"/>
        <v>-0.35</v>
      </c>
      <c r="X155" t="s">
        <v>19</v>
      </c>
      <c r="Y155">
        <v>0.19500000000000001</v>
      </c>
    </row>
    <row r="156" spans="1:28" x14ac:dyDescent="0.25">
      <c r="A156" s="2" t="s">
        <v>51</v>
      </c>
      <c r="B156" t="s">
        <v>52</v>
      </c>
      <c r="C156">
        <v>5</v>
      </c>
      <c r="D156">
        <v>1</v>
      </c>
      <c r="E156">
        <f t="shared" si="36"/>
        <v>5</v>
      </c>
      <c r="F156">
        <v>2636.890171</v>
      </c>
      <c r="G156">
        <v>6987.7589529999996</v>
      </c>
      <c r="H156">
        <f t="shared" si="45"/>
        <v>1097.2100001530998</v>
      </c>
      <c r="I156">
        <f t="shared" si="46"/>
        <v>1.0972100001530998</v>
      </c>
      <c r="J156">
        <f t="shared" si="46"/>
        <v>1.0972100001530997E-3</v>
      </c>
      <c r="K156">
        <f t="shared" si="47"/>
        <v>2.4189311105375264</v>
      </c>
      <c r="L156" s="3">
        <v>1.24E-2</v>
      </c>
      <c r="M156" s="3">
        <v>3.2</v>
      </c>
      <c r="N156">
        <f t="shared" si="48"/>
        <v>35.147648337383011</v>
      </c>
      <c r="O156">
        <f t="shared" si="40"/>
        <v>0.11418347013324644</v>
      </c>
      <c r="P156">
        <f t="shared" si="41"/>
        <v>5.3294356633460485</v>
      </c>
      <c r="Q156" s="2">
        <f t="shared" si="37"/>
        <v>13.536766584898963</v>
      </c>
      <c r="R156" s="2">
        <f t="shared" si="42"/>
        <v>51.792812427196722</v>
      </c>
      <c r="S156" s="2">
        <f t="shared" si="43"/>
        <v>124.47203178850451</v>
      </c>
      <c r="T156" s="2">
        <f t="shared" si="44"/>
        <v>329.85088423953692</v>
      </c>
      <c r="U156">
        <f t="shared" si="53"/>
        <v>20.9</v>
      </c>
      <c r="V156">
        <f t="shared" si="54"/>
        <v>0.19500000000000001</v>
      </c>
      <c r="W156">
        <f t="shared" si="55"/>
        <v>-0.35</v>
      </c>
      <c r="X156" t="s">
        <v>477</v>
      </c>
      <c r="Y156">
        <v>-0.35</v>
      </c>
    </row>
    <row r="157" spans="1:28" x14ac:dyDescent="0.25">
      <c r="A157" s="2" t="s">
        <v>51</v>
      </c>
      <c r="B157" t="s">
        <v>52</v>
      </c>
      <c r="C157">
        <v>6</v>
      </c>
      <c r="D157">
        <v>1</v>
      </c>
      <c r="E157">
        <f t="shared" si="36"/>
        <v>6</v>
      </c>
      <c r="F157">
        <v>2919.850997</v>
      </c>
      <c r="G157">
        <v>7737.6051429999998</v>
      </c>
      <c r="H157">
        <f t="shared" si="45"/>
        <v>1214.9499998517001</v>
      </c>
      <c r="I157">
        <f t="shared" si="46"/>
        <v>1.2149499998517002</v>
      </c>
      <c r="J157">
        <f t="shared" si="46"/>
        <v>1.2149499998517002E-3</v>
      </c>
      <c r="K157">
        <f t="shared" si="47"/>
        <v>2.6785030686730549</v>
      </c>
      <c r="L157" s="3">
        <v>1.24E-2</v>
      </c>
      <c r="M157" s="3">
        <v>3.2</v>
      </c>
      <c r="N157">
        <f t="shared" si="48"/>
        <v>36.285258805695427</v>
      </c>
      <c r="O157">
        <f t="shared" si="40"/>
        <v>0.15327221520668291</v>
      </c>
      <c r="P157">
        <f t="shared" si="41"/>
        <v>5.8430221853144442</v>
      </c>
      <c r="Q157" s="2">
        <f t="shared" si="37"/>
        <v>14.841276350698688</v>
      </c>
      <c r="R157" s="2">
        <f t="shared" si="42"/>
        <v>69.523190031244795</v>
      </c>
      <c r="S157" s="2">
        <f t="shared" si="43"/>
        <v>167.08288880376062</v>
      </c>
      <c r="T157" s="2">
        <f t="shared" si="44"/>
        <v>442.76965532996564</v>
      </c>
      <c r="U157">
        <f t="shared" si="53"/>
        <v>20.9</v>
      </c>
      <c r="V157">
        <f t="shared" si="54"/>
        <v>0.19500000000000001</v>
      </c>
      <c r="W157">
        <f t="shared" si="55"/>
        <v>-0.35</v>
      </c>
      <c r="X157" t="s">
        <v>423</v>
      </c>
    </row>
    <row r="158" spans="1:28" x14ac:dyDescent="0.25">
      <c r="A158" s="2" t="s">
        <v>51</v>
      </c>
      <c r="B158" t="s">
        <v>52</v>
      </c>
      <c r="C158">
        <v>7</v>
      </c>
      <c r="D158">
        <v>1</v>
      </c>
      <c r="E158">
        <f t="shared" si="36"/>
        <v>7</v>
      </c>
      <c r="F158">
        <v>3445.5659700000001</v>
      </c>
      <c r="G158">
        <v>9130.7498190000006</v>
      </c>
      <c r="H158">
        <f t="shared" si="45"/>
        <v>1433.7000001169999</v>
      </c>
      <c r="I158">
        <f t="shared" si="46"/>
        <v>1.4337000001169999</v>
      </c>
      <c r="J158">
        <f t="shared" si="46"/>
        <v>1.4337000001169999E-3</v>
      </c>
      <c r="K158">
        <f t="shared" si="47"/>
        <v>3.1607636942579402</v>
      </c>
      <c r="L158" s="3">
        <v>1.24E-2</v>
      </c>
      <c r="M158" s="3">
        <v>3.2</v>
      </c>
      <c r="N158">
        <f t="shared" si="48"/>
        <v>38.211926836032923</v>
      </c>
      <c r="O158">
        <f t="shared" si="40"/>
        <v>0.19164966333316838</v>
      </c>
      <c r="P158">
        <f t="shared" si="41"/>
        <v>6.2656189755004892</v>
      </c>
      <c r="Q158" s="2">
        <f t="shared" si="37"/>
        <v>15.914672197771242</v>
      </c>
      <c r="R158" s="2">
        <f t="shared" si="42"/>
        <v>86.930928383652684</v>
      </c>
      <c r="S158" s="2">
        <f t="shared" si="43"/>
        <v>208.91835708640397</v>
      </c>
      <c r="T158" s="2">
        <f t="shared" si="44"/>
        <v>553.63364627897056</v>
      </c>
      <c r="U158">
        <f t="shared" si="53"/>
        <v>20.9</v>
      </c>
      <c r="V158">
        <f t="shared" si="54"/>
        <v>0.19500000000000001</v>
      </c>
      <c r="W158">
        <f t="shared" si="55"/>
        <v>-0.35</v>
      </c>
      <c r="X158" t="s">
        <v>434</v>
      </c>
      <c r="Y158" s="7" t="s">
        <v>603</v>
      </c>
      <c r="Z158" s="7" t="s">
        <v>604</v>
      </c>
      <c r="AA158" s="7" t="s">
        <v>605</v>
      </c>
    </row>
    <row r="159" spans="1:28" x14ac:dyDescent="0.25">
      <c r="A159" s="2" t="s">
        <v>51</v>
      </c>
      <c r="B159" t="s">
        <v>52</v>
      </c>
      <c r="C159">
        <v>8</v>
      </c>
      <c r="D159">
        <v>1</v>
      </c>
      <c r="E159">
        <f t="shared" si="36"/>
        <v>8</v>
      </c>
      <c r="F159">
        <v>3970.9204519999998</v>
      </c>
      <c r="G159">
        <v>10522.939200000001</v>
      </c>
      <c r="H159">
        <f t="shared" si="45"/>
        <v>1652.3000000771999</v>
      </c>
      <c r="I159">
        <f t="shared" si="46"/>
        <v>1.6523000000771999</v>
      </c>
      <c r="J159">
        <f t="shared" si="46"/>
        <v>1.6523000000772E-3</v>
      </c>
      <c r="K159">
        <f t="shared" si="47"/>
        <v>3.6426936261701961</v>
      </c>
      <c r="L159" s="3">
        <v>1.24E-2</v>
      </c>
      <c r="M159" s="3">
        <v>3.2</v>
      </c>
      <c r="N159">
        <f t="shared" si="48"/>
        <v>39.94463945663405</v>
      </c>
      <c r="O159">
        <f t="shared" si="40"/>
        <v>0.22780925292423412</v>
      </c>
      <c r="P159">
        <f t="shared" si="41"/>
        <v>6.613346260848795</v>
      </c>
      <c r="Q159" s="2">
        <f t="shared" si="37"/>
        <v>16.797899502555939</v>
      </c>
      <c r="R159" s="2">
        <f t="shared" si="42"/>
        <v>103.33266183026286</v>
      </c>
      <c r="S159" s="2">
        <f t="shared" si="43"/>
        <v>248.33612552334262</v>
      </c>
      <c r="T159" s="2">
        <f t="shared" si="44"/>
        <v>658.09073263685787</v>
      </c>
      <c r="U159">
        <f t="shared" si="53"/>
        <v>20.9</v>
      </c>
      <c r="V159">
        <f t="shared" si="54"/>
        <v>0.19500000000000001</v>
      </c>
      <c r="W159">
        <f t="shared" si="55"/>
        <v>-0.35</v>
      </c>
    </row>
    <row r="160" spans="1:28" x14ac:dyDescent="0.25">
      <c r="A160" s="2" t="s">
        <v>51</v>
      </c>
      <c r="B160" t="s">
        <v>52</v>
      </c>
      <c r="C160">
        <v>9</v>
      </c>
      <c r="D160">
        <v>1</v>
      </c>
      <c r="E160">
        <f t="shared" si="36"/>
        <v>9</v>
      </c>
      <c r="F160">
        <v>4109.5890410000002</v>
      </c>
      <c r="G160">
        <v>10890.410959999999</v>
      </c>
      <c r="H160">
        <f t="shared" si="45"/>
        <v>1709.9999999601</v>
      </c>
      <c r="I160">
        <f t="shared" si="46"/>
        <v>1.7099999999601001</v>
      </c>
      <c r="J160">
        <f t="shared" si="46"/>
        <v>1.7099999999601002E-3</v>
      </c>
      <c r="K160">
        <f t="shared" si="47"/>
        <v>3.7699001999120356</v>
      </c>
      <c r="L160" s="3">
        <v>1.24E-2</v>
      </c>
      <c r="M160" s="3">
        <v>3.2</v>
      </c>
      <c r="N160">
        <f t="shared" si="48"/>
        <v>40.375415800387913</v>
      </c>
      <c r="O160">
        <f t="shared" si="40"/>
        <v>0.26087551618474653</v>
      </c>
      <c r="P160">
        <f t="shared" si="41"/>
        <v>6.8994683227851157</v>
      </c>
      <c r="Q160" s="2">
        <f t="shared" si="37"/>
        <v>17.524649539874193</v>
      </c>
      <c r="R160" s="2">
        <f t="shared" si="42"/>
        <v>118.33128438676349</v>
      </c>
      <c r="S160" s="2">
        <f t="shared" si="43"/>
        <v>284.38184183312541</v>
      </c>
      <c r="T160" s="2">
        <f t="shared" si="44"/>
        <v>753.61188085778235</v>
      </c>
      <c r="U160">
        <f t="shared" si="53"/>
        <v>20.9</v>
      </c>
      <c r="V160">
        <f t="shared" si="54"/>
        <v>0.19500000000000001</v>
      </c>
      <c r="W160">
        <f t="shared" si="55"/>
        <v>-0.35</v>
      </c>
    </row>
    <row r="161" spans="1:25" x14ac:dyDescent="0.25">
      <c r="A161" s="2" t="s">
        <v>51</v>
      </c>
      <c r="B161" t="s">
        <v>52</v>
      </c>
      <c r="C161">
        <v>10</v>
      </c>
      <c r="D161">
        <v>1</v>
      </c>
      <c r="E161">
        <f t="shared" si="36"/>
        <v>10</v>
      </c>
      <c r="F161">
        <v>4373.9485699999996</v>
      </c>
      <c r="G161">
        <v>11590.96371</v>
      </c>
      <c r="H161">
        <f t="shared" si="45"/>
        <v>1819.9999999769998</v>
      </c>
      <c r="I161">
        <f t="shared" si="46"/>
        <v>1.8199999999769998</v>
      </c>
      <c r="J161">
        <f t="shared" si="46"/>
        <v>1.8199999999769997E-3</v>
      </c>
      <c r="K161">
        <f t="shared" si="47"/>
        <v>4.012408399949293</v>
      </c>
      <c r="L161" s="3">
        <v>1.24E-2</v>
      </c>
      <c r="M161" s="3">
        <v>3.2</v>
      </c>
      <c r="N161">
        <f t="shared" si="48"/>
        <v>41.169731262769922</v>
      </c>
      <c r="O161">
        <f t="shared" si="40"/>
        <v>0.29044537704626744</v>
      </c>
      <c r="P161">
        <f t="shared" si="41"/>
        <v>7.1348994717807708</v>
      </c>
      <c r="Q161" s="2">
        <f t="shared" si="37"/>
        <v>18.122644658323157</v>
      </c>
      <c r="R161" s="2">
        <f t="shared" si="42"/>
        <v>131.74396360654782</v>
      </c>
      <c r="S161" s="2">
        <f t="shared" si="43"/>
        <v>316.61611056608461</v>
      </c>
      <c r="T161" s="2">
        <f t="shared" si="44"/>
        <v>839.03269300012425</v>
      </c>
      <c r="U161">
        <f t="shared" si="53"/>
        <v>20.9</v>
      </c>
      <c r="V161">
        <f t="shared" si="54"/>
        <v>0.19500000000000001</v>
      </c>
      <c r="W161">
        <f t="shared" si="55"/>
        <v>-0.35</v>
      </c>
    </row>
    <row r="162" spans="1:25" x14ac:dyDescent="0.25">
      <c r="A162" t="s">
        <v>53</v>
      </c>
      <c r="B162" t="s">
        <v>54</v>
      </c>
      <c r="C162">
        <v>1</v>
      </c>
      <c r="D162">
        <v>2</v>
      </c>
      <c r="E162">
        <f t="shared" si="36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f t="shared" si="40"/>
        <v>3.8588377440321391E-2</v>
      </c>
      <c r="P162">
        <f t="shared" si="41"/>
        <v>4.6525262861153562</v>
      </c>
      <c r="Q162">
        <f t="shared" ref="Q162:Q171" si="56">41*(1-EXP(-0.17*(E162)))</f>
        <v>11.817416766733004</v>
      </c>
      <c r="R162">
        <f t="shared" si="42"/>
        <v>17.503414393555982</v>
      </c>
      <c r="S162">
        <f t="shared" si="43"/>
        <v>42.065403493285224</v>
      </c>
      <c r="T162">
        <f t="shared" si="44"/>
        <v>111.47331925720584</v>
      </c>
      <c r="U162">
        <v>41</v>
      </c>
      <c r="V162">
        <v>0.17</v>
      </c>
      <c r="W162">
        <v>0</v>
      </c>
      <c r="Y162" t="s">
        <v>606</v>
      </c>
    </row>
    <row r="163" spans="1:25" x14ac:dyDescent="0.25">
      <c r="A163" t="s">
        <v>53</v>
      </c>
      <c r="B163" t="s">
        <v>54</v>
      </c>
      <c r="C163">
        <v>2</v>
      </c>
      <c r="D163">
        <v>2</v>
      </c>
      <c r="E163">
        <f t="shared" si="36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f t="shared" si="40"/>
        <v>0.18841727616725545</v>
      </c>
      <c r="P163">
        <f t="shared" si="41"/>
        <v>7.964056422445208</v>
      </c>
      <c r="Q163">
        <f t="shared" si="56"/>
        <v>20.228703313010829</v>
      </c>
      <c r="R163">
        <f t="shared" si="42"/>
        <v>85.464740484643812</v>
      </c>
      <c r="S163">
        <f t="shared" si="43"/>
        <v>205.39471397414999</v>
      </c>
      <c r="T163">
        <f t="shared" si="44"/>
        <v>544.29599203149746</v>
      </c>
      <c r="U163">
        <v>41</v>
      </c>
      <c r="V163">
        <v>0.17</v>
      </c>
      <c r="W163">
        <v>0</v>
      </c>
    </row>
    <row r="164" spans="1:25" x14ac:dyDescent="0.25">
      <c r="A164" t="s">
        <v>53</v>
      </c>
      <c r="B164" t="s">
        <v>54</v>
      </c>
      <c r="C164">
        <v>3</v>
      </c>
      <c r="D164">
        <v>2</v>
      </c>
      <c r="E164">
        <f t="shared" si="36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f t="shared" si="40"/>
        <v>0.40482448204776578</v>
      </c>
      <c r="P164">
        <f t="shared" si="41"/>
        <v>10.321105296418812</v>
      </c>
      <c r="Q164">
        <f t="shared" si="56"/>
        <v>26.215607452903786</v>
      </c>
      <c r="R164">
        <f t="shared" si="42"/>
        <v>183.62551462282198</v>
      </c>
      <c r="S164">
        <f t="shared" si="43"/>
        <v>441.30140500558036</v>
      </c>
      <c r="T164">
        <f t="shared" si="44"/>
        <v>1169.448723264788</v>
      </c>
      <c r="U164">
        <v>41</v>
      </c>
      <c r="V164">
        <v>0.17</v>
      </c>
      <c r="W164">
        <v>0</v>
      </c>
    </row>
    <row r="165" spans="1:25" x14ac:dyDescent="0.25">
      <c r="A165" t="s">
        <v>53</v>
      </c>
      <c r="B165" t="s">
        <v>54</v>
      </c>
      <c r="C165">
        <v>4</v>
      </c>
      <c r="D165">
        <v>2</v>
      </c>
      <c r="E165">
        <f t="shared" si="36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f t="shared" si="40"/>
        <v>0.63129036650426562</v>
      </c>
      <c r="P165">
        <f t="shared" si="41"/>
        <v>11.998782734214256</v>
      </c>
      <c r="Q165">
        <f t="shared" si="56"/>
        <v>30.476908144904211</v>
      </c>
      <c r="R165">
        <f t="shared" si="42"/>
        <v>286.34883404136116</v>
      </c>
      <c r="S165">
        <f t="shared" si="43"/>
        <v>688.17311713857521</v>
      </c>
      <c r="T165">
        <f t="shared" si="44"/>
        <v>1823.6587604172241</v>
      </c>
      <c r="U165">
        <v>41</v>
      </c>
      <c r="V165">
        <v>0.17</v>
      </c>
      <c r="W165">
        <v>0</v>
      </c>
    </row>
    <row r="166" spans="1:25" x14ac:dyDescent="0.25">
      <c r="A166" t="s">
        <v>53</v>
      </c>
      <c r="B166" t="s">
        <v>54</v>
      </c>
      <c r="C166">
        <v>5</v>
      </c>
      <c r="D166">
        <v>2</v>
      </c>
      <c r="E166">
        <f t="shared" si="36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f t="shared" si="40"/>
        <v>0.83517717152534021</v>
      </c>
      <c r="P166">
        <f t="shared" si="41"/>
        <v>13.192903745605465</v>
      </c>
      <c r="Q166">
        <f t="shared" si="56"/>
        <v>33.50997551383788</v>
      </c>
      <c r="R166">
        <f t="shared" si="42"/>
        <v>378.83044312640737</v>
      </c>
      <c r="S166">
        <f t="shared" si="43"/>
        <v>910.43125000338216</v>
      </c>
      <c r="T166">
        <f t="shared" si="44"/>
        <v>2412.6428125089628</v>
      </c>
      <c r="U166">
        <v>41</v>
      </c>
      <c r="V166">
        <v>0.17</v>
      </c>
      <c r="W166">
        <v>0</v>
      </c>
    </row>
    <row r="167" spans="1:25" x14ac:dyDescent="0.25">
      <c r="A167" t="s">
        <v>53</v>
      </c>
      <c r="B167" t="s">
        <v>54</v>
      </c>
      <c r="C167">
        <v>6</v>
      </c>
      <c r="D167">
        <v>2</v>
      </c>
      <c r="E167">
        <f t="shared" si="36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f t="shared" si="40"/>
        <v>1.0040766809778492</v>
      </c>
      <c r="P167">
        <f t="shared" si="41"/>
        <v>14.042843643300998</v>
      </c>
      <c r="Q167">
        <f t="shared" si="56"/>
        <v>35.668822853984537</v>
      </c>
      <c r="R167">
        <f t="shared" si="42"/>
        <v>455.44206302122319</v>
      </c>
      <c r="S167">
        <f t="shared" si="43"/>
        <v>1094.5495386234636</v>
      </c>
      <c r="T167">
        <f t="shared" si="44"/>
        <v>2900.5562773521783</v>
      </c>
      <c r="U167">
        <v>41</v>
      </c>
      <c r="V167">
        <v>0.17</v>
      </c>
      <c r="W167">
        <v>0</v>
      </c>
    </row>
    <row r="168" spans="1:25" x14ac:dyDescent="0.25">
      <c r="A168" t="s">
        <v>53</v>
      </c>
      <c r="B168" t="s">
        <v>54</v>
      </c>
      <c r="C168">
        <v>7</v>
      </c>
      <c r="D168">
        <v>2</v>
      </c>
      <c r="E168">
        <f t="shared" si="36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f t="shared" si="40"/>
        <v>1.1371127539997286</v>
      </c>
      <c r="P168">
        <f t="shared" si="41"/>
        <v>14.647805638612571</v>
      </c>
      <c r="Q168">
        <f t="shared" si="56"/>
        <v>37.20542632207593</v>
      </c>
      <c r="R168">
        <f t="shared" si="42"/>
        <v>515.78628244310971</v>
      </c>
      <c r="S168">
        <f t="shared" si="43"/>
        <v>1239.5728970033879</v>
      </c>
      <c r="T168">
        <f t="shared" si="44"/>
        <v>3284.8681770589778</v>
      </c>
      <c r="U168">
        <v>41</v>
      </c>
      <c r="V168">
        <v>0.17</v>
      </c>
      <c r="W168">
        <v>0</v>
      </c>
    </row>
    <row r="169" spans="1:25" x14ac:dyDescent="0.25">
      <c r="A169" t="s">
        <v>53</v>
      </c>
      <c r="B169" t="s">
        <v>54</v>
      </c>
      <c r="C169">
        <v>8</v>
      </c>
      <c r="D169">
        <v>2</v>
      </c>
      <c r="E169">
        <f t="shared" si="36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f t="shared" si="40"/>
        <v>1.2385753690707848</v>
      </c>
      <c r="P169">
        <f t="shared" si="41"/>
        <v>15.078399633274598</v>
      </c>
      <c r="Q169">
        <f t="shared" si="56"/>
        <v>38.299135068517479</v>
      </c>
      <c r="R169">
        <f t="shared" si="42"/>
        <v>561.80900521213846</v>
      </c>
      <c r="S169">
        <f t="shared" si="43"/>
        <v>1350.1778543911041</v>
      </c>
      <c r="T169">
        <f t="shared" si="44"/>
        <v>3577.9713141364259</v>
      </c>
      <c r="U169">
        <v>41</v>
      </c>
      <c r="V169">
        <v>0.17</v>
      </c>
      <c r="W169">
        <v>0</v>
      </c>
    </row>
    <row r="170" spans="1:25" x14ac:dyDescent="0.25">
      <c r="A170" t="s">
        <v>53</v>
      </c>
      <c r="B170" t="s">
        <v>54</v>
      </c>
      <c r="C170">
        <v>9</v>
      </c>
      <c r="D170">
        <v>2</v>
      </c>
      <c r="E170">
        <f t="shared" si="36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f t="shared" si="40"/>
        <v>1.3143238586178687</v>
      </c>
      <c r="P170">
        <f t="shared" si="41"/>
        <v>15.384883659834832</v>
      </c>
      <c r="Q170">
        <f t="shared" si="56"/>
        <v>39.077604495980474</v>
      </c>
      <c r="R170">
        <f t="shared" si="42"/>
        <v>596.16798297115542</v>
      </c>
      <c r="S170">
        <f t="shared" si="43"/>
        <v>1432.751701444738</v>
      </c>
      <c r="T170">
        <f t="shared" si="44"/>
        <v>3796.7920088285555</v>
      </c>
      <c r="U170">
        <v>41</v>
      </c>
      <c r="V170">
        <v>0.17</v>
      </c>
      <c r="W170">
        <v>0</v>
      </c>
    </row>
    <row r="171" spans="1:25" x14ac:dyDescent="0.25">
      <c r="A171" t="s">
        <v>53</v>
      </c>
      <c r="B171" t="s">
        <v>54</v>
      </c>
      <c r="C171">
        <v>10</v>
      </c>
      <c r="D171">
        <v>2</v>
      </c>
      <c r="E171">
        <f t="shared" si="36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f t="shared" si="40"/>
        <v>1.3700639142901681</v>
      </c>
      <c r="P171">
        <f t="shared" si="41"/>
        <v>15.603029894341192</v>
      </c>
      <c r="Q171">
        <f t="shared" si="56"/>
        <v>39.631695931626631</v>
      </c>
      <c r="R171">
        <f t="shared" si="42"/>
        <v>621.45127699565819</v>
      </c>
      <c r="S171">
        <f t="shared" si="43"/>
        <v>1493.5142441616397</v>
      </c>
      <c r="T171">
        <f t="shared" si="44"/>
        <v>3957.8127470283448</v>
      </c>
      <c r="U171">
        <v>41</v>
      </c>
      <c r="V171">
        <v>0.17</v>
      </c>
      <c r="W171">
        <v>0</v>
      </c>
    </row>
    <row r="172" spans="1:25" x14ac:dyDescent="0.25">
      <c r="A172" t="s">
        <v>55</v>
      </c>
      <c r="B172" t="s">
        <v>56</v>
      </c>
      <c r="C172">
        <v>1</v>
      </c>
      <c r="D172">
        <v>1</v>
      </c>
      <c r="E172">
        <f t="shared" si="36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f t="shared" si="40"/>
        <v>5.8918280589254329E-2</v>
      </c>
      <c r="P172">
        <f t="shared" si="41"/>
        <v>5.00599724669864</v>
      </c>
      <c r="Q172">
        <f t="shared" ref="Q172:Q181" si="57">152*(1-EXP(-0.096*(E172-0.09)))</f>
        <v>12.715233006614545</v>
      </c>
      <c r="R172">
        <f t="shared" si="42"/>
        <v>26.724914311425248</v>
      </c>
      <c r="S172">
        <f t="shared" si="43"/>
        <v>64.227143262257258</v>
      </c>
      <c r="T172">
        <f t="shared" si="44"/>
        <v>170.20192964498173</v>
      </c>
      <c r="U172">
        <v>152</v>
      </c>
      <c r="V172">
        <v>9.6000000000000002E-2</v>
      </c>
      <c r="W172">
        <v>0.09</v>
      </c>
      <c r="Y172" t="s">
        <v>607</v>
      </c>
    </row>
    <row r="173" spans="1:25" x14ac:dyDescent="0.25">
      <c r="A173" t="s">
        <v>55</v>
      </c>
      <c r="B173" t="s">
        <v>56</v>
      </c>
      <c r="C173">
        <v>2</v>
      </c>
      <c r="D173">
        <v>1</v>
      </c>
      <c r="E173">
        <f t="shared" si="36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f t="shared" si="40"/>
        <v>0.47325800148199632</v>
      </c>
      <c r="P173">
        <f t="shared" si="41"/>
        <v>10.02551228346263</v>
      </c>
      <c r="Q173">
        <f t="shared" si="57"/>
        <v>25.464801199995083</v>
      </c>
      <c r="R173">
        <f t="shared" si="42"/>
        <v>214.66647380591499</v>
      </c>
      <c r="S173">
        <f t="shared" si="43"/>
        <v>515.90116271548902</v>
      </c>
      <c r="T173">
        <f t="shared" si="44"/>
        <v>1367.138081196046</v>
      </c>
      <c r="U173">
        <v>152</v>
      </c>
      <c r="V173">
        <v>9.6000000000000002E-2</v>
      </c>
      <c r="W173">
        <v>0.09</v>
      </c>
    </row>
    <row r="174" spans="1:25" x14ac:dyDescent="0.25">
      <c r="A174" t="s">
        <v>55</v>
      </c>
      <c r="B174" t="s">
        <v>56</v>
      </c>
      <c r="C174">
        <v>3</v>
      </c>
      <c r="D174">
        <v>1</v>
      </c>
      <c r="E174">
        <f t="shared" si="36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f t="shared" si="40"/>
        <v>1.4572956392570955</v>
      </c>
      <c r="P174">
        <f t="shared" si="41"/>
        <v>14.585561072478503</v>
      </c>
      <c r="Q174">
        <f t="shared" si="57"/>
        <v>37.047325124095401</v>
      </c>
      <c r="R174">
        <f t="shared" si="42"/>
        <v>661.0189689184964</v>
      </c>
      <c r="S174">
        <f t="shared" si="43"/>
        <v>1588.6060296046535</v>
      </c>
      <c r="T174">
        <f t="shared" si="44"/>
        <v>4209.8059784523311</v>
      </c>
      <c r="U174">
        <v>152</v>
      </c>
      <c r="V174">
        <v>9.6000000000000002E-2</v>
      </c>
      <c r="W174">
        <v>0.09</v>
      </c>
    </row>
    <row r="175" spans="1:25" x14ac:dyDescent="0.25">
      <c r="A175" t="s">
        <v>55</v>
      </c>
      <c r="B175" t="s">
        <v>56</v>
      </c>
      <c r="C175">
        <v>4</v>
      </c>
      <c r="D175">
        <v>1</v>
      </c>
      <c r="E175">
        <f t="shared" si="36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f t="shared" si="40"/>
        <v>3.085080153406305</v>
      </c>
      <c r="P175">
        <f t="shared" si="41"/>
        <v>18.728201308817106</v>
      </c>
      <c r="Q175">
        <f t="shared" si="57"/>
        <v>47.569631324395452</v>
      </c>
      <c r="R175">
        <f t="shared" si="42"/>
        <v>1399.3704826257156</v>
      </c>
      <c r="S175">
        <f t="shared" si="43"/>
        <v>3363.0629238781917</v>
      </c>
      <c r="T175">
        <f t="shared" si="44"/>
        <v>8912.1167482772071</v>
      </c>
      <c r="U175">
        <v>152</v>
      </c>
      <c r="V175">
        <v>9.6000000000000002E-2</v>
      </c>
      <c r="W175">
        <v>0.09</v>
      </c>
    </row>
    <row r="176" spans="1:25" x14ac:dyDescent="0.25">
      <c r="A176" t="s">
        <v>55</v>
      </c>
      <c r="B176" t="s">
        <v>56</v>
      </c>
      <c r="C176">
        <v>5</v>
      </c>
      <c r="D176">
        <v>1</v>
      </c>
      <c r="E176">
        <f t="shared" si="36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f t="shared" si="40"/>
        <v>5.3436950694669401</v>
      </c>
      <c r="P176">
        <f t="shared" si="41"/>
        <v>22.491640895049091</v>
      </c>
      <c r="Q176">
        <f t="shared" si="57"/>
        <v>57.128767873424692</v>
      </c>
      <c r="R176">
        <f t="shared" si="42"/>
        <v>2423.8621936963923</v>
      </c>
      <c r="S176">
        <f t="shared" si="43"/>
        <v>5825.1915253458119</v>
      </c>
      <c r="T176">
        <f t="shared" si="44"/>
        <v>15436.757542166401</v>
      </c>
      <c r="U176">
        <v>152</v>
      </c>
      <c r="V176">
        <v>9.6000000000000002E-2</v>
      </c>
      <c r="W176">
        <v>0.09</v>
      </c>
    </row>
    <row r="177" spans="1:25" x14ac:dyDescent="0.25">
      <c r="A177" t="s">
        <v>55</v>
      </c>
      <c r="B177" t="s">
        <v>56</v>
      </c>
      <c r="C177">
        <v>6</v>
      </c>
      <c r="D177">
        <v>1</v>
      </c>
      <c r="E177">
        <f t="shared" si="36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f t="shared" si="40"/>
        <v>8.169776368743193</v>
      </c>
      <c r="P177">
        <f t="shared" si="41"/>
        <v>25.91059033578934</v>
      </c>
      <c r="Q177">
        <f t="shared" si="57"/>
        <v>65.812899452904929</v>
      </c>
      <c r="R177">
        <f t="shared" si="42"/>
        <v>3705.7526325367608</v>
      </c>
      <c r="S177">
        <f t="shared" si="43"/>
        <v>8905.9183670674374</v>
      </c>
      <c r="T177">
        <f t="shared" si="44"/>
        <v>23600.683672728708</v>
      </c>
      <c r="U177">
        <v>152</v>
      </c>
      <c r="V177">
        <v>9.6000000000000002E-2</v>
      </c>
      <c r="W177">
        <v>0.09</v>
      </c>
    </row>
    <row r="178" spans="1:25" x14ac:dyDescent="0.25">
      <c r="A178" t="s">
        <v>55</v>
      </c>
      <c r="B178" t="s">
        <v>56</v>
      </c>
      <c r="C178">
        <v>7</v>
      </c>
      <c r="D178">
        <v>1</v>
      </c>
      <c r="E178">
        <f t="shared" si="36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f t="shared" si="40"/>
        <v>11.474058109118864</v>
      </c>
      <c r="P178">
        <f t="shared" si="41"/>
        <v>29.016582875460092</v>
      </c>
      <c r="Q178">
        <f t="shared" si="57"/>
        <v>73.702120503668638</v>
      </c>
      <c r="R178">
        <f t="shared" si="42"/>
        <v>5204.55140074882</v>
      </c>
      <c r="S178">
        <f t="shared" si="43"/>
        <v>12507.934152244219</v>
      </c>
      <c r="T178">
        <f t="shared" si="44"/>
        <v>33146.025503447177</v>
      </c>
      <c r="U178">
        <v>152</v>
      </c>
      <c r="V178">
        <v>9.6000000000000002E-2</v>
      </c>
      <c r="W178">
        <v>0.09</v>
      </c>
    </row>
    <row r="179" spans="1:25" x14ac:dyDescent="0.25">
      <c r="A179" t="s">
        <v>55</v>
      </c>
      <c r="B179" t="s">
        <v>56</v>
      </c>
      <c r="C179">
        <v>8</v>
      </c>
      <c r="D179">
        <v>1</v>
      </c>
      <c r="E179">
        <f t="shared" si="36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f t="shared" si="40"/>
        <v>15.157460260179651</v>
      </c>
      <c r="P179">
        <f t="shared" si="41"/>
        <v>31.838265331928827</v>
      </c>
      <c r="Q179">
        <f t="shared" si="57"/>
        <v>80.869193943099219</v>
      </c>
      <c r="R179">
        <f t="shared" si="42"/>
        <v>6875.3164990699761</v>
      </c>
      <c r="S179">
        <f t="shared" si="43"/>
        <v>16523.23119218932</v>
      </c>
      <c r="T179">
        <f t="shared" si="44"/>
        <v>43786.562659301693</v>
      </c>
      <c r="U179">
        <v>152</v>
      </c>
      <c r="V179">
        <v>9.6000000000000002E-2</v>
      </c>
      <c r="W179">
        <v>0.09</v>
      </c>
    </row>
    <row r="180" spans="1:25" x14ac:dyDescent="0.25">
      <c r="A180" t="s">
        <v>55</v>
      </c>
      <c r="B180" t="s">
        <v>56</v>
      </c>
      <c r="C180">
        <v>9</v>
      </c>
      <c r="D180">
        <v>1</v>
      </c>
      <c r="E180">
        <f t="shared" si="36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f t="shared" si="40"/>
        <v>19.12126104006353</v>
      </c>
      <c r="P180">
        <f t="shared" si="41"/>
        <v>34.401662308403012</v>
      </c>
      <c r="Q180">
        <f t="shared" si="57"/>
        <v>87.380222263343654</v>
      </c>
      <c r="R180">
        <f t="shared" si="42"/>
        <v>8673.2684272407623</v>
      </c>
      <c r="S180">
        <f t="shared" si="43"/>
        <v>20844.192326942473</v>
      </c>
      <c r="T180">
        <f t="shared" si="44"/>
        <v>55237.109666397555</v>
      </c>
      <c r="U180">
        <v>152</v>
      </c>
      <c r="V180">
        <v>9.6000000000000002E-2</v>
      </c>
      <c r="W180">
        <v>0.09</v>
      </c>
    </row>
    <row r="181" spans="1:25" x14ac:dyDescent="0.25">
      <c r="A181" t="s">
        <v>55</v>
      </c>
      <c r="B181" t="s">
        <v>56</v>
      </c>
      <c r="C181">
        <v>10</v>
      </c>
      <c r="D181">
        <v>1</v>
      </c>
      <c r="E181">
        <f t="shared" ref="E181:E244" si="58">C181*D181</f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f t="shared" si="40"/>
        <v>23.273183523538354</v>
      </c>
      <c r="P181">
        <f t="shared" si="41"/>
        <v>36.730416220429134</v>
      </c>
      <c r="Q181">
        <f t="shared" si="57"/>
        <v>93.295257199890003</v>
      </c>
      <c r="R181">
        <f t="shared" si="42"/>
        <v>10556.551026271354</v>
      </c>
      <c r="S181">
        <f t="shared" si="43"/>
        <v>25370.225970370957</v>
      </c>
      <c r="T181">
        <f t="shared" si="44"/>
        <v>67231.098821483029</v>
      </c>
      <c r="U181">
        <v>152</v>
      </c>
      <c r="V181">
        <v>9.6000000000000002E-2</v>
      </c>
      <c r="W181">
        <v>0.09</v>
      </c>
    </row>
    <row r="182" spans="1:25" x14ac:dyDescent="0.25">
      <c r="A182" t="s">
        <v>57</v>
      </c>
      <c r="B182" t="s">
        <v>58</v>
      </c>
      <c r="C182">
        <v>1</v>
      </c>
      <c r="D182">
        <v>2</v>
      </c>
      <c r="E182">
        <f t="shared" si="58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f t="shared" si="40"/>
        <v>0.82530599124171045</v>
      </c>
      <c r="P182">
        <f t="shared" si="41"/>
        <v>15.804692329076595</v>
      </c>
      <c r="Q182">
        <f t="shared" ref="Q182:Q191" si="59">72.9*(1-EXP(-0.4*(E182)))</f>
        <v>40.143918515854551</v>
      </c>
      <c r="R182">
        <f t="shared" si="42"/>
        <v>374.35294574199202</v>
      </c>
      <c r="S182">
        <f t="shared" si="43"/>
        <v>899.67062182646498</v>
      </c>
      <c r="T182">
        <f t="shared" si="44"/>
        <v>2384.1271478401322</v>
      </c>
      <c r="U182">
        <v>72.900000000000006</v>
      </c>
      <c r="V182">
        <v>0.4</v>
      </c>
      <c r="W182">
        <v>0</v>
      </c>
      <c r="Y182" t="s">
        <v>608</v>
      </c>
    </row>
    <row r="183" spans="1:25" x14ac:dyDescent="0.25">
      <c r="A183" t="s">
        <v>57</v>
      </c>
      <c r="B183" t="s">
        <v>58</v>
      </c>
      <c r="C183">
        <v>2</v>
      </c>
      <c r="D183">
        <v>2</v>
      </c>
      <c r="E183">
        <f t="shared" si="58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f t="shared" si="40"/>
        <v>2.6075497870551114</v>
      </c>
      <c r="P183">
        <f t="shared" si="41"/>
        <v>22.906198361491981</v>
      </c>
      <c r="Q183">
        <f t="shared" si="59"/>
        <v>58.181743838189632</v>
      </c>
      <c r="R183">
        <f t="shared" si="42"/>
        <v>1182.7660944086108</v>
      </c>
      <c r="S183">
        <f t="shared" si="43"/>
        <v>2842.5044326090137</v>
      </c>
      <c r="T183">
        <f t="shared" si="44"/>
        <v>7532.6367464138866</v>
      </c>
      <c r="U183">
        <v>72.900000000000006</v>
      </c>
      <c r="V183">
        <v>0.4</v>
      </c>
      <c r="W183">
        <v>0</v>
      </c>
    </row>
    <row r="184" spans="1:25" x14ac:dyDescent="0.25">
      <c r="A184" t="s">
        <v>57</v>
      </c>
      <c r="B184" t="s">
        <v>58</v>
      </c>
      <c r="C184">
        <v>3</v>
      </c>
      <c r="D184">
        <v>2</v>
      </c>
      <c r="E184">
        <f t="shared" si="58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f t="shared" si="40"/>
        <v>3.9067424584819719</v>
      </c>
      <c r="P184">
        <f t="shared" si="41"/>
        <v>26.097110710709384</v>
      </c>
      <c r="Q184">
        <f t="shared" si="59"/>
        <v>66.286661205201838</v>
      </c>
      <c r="R184">
        <f t="shared" si="42"/>
        <v>1772.0706781585814</v>
      </c>
      <c r="S184">
        <f t="shared" si="43"/>
        <v>4258.7615432794546</v>
      </c>
      <c r="T184">
        <f t="shared" si="44"/>
        <v>11285.718089690554</v>
      </c>
      <c r="U184">
        <v>72.900000000000006</v>
      </c>
      <c r="V184">
        <v>0.4</v>
      </c>
      <c r="W184">
        <v>0</v>
      </c>
    </row>
    <row r="185" spans="1:25" x14ac:dyDescent="0.25">
      <c r="A185" t="s">
        <v>57</v>
      </c>
      <c r="B185" t="s">
        <v>58</v>
      </c>
      <c r="C185">
        <v>4</v>
      </c>
      <c r="D185">
        <v>2</v>
      </c>
      <c r="E185">
        <f t="shared" si="58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f t="shared" si="40"/>
        <v>4.6112699590305661</v>
      </c>
      <c r="P185">
        <f t="shared" si="41"/>
        <v>27.530880051172087</v>
      </c>
      <c r="Q185">
        <f t="shared" si="59"/>
        <v>69.928435329977106</v>
      </c>
      <c r="R185">
        <f t="shared" si="42"/>
        <v>2091.6393569098377</v>
      </c>
      <c r="S185">
        <f t="shared" si="43"/>
        <v>5026.7708649599563</v>
      </c>
      <c r="T185">
        <f t="shared" si="44"/>
        <v>13320.942792143884</v>
      </c>
      <c r="U185">
        <v>72.900000000000006</v>
      </c>
      <c r="V185">
        <v>0.4</v>
      </c>
      <c r="W185">
        <v>0</v>
      </c>
    </row>
    <row r="186" spans="1:25" x14ac:dyDescent="0.25">
      <c r="A186" t="s">
        <v>57</v>
      </c>
      <c r="B186" t="s">
        <v>58</v>
      </c>
      <c r="C186">
        <v>5</v>
      </c>
      <c r="D186">
        <v>2</v>
      </c>
      <c r="E186">
        <f t="shared" si="58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f t="shared" si="40"/>
        <v>4.9540670098420607</v>
      </c>
      <c r="P186">
        <f t="shared" si="41"/>
        <v>28.17511414370523</v>
      </c>
      <c r="Q186">
        <f t="shared" si="59"/>
        <v>71.564789925011283</v>
      </c>
      <c r="R186">
        <f t="shared" si="42"/>
        <v>2247.12966853338</v>
      </c>
      <c r="S186">
        <f t="shared" si="43"/>
        <v>5400.4558244012987</v>
      </c>
      <c r="T186">
        <f t="shared" si="44"/>
        <v>14311.207934663442</v>
      </c>
      <c r="U186">
        <v>72.900000000000006</v>
      </c>
      <c r="V186">
        <v>0.4</v>
      </c>
      <c r="W186">
        <v>0</v>
      </c>
    </row>
    <row r="187" spans="1:25" x14ac:dyDescent="0.25">
      <c r="A187" t="s">
        <v>57</v>
      </c>
      <c r="B187" t="s">
        <v>58</v>
      </c>
      <c r="C187">
        <v>6</v>
      </c>
      <c r="D187">
        <v>2</v>
      </c>
      <c r="E187">
        <f t="shared" si="58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f t="shared" si="40"/>
        <v>5.1135606788957313</v>
      </c>
      <c r="P187">
        <f t="shared" si="41"/>
        <v>28.464587181152147</v>
      </c>
      <c r="Q187">
        <f t="shared" si="59"/>
        <v>72.300051440126452</v>
      </c>
      <c r="R187">
        <f t="shared" si="42"/>
        <v>2319.4748659159995</v>
      </c>
      <c r="S187">
        <f t="shared" si="43"/>
        <v>5574.320754424416</v>
      </c>
      <c r="T187">
        <f t="shared" si="44"/>
        <v>14771.949999224702</v>
      </c>
      <c r="U187">
        <v>72.900000000000006</v>
      </c>
      <c r="V187">
        <v>0.4</v>
      </c>
      <c r="W187">
        <v>0</v>
      </c>
    </row>
    <row r="188" spans="1:25" x14ac:dyDescent="0.25">
      <c r="A188" t="s">
        <v>57</v>
      </c>
      <c r="B188" t="s">
        <v>58</v>
      </c>
      <c r="C188">
        <v>7</v>
      </c>
      <c r="D188">
        <v>2</v>
      </c>
      <c r="E188">
        <f t="shared" si="58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f t="shared" si="40"/>
        <v>5.1863445200664673</v>
      </c>
      <c r="P188">
        <f t="shared" si="41"/>
        <v>28.594655801208031</v>
      </c>
      <c r="Q188">
        <f t="shared" si="59"/>
        <v>72.6304257350684</v>
      </c>
      <c r="R188">
        <f t="shared" si="42"/>
        <v>2352.4891001925353</v>
      </c>
      <c r="S188">
        <f t="shared" si="43"/>
        <v>5653.6628218998685</v>
      </c>
      <c r="T188">
        <f t="shared" si="44"/>
        <v>14982.206478034652</v>
      </c>
      <c r="U188">
        <v>72.900000000000006</v>
      </c>
      <c r="V188">
        <v>0.4</v>
      </c>
      <c r="W188">
        <v>0</v>
      </c>
    </row>
    <row r="189" spans="1:25" x14ac:dyDescent="0.25">
      <c r="A189" t="s">
        <v>57</v>
      </c>
      <c r="B189" t="s">
        <v>58</v>
      </c>
      <c r="C189">
        <v>8</v>
      </c>
      <c r="D189">
        <v>2</v>
      </c>
      <c r="E189">
        <f t="shared" si="58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f t="shared" si="40"/>
        <v>5.2192756664873734</v>
      </c>
      <c r="P189">
        <f t="shared" si="41"/>
        <v>28.653099399521899</v>
      </c>
      <c r="Q189">
        <f t="shared" si="59"/>
        <v>72.778872474785629</v>
      </c>
      <c r="R189">
        <f t="shared" si="42"/>
        <v>2367.426434708645</v>
      </c>
      <c r="S189">
        <f t="shared" si="43"/>
        <v>5689.5612465961185</v>
      </c>
      <c r="T189">
        <f t="shared" si="44"/>
        <v>15077.337303479713</v>
      </c>
      <c r="U189">
        <v>72.900000000000006</v>
      </c>
      <c r="V189">
        <v>0.4</v>
      </c>
      <c r="W189">
        <v>0</v>
      </c>
    </row>
    <row r="190" spans="1:25" x14ac:dyDescent="0.25">
      <c r="A190" t="s">
        <v>57</v>
      </c>
      <c r="B190" t="s">
        <v>58</v>
      </c>
      <c r="C190">
        <v>9</v>
      </c>
      <c r="D190">
        <v>2</v>
      </c>
      <c r="E190">
        <f t="shared" si="58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f t="shared" si="40"/>
        <v>5.2341185935672314</v>
      </c>
      <c r="P190">
        <f t="shared" si="41"/>
        <v>28.67935980101155</v>
      </c>
      <c r="Q190">
        <f t="shared" si="59"/>
        <v>72.845573894569341</v>
      </c>
      <c r="R190">
        <f t="shared" si="42"/>
        <v>2374.1590811873389</v>
      </c>
      <c r="S190">
        <f t="shared" si="43"/>
        <v>5705.7416034302787</v>
      </c>
      <c r="T190">
        <f t="shared" si="44"/>
        <v>15120.215249090237</v>
      </c>
      <c r="U190">
        <v>72.900000000000006</v>
      </c>
      <c r="V190">
        <v>0.4</v>
      </c>
      <c r="W190">
        <v>0</v>
      </c>
    </row>
    <row r="191" spans="1:25" x14ac:dyDescent="0.25">
      <c r="A191" t="s">
        <v>57</v>
      </c>
      <c r="B191" t="s">
        <v>58</v>
      </c>
      <c r="C191">
        <v>10</v>
      </c>
      <c r="D191">
        <v>2</v>
      </c>
      <c r="E191">
        <f t="shared" si="58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f t="shared" si="40"/>
        <v>5.2407972511841665</v>
      </c>
      <c r="P191">
        <f t="shared" si="41"/>
        <v>28.691159360010204</v>
      </c>
      <c r="Q191">
        <f t="shared" si="59"/>
        <v>72.875544774425919</v>
      </c>
      <c r="R191">
        <f t="shared" si="42"/>
        <v>2377.1884729269291</v>
      </c>
      <c r="S191">
        <f t="shared" si="43"/>
        <v>5713.0220450058378</v>
      </c>
      <c r="T191">
        <f t="shared" si="44"/>
        <v>15139.50841926547</v>
      </c>
      <c r="U191">
        <v>72.900000000000006</v>
      </c>
      <c r="V191">
        <v>0.4</v>
      </c>
      <c r="W191">
        <v>0</v>
      </c>
    </row>
    <row r="192" spans="1:25" x14ac:dyDescent="0.25">
      <c r="A192" t="s">
        <v>59</v>
      </c>
      <c r="B192" t="s">
        <v>60</v>
      </c>
      <c r="C192">
        <v>1</v>
      </c>
      <c r="D192">
        <v>2</v>
      </c>
      <c r="E192">
        <f t="shared" si="58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f t="shared" si="40"/>
        <v>1.4079247080738808</v>
      </c>
      <c r="P192">
        <f t="shared" si="41"/>
        <v>11.818575229523548</v>
      </c>
      <c r="Q192">
        <f t="shared" ref="Q192:Q201" si="60">263.2*(1-EXP(-0.07*(E192-0.27)))</f>
        <v>30.01918108298981</v>
      </c>
      <c r="R192">
        <f t="shared" si="42"/>
        <v>638.62466460155531</v>
      </c>
      <c r="S192">
        <f t="shared" si="43"/>
        <v>1534.7865046901115</v>
      </c>
      <c r="T192">
        <f t="shared" si="44"/>
        <v>4067.1842374287953</v>
      </c>
      <c r="U192">
        <v>263.2</v>
      </c>
      <c r="V192">
        <v>7.0000000000000007E-2</v>
      </c>
      <c r="W192">
        <v>0.27</v>
      </c>
      <c r="Y192" t="s">
        <v>609</v>
      </c>
    </row>
    <row r="193" spans="1:25" x14ac:dyDescent="0.25">
      <c r="A193" t="s">
        <v>59</v>
      </c>
      <c r="B193" t="s">
        <v>60</v>
      </c>
      <c r="C193">
        <v>2</v>
      </c>
      <c r="D193">
        <v>2</v>
      </c>
      <c r="E193">
        <f t="shared" si="58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f t="shared" si="40"/>
        <v>12.350698548657491</v>
      </c>
      <c r="P193">
        <f t="shared" si="41"/>
        <v>23.811942810023442</v>
      </c>
      <c r="Q193">
        <f t="shared" si="60"/>
        <v>60.482334737459546</v>
      </c>
      <c r="R193">
        <f t="shared" si="42"/>
        <v>5602.1892882480834</v>
      </c>
      <c r="S193">
        <f t="shared" si="43"/>
        <v>13463.564739841586</v>
      </c>
      <c r="T193">
        <f t="shared" si="44"/>
        <v>35678.446560580203</v>
      </c>
      <c r="U193">
        <v>263.2</v>
      </c>
      <c r="V193">
        <v>7.0000000000000007E-2</v>
      </c>
      <c r="W193">
        <v>0.27</v>
      </c>
    </row>
    <row r="194" spans="1:25" x14ac:dyDescent="0.25">
      <c r="A194" t="s">
        <v>59</v>
      </c>
      <c r="B194" t="s">
        <v>60</v>
      </c>
      <c r="C194">
        <v>3</v>
      </c>
      <c r="D194">
        <v>2</v>
      </c>
      <c r="E194">
        <f t="shared" si="58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f t="shared" ref="O194:O257" si="61">R194*0.00220462</f>
        <v>38.073451818461308</v>
      </c>
      <c r="P194">
        <f t="shared" ref="P194:P257" si="62">Q194/2.54</f>
        <v>34.238475686296084</v>
      </c>
      <c r="Q194">
        <f t="shared" si="60"/>
        <v>86.965728243192046</v>
      </c>
      <c r="R194">
        <f t="shared" ref="R194:R257" si="63">L194*(Q194^M194)</f>
        <v>17269.847782593512</v>
      </c>
      <c r="S194">
        <f t="shared" ref="S194:S257" si="64">R194/20/5.7/3.65*1000</f>
        <v>41504.080227333594</v>
      </c>
      <c r="T194">
        <f t="shared" ref="T194:T257" si="65">S194*2.65</f>
        <v>109985.81260243402</v>
      </c>
      <c r="U194">
        <v>263.2</v>
      </c>
      <c r="V194">
        <v>7.0000000000000007E-2</v>
      </c>
      <c r="W194">
        <v>0.27</v>
      </c>
    </row>
    <row r="195" spans="1:25" x14ac:dyDescent="0.25">
      <c r="A195" t="s">
        <v>59</v>
      </c>
      <c r="B195" t="s">
        <v>60</v>
      </c>
      <c r="C195">
        <v>4</v>
      </c>
      <c r="D195">
        <v>2</v>
      </c>
      <c r="E195">
        <f t="shared" si="58"/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f t="shared" si="61"/>
        <v>78.854992162426996</v>
      </c>
      <c r="P195">
        <f t="shared" si="62"/>
        <v>43.302867908940087</v>
      </c>
      <c r="Q195">
        <f t="shared" si="60"/>
        <v>109.98928448870782</v>
      </c>
      <c r="R195">
        <f t="shared" si="63"/>
        <v>35768.065318479828</v>
      </c>
      <c r="S195">
        <f t="shared" si="64"/>
        <v>85960.262721653038</v>
      </c>
      <c r="T195">
        <f t="shared" si="65"/>
        <v>227794.69621238054</v>
      </c>
      <c r="U195">
        <v>263.2</v>
      </c>
      <c r="V195">
        <v>7.0000000000000007E-2</v>
      </c>
      <c r="W195">
        <v>0.27</v>
      </c>
    </row>
    <row r="196" spans="1:25" x14ac:dyDescent="0.25">
      <c r="A196" t="s">
        <v>59</v>
      </c>
      <c r="B196" t="s">
        <v>60</v>
      </c>
      <c r="C196">
        <v>5</v>
      </c>
      <c r="D196">
        <v>2</v>
      </c>
      <c r="E196">
        <f t="shared" si="58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f t="shared" si="61"/>
        <v>132.40952428635586</v>
      </c>
      <c r="P196">
        <f t="shared" si="62"/>
        <v>51.183071936580546</v>
      </c>
      <c r="Q196">
        <f t="shared" si="60"/>
        <v>130.0050027189146</v>
      </c>
      <c r="R196">
        <f t="shared" si="63"/>
        <v>60060.021358037149</v>
      </c>
      <c r="S196">
        <f t="shared" si="64"/>
        <v>144340.3541409208</v>
      </c>
      <c r="T196">
        <f t="shared" si="65"/>
        <v>382501.93847344012</v>
      </c>
      <c r="U196">
        <v>263.2</v>
      </c>
      <c r="V196">
        <v>7.0000000000000007E-2</v>
      </c>
      <c r="W196">
        <v>0.27</v>
      </c>
    </row>
    <row r="197" spans="1:25" x14ac:dyDescent="0.25">
      <c r="A197" t="s">
        <v>59</v>
      </c>
      <c r="B197" t="s">
        <v>60</v>
      </c>
      <c r="C197">
        <v>6</v>
      </c>
      <c r="D197">
        <v>2</v>
      </c>
      <c r="E197">
        <f t="shared" si="58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f t="shared" si="61"/>
        <v>195.45126801943385</v>
      </c>
      <c r="P197">
        <f t="shared" si="62"/>
        <v>58.033792204632618</v>
      </c>
      <c r="Q197">
        <f t="shared" si="60"/>
        <v>147.40583219976685</v>
      </c>
      <c r="R197">
        <f t="shared" si="63"/>
        <v>88655.309313820006</v>
      </c>
      <c r="S197">
        <f t="shared" si="64"/>
        <v>213062.50736318194</v>
      </c>
      <c r="T197">
        <f t="shared" si="65"/>
        <v>564615.64451243216</v>
      </c>
      <c r="U197">
        <v>263.2</v>
      </c>
      <c r="V197">
        <v>7.0000000000000007E-2</v>
      </c>
      <c r="W197">
        <v>0.27</v>
      </c>
    </row>
    <row r="198" spans="1:25" x14ac:dyDescent="0.25">
      <c r="A198" t="s">
        <v>59</v>
      </c>
      <c r="B198" t="s">
        <v>60</v>
      </c>
      <c r="C198">
        <v>7</v>
      </c>
      <c r="D198">
        <v>2</v>
      </c>
      <c r="E198">
        <f t="shared" si="58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f t="shared" si="61"/>
        <v>264.58488888747956</v>
      </c>
      <c r="P198">
        <f t="shared" si="62"/>
        <v>63.989522288077197</v>
      </c>
      <c r="Q198">
        <f t="shared" si="60"/>
        <v>162.53338661171608</v>
      </c>
      <c r="R198">
        <f t="shared" si="63"/>
        <v>120013.82954317731</v>
      </c>
      <c r="S198">
        <f t="shared" si="64"/>
        <v>288425.44951496593</v>
      </c>
      <c r="T198">
        <f t="shared" si="65"/>
        <v>764327.44121465972</v>
      </c>
      <c r="U198">
        <v>263.2</v>
      </c>
      <c r="V198">
        <v>7.0000000000000007E-2</v>
      </c>
      <c r="W198">
        <v>0.27</v>
      </c>
    </row>
    <row r="199" spans="1:25" x14ac:dyDescent="0.25">
      <c r="A199" t="s">
        <v>59</v>
      </c>
      <c r="B199" t="s">
        <v>60</v>
      </c>
      <c r="C199">
        <v>8</v>
      </c>
      <c r="D199">
        <v>2</v>
      </c>
      <c r="E199">
        <f t="shared" si="58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f t="shared" si="61"/>
        <v>336.75795576802403</v>
      </c>
      <c r="P199">
        <f t="shared" si="62"/>
        <v>69.16718528393217</v>
      </c>
      <c r="Q199">
        <f t="shared" si="60"/>
        <v>175.6846506211877</v>
      </c>
      <c r="R199">
        <f t="shared" si="63"/>
        <v>152751.02093241649</v>
      </c>
      <c r="S199">
        <f t="shared" si="64"/>
        <v>367101.70856144308</v>
      </c>
      <c r="T199">
        <f t="shared" si="65"/>
        <v>972819.5276878241</v>
      </c>
      <c r="U199">
        <v>263.2</v>
      </c>
      <c r="V199">
        <v>7.0000000000000007E-2</v>
      </c>
      <c r="W199">
        <v>0.27</v>
      </c>
    </row>
    <row r="200" spans="1:25" x14ac:dyDescent="0.25">
      <c r="A200" t="s">
        <v>59</v>
      </c>
      <c r="B200" t="s">
        <v>60</v>
      </c>
      <c r="C200">
        <v>9</v>
      </c>
      <c r="D200">
        <v>2</v>
      </c>
      <c r="E200">
        <f t="shared" si="58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f t="shared" si="61"/>
        <v>409.44909648971856</v>
      </c>
      <c r="P200">
        <f t="shared" si="62"/>
        <v>73.668429249498331</v>
      </c>
      <c r="Q200">
        <f t="shared" si="60"/>
        <v>187.11781029372577</v>
      </c>
      <c r="R200">
        <f t="shared" si="63"/>
        <v>185723.20694256542</v>
      </c>
      <c r="S200">
        <f t="shared" si="64"/>
        <v>446342.72276511759</v>
      </c>
      <c r="T200">
        <f t="shared" si="65"/>
        <v>1182808.2153275616</v>
      </c>
      <c r="U200">
        <v>263.2</v>
      </c>
      <c r="V200">
        <v>7.0000000000000007E-2</v>
      </c>
      <c r="W200">
        <v>0.27</v>
      </c>
    </row>
    <row r="201" spans="1:25" x14ac:dyDescent="0.25">
      <c r="A201" t="s">
        <v>59</v>
      </c>
      <c r="B201" t="s">
        <v>60</v>
      </c>
      <c r="C201">
        <v>10</v>
      </c>
      <c r="D201">
        <v>2</v>
      </c>
      <c r="E201">
        <f t="shared" si="58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f t="shared" si="61"/>
        <v>480.70651748495408</v>
      </c>
      <c r="P201">
        <f t="shared" si="62"/>
        <v>77.581622760502455</v>
      </c>
      <c r="Q201">
        <f t="shared" si="60"/>
        <v>197.05732181167625</v>
      </c>
      <c r="R201">
        <f t="shared" si="63"/>
        <v>218045.06785067453</v>
      </c>
      <c r="S201">
        <f t="shared" si="64"/>
        <v>524020.83117201278</v>
      </c>
      <c r="T201">
        <f t="shared" si="65"/>
        <v>1388655.2026058338</v>
      </c>
      <c r="U201">
        <v>263.2</v>
      </c>
      <c r="V201">
        <v>7.0000000000000007E-2</v>
      </c>
      <c r="W201">
        <v>0.27</v>
      </c>
    </row>
    <row r="202" spans="1:25" x14ac:dyDescent="0.25">
      <c r="A202" t="s">
        <v>61</v>
      </c>
      <c r="B202" t="s">
        <v>62</v>
      </c>
      <c r="C202">
        <v>1</v>
      </c>
      <c r="D202">
        <v>1</v>
      </c>
      <c r="E202">
        <f t="shared" si="58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f t="shared" si="61"/>
        <v>2.5441272143766646E-3</v>
      </c>
      <c r="P202">
        <f t="shared" si="62"/>
        <v>1.7793633426790521</v>
      </c>
      <c r="Q202">
        <f t="shared" ref="Q202:Q211" si="66">33.7*(1-EXP(-0.32*(E202-0.55)))</f>
        <v>4.5195828904047923</v>
      </c>
      <c r="R202">
        <f t="shared" si="63"/>
        <v>1.1539980651435007</v>
      </c>
      <c r="S202">
        <f t="shared" si="64"/>
        <v>2.773367135648884</v>
      </c>
      <c r="T202">
        <f t="shared" si="65"/>
        <v>7.349422909469542</v>
      </c>
      <c r="U202">
        <v>33.700000000000003</v>
      </c>
      <c r="V202">
        <v>0.32</v>
      </c>
      <c r="W202">
        <v>0.55000000000000004</v>
      </c>
      <c r="Y202" t="s">
        <v>610</v>
      </c>
    </row>
    <row r="203" spans="1:25" x14ac:dyDescent="0.25">
      <c r="A203" t="s">
        <v>61</v>
      </c>
      <c r="B203" t="s">
        <v>62</v>
      </c>
      <c r="C203">
        <v>2</v>
      </c>
      <c r="D203">
        <v>1</v>
      </c>
      <c r="E203">
        <f t="shared" si="58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f t="shared" si="61"/>
        <v>5.3961656859975192E-2</v>
      </c>
      <c r="P203">
        <f t="shared" si="62"/>
        <v>4.9254599269522767</v>
      </c>
      <c r="Q203">
        <f t="shared" si="66"/>
        <v>12.510668214458784</v>
      </c>
      <c r="R203">
        <f t="shared" si="63"/>
        <v>24.476624933083794</v>
      </c>
      <c r="S203">
        <f t="shared" si="64"/>
        <v>58.823900343868765</v>
      </c>
      <c r="T203">
        <f t="shared" si="65"/>
        <v>155.88333591125223</v>
      </c>
      <c r="U203">
        <v>33.700000000000003</v>
      </c>
      <c r="V203">
        <v>0.32</v>
      </c>
      <c r="W203">
        <v>0.55000000000000004</v>
      </c>
    </row>
    <row r="204" spans="1:25" x14ac:dyDescent="0.25">
      <c r="A204" t="s">
        <v>61</v>
      </c>
      <c r="B204" t="s">
        <v>62</v>
      </c>
      <c r="C204">
        <v>3</v>
      </c>
      <c r="D204">
        <v>1</v>
      </c>
      <c r="E204">
        <f t="shared" si="58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f t="shared" si="61"/>
        <v>0.16925822579919275</v>
      </c>
      <c r="P204">
        <f t="shared" si="62"/>
        <v>7.2099949321631094</v>
      </c>
      <c r="Q204">
        <f t="shared" si="66"/>
        <v>18.313387127694298</v>
      </c>
      <c r="R204">
        <f t="shared" si="63"/>
        <v>76.774331086170292</v>
      </c>
      <c r="S204">
        <f t="shared" si="64"/>
        <v>184.5093272919257</v>
      </c>
      <c r="T204">
        <f t="shared" si="65"/>
        <v>488.94971732360307</v>
      </c>
      <c r="U204">
        <v>33.700000000000003</v>
      </c>
      <c r="V204">
        <v>0.32</v>
      </c>
      <c r="W204">
        <v>0.55000000000000004</v>
      </c>
    </row>
    <row r="205" spans="1:25" x14ac:dyDescent="0.25">
      <c r="A205" t="s">
        <v>61</v>
      </c>
      <c r="B205" t="s">
        <v>62</v>
      </c>
      <c r="C205">
        <v>4</v>
      </c>
      <c r="D205">
        <v>1</v>
      </c>
      <c r="E205">
        <f t="shared" si="58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f t="shared" si="61"/>
        <v>0.31503247839267406</v>
      </c>
      <c r="P205">
        <f t="shared" si="62"/>
        <v>8.8689078263580932</v>
      </c>
      <c r="Q205">
        <f t="shared" si="66"/>
        <v>22.527025878949555</v>
      </c>
      <c r="R205">
        <f t="shared" si="63"/>
        <v>142.89649844085332</v>
      </c>
      <c r="S205">
        <f t="shared" si="64"/>
        <v>343.41864561608588</v>
      </c>
      <c r="T205">
        <f t="shared" si="65"/>
        <v>910.0594108826275</v>
      </c>
      <c r="U205">
        <v>33.700000000000003</v>
      </c>
      <c r="V205">
        <v>0.32</v>
      </c>
      <c r="W205">
        <v>0.55000000000000004</v>
      </c>
    </row>
    <row r="206" spans="1:25" x14ac:dyDescent="0.25">
      <c r="A206" t="s">
        <v>61</v>
      </c>
      <c r="B206" t="s">
        <v>62</v>
      </c>
      <c r="C206">
        <v>5</v>
      </c>
      <c r="D206">
        <v>1</v>
      </c>
      <c r="E206">
        <f t="shared" si="58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f t="shared" si="61"/>
        <v>0.46162510404551982</v>
      </c>
      <c r="P206">
        <f t="shared" si="62"/>
        <v>10.073525827066911</v>
      </c>
      <c r="Q206">
        <f t="shared" si="66"/>
        <v>25.586755600749953</v>
      </c>
      <c r="R206">
        <f t="shared" si="63"/>
        <v>209.38987401253723</v>
      </c>
      <c r="S206">
        <f t="shared" si="64"/>
        <v>503.22007693472062</v>
      </c>
      <c r="T206">
        <f t="shared" si="65"/>
        <v>1333.5332038770096</v>
      </c>
      <c r="U206">
        <v>33.700000000000003</v>
      </c>
      <c r="V206">
        <v>0.32</v>
      </c>
      <c r="W206">
        <v>0.55000000000000004</v>
      </c>
    </row>
    <row r="207" spans="1:25" x14ac:dyDescent="0.25">
      <c r="A207" t="s">
        <v>61</v>
      </c>
      <c r="B207" t="s">
        <v>62</v>
      </c>
      <c r="C207">
        <v>6</v>
      </c>
      <c r="D207">
        <v>1</v>
      </c>
      <c r="E207">
        <f t="shared" si="58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f t="shared" si="61"/>
        <v>0.59262501419292635</v>
      </c>
      <c r="P207">
        <f t="shared" si="62"/>
        <v>10.948258028323252</v>
      </c>
      <c r="Q207">
        <f t="shared" si="66"/>
        <v>27.808575391941062</v>
      </c>
      <c r="R207">
        <f t="shared" si="63"/>
        <v>268.81050439210674</v>
      </c>
      <c r="S207">
        <f t="shared" si="64"/>
        <v>646.0238029130179</v>
      </c>
      <c r="T207">
        <f t="shared" si="65"/>
        <v>1711.9630777194973</v>
      </c>
      <c r="U207">
        <v>33.700000000000003</v>
      </c>
      <c r="V207">
        <v>0.32</v>
      </c>
      <c r="W207">
        <v>0.55000000000000004</v>
      </c>
    </row>
    <row r="208" spans="1:25" x14ac:dyDescent="0.25">
      <c r="A208" t="s">
        <v>61</v>
      </c>
      <c r="B208" t="s">
        <v>62</v>
      </c>
      <c r="C208">
        <v>7</v>
      </c>
      <c r="D208">
        <v>1</v>
      </c>
      <c r="E208">
        <f t="shared" si="58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f t="shared" si="61"/>
        <v>0.70187215487787324</v>
      </c>
      <c r="P208">
        <f t="shared" si="62"/>
        <v>11.583443973962897</v>
      </c>
      <c r="Q208">
        <f t="shared" si="66"/>
        <v>29.421947693865757</v>
      </c>
      <c r="R208">
        <f t="shared" si="63"/>
        <v>318.36423278291642</v>
      </c>
      <c r="S208">
        <f t="shared" si="64"/>
        <v>765.1147146909791</v>
      </c>
      <c r="T208">
        <f t="shared" si="65"/>
        <v>2027.5539939310945</v>
      </c>
      <c r="U208">
        <v>33.700000000000003</v>
      </c>
      <c r="V208">
        <v>0.32</v>
      </c>
      <c r="W208">
        <v>0.55000000000000004</v>
      </c>
    </row>
    <row r="209" spans="1:25" x14ac:dyDescent="0.25">
      <c r="A209" t="s">
        <v>61</v>
      </c>
      <c r="B209" t="s">
        <v>62</v>
      </c>
      <c r="C209">
        <v>8</v>
      </c>
      <c r="D209">
        <v>1</v>
      </c>
      <c r="E209">
        <f t="shared" si="58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f t="shared" si="61"/>
        <v>0.7890982822677115</v>
      </c>
      <c r="P209">
        <f t="shared" si="62"/>
        <v>12.044683636751865</v>
      </c>
      <c r="Q209">
        <f t="shared" si="66"/>
        <v>30.593496437349735</v>
      </c>
      <c r="R209">
        <f t="shared" si="63"/>
        <v>357.92938568447693</v>
      </c>
      <c r="S209">
        <f t="shared" si="64"/>
        <v>860.20039818427529</v>
      </c>
      <c r="T209">
        <f t="shared" si="65"/>
        <v>2279.5310551883294</v>
      </c>
      <c r="U209">
        <v>33.700000000000003</v>
      </c>
      <c r="V209">
        <v>0.32</v>
      </c>
      <c r="W209">
        <v>0.55000000000000004</v>
      </c>
    </row>
    <row r="210" spans="1:25" x14ac:dyDescent="0.25">
      <c r="A210" t="s">
        <v>61</v>
      </c>
      <c r="B210" t="s">
        <v>62</v>
      </c>
      <c r="C210">
        <v>9</v>
      </c>
      <c r="D210">
        <v>1</v>
      </c>
      <c r="E210">
        <f t="shared" si="58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f t="shared" si="61"/>
        <v>0.85677353898074948</v>
      </c>
      <c r="P210">
        <f t="shared" si="62"/>
        <v>12.379612373746269</v>
      </c>
      <c r="Q210">
        <f t="shared" si="66"/>
        <v>31.444215429315523</v>
      </c>
      <c r="R210">
        <f t="shared" si="63"/>
        <v>388.6264022737476</v>
      </c>
      <c r="S210">
        <f t="shared" si="64"/>
        <v>933.97356951152983</v>
      </c>
      <c r="T210">
        <f t="shared" si="65"/>
        <v>2475.029959205554</v>
      </c>
      <c r="U210">
        <v>33.700000000000003</v>
      </c>
      <c r="V210">
        <v>0.32</v>
      </c>
      <c r="W210">
        <v>0.55000000000000004</v>
      </c>
    </row>
    <row r="211" spans="1:25" x14ac:dyDescent="0.25">
      <c r="A211" t="s">
        <v>61</v>
      </c>
      <c r="B211" t="s">
        <v>62</v>
      </c>
      <c r="C211">
        <v>10</v>
      </c>
      <c r="D211">
        <v>1</v>
      </c>
      <c r="E211">
        <f t="shared" si="58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f t="shared" si="61"/>
        <v>0.9082682453704467</v>
      </c>
      <c r="P211">
        <f t="shared" si="62"/>
        <v>12.622820553603063</v>
      </c>
      <c r="Q211">
        <f t="shared" si="66"/>
        <v>32.061964206151778</v>
      </c>
      <c r="R211">
        <f t="shared" si="63"/>
        <v>411.98403596558438</v>
      </c>
      <c r="S211">
        <f t="shared" si="64"/>
        <v>990.10823351498277</v>
      </c>
      <c r="T211">
        <f t="shared" si="65"/>
        <v>2623.7868188147045</v>
      </c>
      <c r="U211">
        <v>33.700000000000003</v>
      </c>
      <c r="V211">
        <v>0.32</v>
      </c>
      <c r="W211">
        <v>0.55000000000000004</v>
      </c>
    </row>
    <row r="212" spans="1:25" x14ac:dyDescent="0.25">
      <c r="A212" t="s">
        <v>63</v>
      </c>
      <c r="B212" t="s">
        <v>64</v>
      </c>
      <c r="C212">
        <v>1</v>
      </c>
      <c r="D212">
        <v>2</v>
      </c>
      <c r="E212">
        <f t="shared" si="58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f t="shared" si="61"/>
        <v>0.66612204012373721</v>
      </c>
      <c r="P212">
        <f t="shared" si="62"/>
        <v>10.347995317804822</v>
      </c>
      <c r="Q212">
        <f t="shared" ref="Q212:Q221" si="67">42.5*(1-EXP(-0.47*(E212+0.05)))</f>
        <v>26.283908107224249</v>
      </c>
      <c r="R212">
        <f t="shared" si="63"/>
        <v>302.14823421892987</v>
      </c>
      <c r="S212">
        <f t="shared" si="64"/>
        <v>726.1433170366015</v>
      </c>
      <c r="T212">
        <f t="shared" si="65"/>
        <v>1924.2797901469939</v>
      </c>
      <c r="U212">
        <v>42.5</v>
      </c>
      <c r="V212">
        <v>0.47</v>
      </c>
      <c r="W212">
        <v>0.05</v>
      </c>
      <c r="Y212" t="s">
        <v>611</v>
      </c>
    </row>
    <row r="213" spans="1:25" x14ac:dyDescent="0.25">
      <c r="A213" t="s">
        <v>63</v>
      </c>
      <c r="B213" t="s">
        <v>64</v>
      </c>
      <c r="C213">
        <v>2</v>
      </c>
      <c r="D213">
        <v>2</v>
      </c>
      <c r="E213">
        <f t="shared" si="58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f t="shared" si="61"/>
        <v>1.7915521851661977</v>
      </c>
      <c r="P213">
        <f t="shared" si="62"/>
        <v>14.238402805492182</v>
      </c>
      <c r="Q213">
        <f t="shared" si="67"/>
        <v>36.165543125950144</v>
      </c>
      <c r="R213">
        <f t="shared" si="63"/>
        <v>812.63536807531352</v>
      </c>
      <c r="S213">
        <f t="shared" si="64"/>
        <v>1952.9809374556924</v>
      </c>
      <c r="T213">
        <f t="shared" si="65"/>
        <v>5175.3994842575848</v>
      </c>
      <c r="U213">
        <v>42.5</v>
      </c>
      <c r="V213">
        <v>0.47</v>
      </c>
      <c r="W213">
        <v>0.05</v>
      </c>
    </row>
    <row r="214" spans="1:25" x14ac:dyDescent="0.25">
      <c r="A214" t="s">
        <v>63</v>
      </c>
      <c r="B214" t="s">
        <v>64</v>
      </c>
      <c r="C214">
        <v>3</v>
      </c>
      <c r="D214">
        <v>2</v>
      </c>
      <c r="E214">
        <f t="shared" si="58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f t="shared" si="61"/>
        <v>2.453363028377916</v>
      </c>
      <c r="P214">
        <f t="shared" si="62"/>
        <v>15.758104261070079</v>
      </c>
      <c r="Q214">
        <f t="shared" si="67"/>
        <v>40.025584823118002</v>
      </c>
      <c r="R214">
        <f t="shared" si="63"/>
        <v>1112.8280739437707</v>
      </c>
      <c r="S214">
        <f t="shared" si="64"/>
        <v>2674.4245949141327</v>
      </c>
      <c r="T214">
        <f t="shared" si="65"/>
        <v>7087.2251765224519</v>
      </c>
      <c r="U214">
        <v>42.5</v>
      </c>
      <c r="V214">
        <v>0.47</v>
      </c>
      <c r="W214">
        <v>0.05</v>
      </c>
    </row>
    <row r="215" spans="1:25" x14ac:dyDescent="0.25">
      <c r="A215" t="s">
        <v>63</v>
      </c>
      <c r="B215" t="s">
        <v>64</v>
      </c>
      <c r="C215">
        <v>4</v>
      </c>
      <c r="D215">
        <v>2</v>
      </c>
      <c r="E215">
        <f t="shared" si="58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f t="shared" si="61"/>
        <v>2.7513636013439866</v>
      </c>
      <c r="P215">
        <f t="shared" si="62"/>
        <v>16.351741951053665</v>
      </c>
      <c r="Q215">
        <f t="shared" si="67"/>
        <v>41.533424555676312</v>
      </c>
      <c r="R215">
        <f t="shared" si="63"/>
        <v>1247.9990208489385</v>
      </c>
      <c r="S215">
        <f t="shared" si="64"/>
        <v>2999.276666303625</v>
      </c>
      <c r="T215">
        <f t="shared" si="65"/>
        <v>7948.0831657046056</v>
      </c>
      <c r="U215">
        <v>42.5</v>
      </c>
      <c r="V215">
        <v>0.47</v>
      </c>
      <c r="W215">
        <v>0.05</v>
      </c>
    </row>
    <row r="216" spans="1:25" x14ac:dyDescent="0.25">
      <c r="A216" t="s">
        <v>63</v>
      </c>
      <c r="B216" t="s">
        <v>64</v>
      </c>
      <c r="C216">
        <v>5</v>
      </c>
      <c r="D216">
        <v>2</v>
      </c>
      <c r="E216">
        <f t="shared" si="58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f t="shared" si="61"/>
        <v>2.8741308861100814</v>
      </c>
      <c r="P216">
        <f t="shared" si="62"/>
        <v>16.583633356879186</v>
      </c>
      <c r="Q216">
        <f t="shared" si="67"/>
        <v>42.122428726473139</v>
      </c>
      <c r="R216">
        <f t="shared" si="63"/>
        <v>1303.6853907295051</v>
      </c>
      <c r="S216">
        <f t="shared" si="64"/>
        <v>3133.1059618589406</v>
      </c>
      <c r="T216">
        <f t="shared" si="65"/>
        <v>8302.7307989261917</v>
      </c>
      <c r="U216">
        <v>42.5</v>
      </c>
      <c r="V216">
        <v>0.47</v>
      </c>
      <c r="W216">
        <v>0.05</v>
      </c>
    </row>
    <row r="217" spans="1:25" x14ac:dyDescent="0.25">
      <c r="A217" t="s">
        <v>63</v>
      </c>
      <c r="B217" t="s">
        <v>64</v>
      </c>
      <c r="C217">
        <v>6</v>
      </c>
      <c r="D217">
        <v>2</v>
      </c>
      <c r="E217">
        <f t="shared" si="58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f t="shared" si="61"/>
        <v>2.9230777702200399</v>
      </c>
      <c r="P217">
        <f t="shared" si="62"/>
        <v>16.674216594775054</v>
      </c>
      <c r="Q217">
        <f t="shared" si="67"/>
        <v>42.352510150728641</v>
      </c>
      <c r="R217">
        <f t="shared" si="63"/>
        <v>1325.8873503007501</v>
      </c>
      <c r="S217">
        <f t="shared" si="64"/>
        <v>3186.4632307155734</v>
      </c>
      <c r="T217">
        <f t="shared" si="65"/>
        <v>8444.1275613962698</v>
      </c>
      <c r="U217">
        <v>42.5</v>
      </c>
      <c r="V217">
        <v>0.47</v>
      </c>
      <c r="W217">
        <v>0.05</v>
      </c>
    </row>
    <row r="218" spans="1:25" x14ac:dyDescent="0.25">
      <c r="A218" t="s">
        <v>63</v>
      </c>
      <c r="B218" t="s">
        <v>64</v>
      </c>
      <c r="C218">
        <v>7</v>
      </c>
      <c r="D218">
        <v>2</v>
      </c>
      <c r="E218">
        <f t="shared" si="58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f t="shared" si="61"/>
        <v>2.9423501357565467</v>
      </c>
      <c r="P218">
        <f t="shared" si="62"/>
        <v>16.709600928914085</v>
      </c>
      <c r="Q218">
        <f t="shared" si="67"/>
        <v>42.442386359441777</v>
      </c>
      <c r="R218">
        <f t="shared" si="63"/>
        <v>1334.6291586561615</v>
      </c>
      <c r="S218">
        <f t="shared" si="64"/>
        <v>3207.4721428891166</v>
      </c>
      <c r="T218">
        <f t="shared" si="65"/>
        <v>8499.8011786561583</v>
      </c>
      <c r="U218">
        <v>42.5</v>
      </c>
      <c r="V218">
        <v>0.47</v>
      </c>
      <c r="W218">
        <v>0.05</v>
      </c>
    </row>
    <row r="219" spans="1:25" x14ac:dyDescent="0.25">
      <c r="A219" t="s">
        <v>63</v>
      </c>
      <c r="B219" t="s">
        <v>64</v>
      </c>
      <c r="C219">
        <v>8</v>
      </c>
      <c r="D219">
        <v>2</v>
      </c>
      <c r="E219">
        <f t="shared" si="58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f t="shared" si="61"/>
        <v>2.9499017768610618</v>
      </c>
      <c r="P219">
        <f t="shared" si="62"/>
        <v>16.723423034764416</v>
      </c>
      <c r="Q219">
        <f t="shared" si="67"/>
        <v>42.477494508301618</v>
      </c>
      <c r="R219">
        <f t="shared" si="63"/>
        <v>1338.0545295157722</v>
      </c>
      <c r="S219">
        <f t="shared" si="64"/>
        <v>3215.7042285887342</v>
      </c>
      <c r="T219">
        <f t="shared" si="65"/>
        <v>8521.616205760145</v>
      </c>
      <c r="U219">
        <v>42.5</v>
      </c>
      <c r="V219">
        <v>0.47</v>
      </c>
      <c r="W219">
        <v>0.05</v>
      </c>
    </row>
    <row r="220" spans="1:25" x14ac:dyDescent="0.25">
      <c r="A220" t="s">
        <v>63</v>
      </c>
      <c r="B220" t="s">
        <v>64</v>
      </c>
      <c r="C220">
        <v>9</v>
      </c>
      <c r="D220">
        <v>2</v>
      </c>
      <c r="E220">
        <f t="shared" si="58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f t="shared" si="61"/>
        <v>2.9528552205434417</v>
      </c>
      <c r="P220">
        <f t="shared" si="62"/>
        <v>16.728822334052825</v>
      </c>
      <c r="Q220">
        <f t="shared" si="67"/>
        <v>42.491208728494179</v>
      </c>
      <c r="R220">
        <f t="shared" si="63"/>
        <v>1339.3941906285172</v>
      </c>
      <c r="S220">
        <f t="shared" si="64"/>
        <v>3218.9237938681017</v>
      </c>
      <c r="T220">
        <f t="shared" si="65"/>
        <v>8530.1480537504685</v>
      </c>
      <c r="U220">
        <v>42.5</v>
      </c>
      <c r="V220">
        <v>0.47</v>
      </c>
      <c r="W220">
        <v>0.05</v>
      </c>
    </row>
    <row r="221" spans="1:25" x14ac:dyDescent="0.25">
      <c r="A221" t="s">
        <v>63</v>
      </c>
      <c r="B221" t="s">
        <v>64</v>
      </c>
      <c r="C221">
        <v>10</v>
      </c>
      <c r="D221">
        <v>2</v>
      </c>
      <c r="E221">
        <f t="shared" si="58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f t="shared" si="61"/>
        <v>2.9540094617070261</v>
      </c>
      <c r="P221">
        <f t="shared" si="62"/>
        <v>16.730931450646313</v>
      </c>
      <c r="Q221">
        <f t="shared" si="67"/>
        <v>42.496565884641633</v>
      </c>
      <c r="R221">
        <f t="shared" si="63"/>
        <v>1339.9177462360979</v>
      </c>
      <c r="S221">
        <f t="shared" si="64"/>
        <v>3220.1820385390479</v>
      </c>
      <c r="T221">
        <f t="shared" si="65"/>
        <v>8533.4824021284767</v>
      </c>
      <c r="U221">
        <v>42.5</v>
      </c>
      <c r="V221">
        <v>0.47</v>
      </c>
      <c r="W221">
        <v>0.05</v>
      </c>
    </row>
    <row r="222" spans="1:25" x14ac:dyDescent="0.25">
      <c r="A222" t="s">
        <v>65</v>
      </c>
      <c r="B222" t="s">
        <v>66</v>
      </c>
      <c r="C222">
        <v>1</v>
      </c>
      <c r="D222">
        <v>3</v>
      </c>
      <c r="E222">
        <f t="shared" si="58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f t="shared" si="61"/>
        <v>2.0725590858794272</v>
      </c>
      <c r="P222">
        <f t="shared" si="62"/>
        <v>14.6531374775393</v>
      </c>
      <c r="Q222">
        <f t="shared" ref="Q222:Q231" si="68">52.7*(1-EXP(-0.35*(E222+0.5)))</f>
        <v>37.218969192949821</v>
      </c>
      <c r="R222">
        <f t="shared" si="63"/>
        <v>940.09810574131916</v>
      </c>
      <c r="S222">
        <f t="shared" si="64"/>
        <v>2259.3081128125909</v>
      </c>
      <c r="T222">
        <f t="shared" si="65"/>
        <v>5987.1664989533656</v>
      </c>
      <c r="U222">
        <v>52.7</v>
      </c>
      <c r="V222">
        <v>0.35</v>
      </c>
      <c r="W222">
        <v>-0.5</v>
      </c>
      <c r="Y222" t="s">
        <v>612</v>
      </c>
    </row>
    <row r="223" spans="1:25" x14ac:dyDescent="0.25">
      <c r="A223" t="s">
        <v>65</v>
      </c>
      <c r="B223" t="s">
        <v>66</v>
      </c>
      <c r="C223">
        <v>2</v>
      </c>
      <c r="D223">
        <v>3</v>
      </c>
      <c r="E223">
        <f t="shared" si="58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f t="shared" si="61"/>
        <v>4.3522289294250358</v>
      </c>
      <c r="P223">
        <f t="shared" si="62"/>
        <v>18.615198002149768</v>
      </c>
      <c r="Q223">
        <f t="shared" si="68"/>
        <v>47.282602925460409</v>
      </c>
      <c r="R223">
        <f t="shared" si="63"/>
        <v>1974.1401826278613</v>
      </c>
      <c r="S223">
        <f t="shared" si="64"/>
        <v>4744.3888070845023</v>
      </c>
      <c r="T223">
        <f t="shared" si="65"/>
        <v>12572.63033877393</v>
      </c>
      <c r="U223">
        <v>52.7</v>
      </c>
      <c r="V223">
        <v>0.35</v>
      </c>
      <c r="W223">
        <v>-0.5</v>
      </c>
    </row>
    <row r="224" spans="1:25" x14ac:dyDescent="0.25">
      <c r="A224" t="s">
        <v>65</v>
      </c>
      <c r="B224" t="s">
        <v>66</v>
      </c>
      <c r="C224">
        <v>3</v>
      </c>
      <c r="D224">
        <v>3</v>
      </c>
      <c r="E224">
        <f t="shared" si="58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f t="shared" si="61"/>
        <v>5.4378541571058818</v>
      </c>
      <c r="P224">
        <f t="shared" si="62"/>
        <v>20.00167254397412</v>
      </c>
      <c r="Q224">
        <f t="shared" si="68"/>
        <v>50.804248261694262</v>
      </c>
      <c r="R224">
        <f t="shared" si="63"/>
        <v>2466.5720882083451</v>
      </c>
      <c r="S224">
        <f t="shared" si="64"/>
        <v>5927.8348671193107</v>
      </c>
      <c r="T224">
        <f t="shared" si="65"/>
        <v>15708.762397866172</v>
      </c>
      <c r="U224">
        <v>52.7</v>
      </c>
      <c r="V224">
        <v>0.35</v>
      </c>
      <c r="W224">
        <v>-0.5</v>
      </c>
    </row>
    <row r="225" spans="1:25" x14ac:dyDescent="0.25">
      <c r="A225" t="s">
        <v>65</v>
      </c>
      <c r="B225" t="s">
        <v>66</v>
      </c>
      <c r="C225">
        <v>4</v>
      </c>
      <c r="D225">
        <v>3</v>
      </c>
      <c r="E225">
        <f t="shared" si="58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f t="shared" si="61"/>
        <v>5.8572696750639031</v>
      </c>
      <c r="P225">
        <f t="shared" si="62"/>
        <v>20.486852324340049</v>
      </c>
      <c r="Q225">
        <f t="shared" si="68"/>
        <v>52.036604903823729</v>
      </c>
      <c r="R225">
        <f t="shared" si="63"/>
        <v>2656.8159932613798</v>
      </c>
      <c r="S225">
        <f t="shared" si="64"/>
        <v>6385.0420410030756</v>
      </c>
      <c r="T225">
        <f t="shared" si="65"/>
        <v>16920.361408658151</v>
      </c>
      <c r="U225">
        <v>52.7</v>
      </c>
      <c r="V225">
        <v>0.35</v>
      </c>
      <c r="W225">
        <v>-0.5</v>
      </c>
    </row>
    <row r="226" spans="1:25" x14ac:dyDescent="0.25">
      <c r="A226" t="s">
        <v>65</v>
      </c>
      <c r="B226" t="s">
        <v>66</v>
      </c>
      <c r="C226">
        <v>5</v>
      </c>
      <c r="D226">
        <v>3</v>
      </c>
      <c r="E226">
        <f t="shared" si="58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f t="shared" si="61"/>
        <v>6.0090618324896212</v>
      </c>
      <c r="P226">
        <f t="shared" si="62"/>
        <v>20.65663504459555</v>
      </c>
      <c r="Q226">
        <f t="shared" si="68"/>
        <v>52.467853013272702</v>
      </c>
      <c r="R226">
        <f t="shared" si="63"/>
        <v>2725.6678395776239</v>
      </c>
      <c r="S226">
        <f t="shared" si="64"/>
        <v>6550.5115106407684</v>
      </c>
      <c r="T226">
        <f t="shared" si="65"/>
        <v>17358.855503198036</v>
      </c>
      <c r="U226">
        <v>52.7</v>
      </c>
      <c r="V226">
        <v>0.35</v>
      </c>
      <c r="W226">
        <v>-0.5</v>
      </c>
    </row>
    <row r="227" spans="1:25" x14ac:dyDescent="0.25">
      <c r="A227" t="s">
        <v>65</v>
      </c>
      <c r="B227" t="s">
        <v>66</v>
      </c>
      <c r="C227">
        <v>6</v>
      </c>
      <c r="D227">
        <v>3</v>
      </c>
      <c r="E227">
        <f t="shared" si="58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f t="shared" si="61"/>
        <v>6.0628026247891587</v>
      </c>
      <c r="P227">
        <f t="shared" si="62"/>
        <v>20.716048427559731</v>
      </c>
      <c r="Q227">
        <f t="shared" si="68"/>
        <v>52.618763006001714</v>
      </c>
      <c r="R227">
        <f t="shared" si="63"/>
        <v>2750.0442819121477</v>
      </c>
      <c r="S227">
        <f t="shared" si="64"/>
        <v>6609.0946453067718</v>
      </c>
      <c r="T227">
        <f t="shared" si="65"/>
        <v>17514.100810062944</v>
      </c>
      <c r="U227">
        <v>52.7</v>
      </c>
      <c r="V227">
        <v>0.35</v>
      </c>
      <c r="W227">
        <v>-0.5</v>
      </c>
    </row>
    <row r="228" spans="1:25" x14ac:dyDescent="0.25">
      <c r="A228" t="s">
        <v>65</v>
      </c>
      <c r="B228" t="s">
        <v>66</v>
      </c>
      <c r="C228">
        <v>7</v>
      </c>
      <c r="D228">
        <v>3</v>
      </c>
      <c r="E228">
        <f t="shared" si="58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f t="shared" si="61"/>
        <v>6.0816851845469531</v>
      </c>
      <c r="P228">
        <f t="shared" si="62"/>
        <v>20.736839413061293</v>
      </c>
      <c r="Q228">
        <f t="shared" si="68"/>
        <v>52.671572109175685</v>
      </c>
      <c r="R228">
        <f t="shared" si="63"/>
        <v>2758.6092771302779</v>
      </c>
      <c r="S228">
        <f t="shared" si="64"/>
        <v>6629.6786280468104</v>
      </c>
      <c r="T228">
        <f t="shared" si="65"/>
        <v>17568.648364324046</v>
      </c>
      <c r="U228">
        <v>52.7</v>
      </c>
      <c r="V228">
        <v>0.35</v>
      </c>
      <c r="W228">
        <v>-0.5</v>
      </c>
    </row>
    <row r="229" spans="1:25" x14ac:dyDescent="0.25">
      <c r="A229" t="s">
        <v>65</v>
      </c>
      <c r="B229" t="s">
        <v>66</v>
      </c>
      <c r="C229">
        <v>8</v>
      </c>
      <c r="D229">
        <v>3</v>
      </c>
      <c r="E229">
        <f t="shared" si="58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f t="shared" si="61"/>
        <v>6.0883023031196473</v>
      </c>
      <c r="P229">
        <f t="shared" si="62"/>
        <v>20.744114963729512</v>
      </c>
      <c r="Q229">
        <f t="shared" si="68"/>
        <v>52.690052007872964</v>
      </c>
      <c r="R229">
        <f t="shared" si="63"/>
        <v>2761.6107551957466</v>
      </c>
      <c r="S229">
        <f t="shared" si="64"/>
        <v>6636.891985570167</v>
      </c>
      <c r="T229">
        <f t="shared" si="65"/>
        <v>17587.763761760943</v>
      </c>
      <c r="U229">
        <v>52.7</v>
      </c>
      <c r="V229">
        <v>0.35</v>
      </c>
      <c r="W229">
        <v>-0.5</v>
      </c>
    </row>
    <row r="230" spans="1:25" x14ac:dyDescent="0.25">
      <c r="A230" t="s">
        <v>65</v>
      </c>
      <c r="B230" t="s">
        <v>66</v>
      </c>
      <c r="C230">
        <v>9</v>
      </c>
      <c r="D230">
        <v>3</v>
      </c>
      <c r="E230">
        <f t="shared" si="58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f t="shared" si="61"/>
        <v>6.090619034181084</v>
      </c>
      <c r="P230">
        <f t="shared" si="62"/>
        <v>20.746660953553892</v>
      </c>
      <c r="Q230">
        <f t="shared" si="68"/>
        <v>52.696518822026889</v>
      </c>
      <c r="R230">
        <f t="shared" si="63"/>
        <v>2762.6616079782839</v>
      </c>
      <c r="S230">
        <f t="shared" si="64"/>
        <v>6639.4174669028689</v>
      </c>
      <c r="T230">
        <f t="shared" si="65"/>
        <v>17594.456287292604</v>
      </c>
      <c r="U230">
        <v>52.7</v>
      </c>
      <c r="V230">
        <v>0.35</v>
      </c>
      <c r="W230">
        <v>-0.5</v>
      </c>
    </row>
    <row r="231" spans="1:25" x14ac:dyDescent="0.25">
      <c r="A231" t="s">
        <v>65</v>
      </c>
      <c r="B231" t="s">
        <v>66</v>
      </c>
      <c r="C231">
        <v>10</v>
      </c>
      <c r="D231">
        <v>3</v>
      </c>
      <c r="E231">
        <f t="shared" si="58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f t="shared" si="61"/>
        <v>6.0914298868671635</v>
      </c>
      <c r="P231">
        <f t="shared" si="62"/>
        <v>20.747551891502297</v>
      </c>
      <c r="Q231">
        <f t="shared" si="68"/>
        <v>52.698781804415837</v>
      </c>
      <c r="R231">
        <f t="shared" si="63"/>
        <v>2763.0294050072862</v>
      </c>
      <c r="S231">
        <f t="shared" si="64"/>
        <v>6640.3013818968666</v>
      </c>
      <c r="T231">
        <f t="shared" si="65"/>
        <v>17596.798662026697</v>
      </c>
      <c r="U231">
        <v>52.7</v>
      </c>
      <c r="V231">
        <v>0.35</v>
      </c>
      <c r="W231">
        <v>-0.5</v>
      </c>
    </row>
    <row r="232" spans="1:25" x14ac:dyDescent="0.25">
      <c r="A232" t="s">
        <v>67</v>
      </c>
      <c r="B232" t="s">
        <v>68</v>
      </c>
      <c r="C232">
        <v>1</v>
      </c>
      <c r="D232">
        <v>1</v>
      </c>
      <c r="E232">
        <f t="shared" si="58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f t="shared" si="61"/>
        <v>0.29562930587218395</v>
      </c>
      <c r="P232">
        <f t="shared" si="62"/>
        <v>8.1687907002764426</v>
      </c>
      <c r="Q232">
        <f t="shared" ref="Q232:Q241" si="69">40.6*(1-EXP(-0.27*(E232+1.65)))</f>
        <v>20.748728378702165</v>
      </c>
      <c r="R232">
        <f t="shared" si="63"/>
        <v>134.09535696500257</v>
      </c>
      <c r="S232">
        <f t="shared" si="64"/>
        <v>322.26714002644212</v>
      </c>
      <c r="T232">
        <f t="shared" si="65"/>
        <v>854.00792107007157</v>
      </c>
      <c r="U232">
        <v>40.6</v>
      </c>
      <c r="V232">
        <v>0.27</v>
      </c>
      <c r="W232">
        <v>-1.65</v>
      </c>
      <c r="Y232" t="s">
        <v>613</v>
      </c>
    </row>
    <row r="233" spans="1:25" x14ac:dyDescent="0.25">
      <c r="A233" t="s">
        <v>67</v>
      </c>
      <c r="B233" t="s">
        <v>68</v>
      </c>
      <c r="C233">
        <v>2</v>
      </c>
      <c r="D233">
        <v>1</v>
      </c>
      <c r="E233">
        <f t="shared" si="58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f t="shared" si="61"/>
        <v>0.55088405600369239</v>
      </c>
      <c r="P233">
        <f t="shared" si="62"/>
        <v>10.018089097555173</v>
      </c>
      <c r="Q233">
        <f t="shared" si="69"/>
        <v>25.445946307790138</v>
      </c>
      <c r="R233">
        <f t="shared" si="63"/>
        <v>249.8771017244207</v>
      </c>
      <c r="S233">
        <f t="shared" si="64"/>
        <v>600.5217537236739</v>
      </c>
      <c r="T233">
        <f t="shared" si="65"/>
        <v>1591.3826473677357</v>
      </c>
      <c r="U233">
        <v>40.6</v>
      </c>
      <c r="V233">
        <v>0.27</v>
      </c>
      <c r="W233">
        <v>-1.65</v>
      </c>
    </row>
    <row r="234" spans="1:25" x14ac:dyDescent="0.25">
      <c r="A234" t="s">
        <v>67</v>
      </c>
      <c r="B234" t="s">
        <v>68</v>
      </c>
      <c r="C234">
        <v>3</v>
      </c>
      <c r="D234">
        <v>1</v>
      </c>
      <c r="E234">
        <f t="shared" si="58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f t="shared" si="61"/>
        <v>0.82354011694944063</v>
      </c>
      <c r="P234">
        <f t="shared" si="62"/>
        <v>11.42980557294776</v>
      </c>
      <c r="Q234">
        <f t="shared" si="69"/>
        <v>29.03170615528731</v>
      </c>
      <c r="R234">
        <f t="shared" si="63"/>
        <v>373.55195768406372</v>
      </c>
      <c r="S234">
        <f t="shared" si="64"/>
        <v>897.74563250195558</v>
      </c>
      <c r="T234">
        <f t="shared" si="65"/>
        <v>2379.0259261301821</v>
      </c>
      <c r="U234">
        <v>40.6</v>
      </c>
      <c r="V234">
        <v>0.27</v>
      </c>
      <c r="W234">
        <v>-1.65</v>
      </c>
    </row>
    <row r="235" spans="1:25" x14ac:dyDescent="0.25">
      <c r="A235" t="s">
        <v>67</v>
      </c>
      <c r="B235" t="s">
        <v>68</v>
      </c>
      <c r="C235">
        <v>4</v>
      </c>
      <c r="D235">
        <v>1</v>
      </c>
      <c r="E235">
        <f t="shared" si="58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f t="shared" si="61"/>
        <v>1.0840126121330353</v>
      </c>
      <c r="P235">
        <f t="shared" si="62"/>
        <v>12.50748098207996</v>
      </c>
      <c r="Q235">
        <f t="shared" si="69"/>
        <v>31.769001694483098</v>
      </c>
      <c r="R235">
        <f t="shared" si="63"/>
        <v>491.70043460235115</v>
      </c>
      <c r="S235">
        <f t="shared" si="64"/>
        <v>1181.6881389145665</v>
      </c>
      <c r="T235">
        <f t="shared" si="65"/>
        <v>3131.4735681236011</v>
      </c>
      <c r="U235">
        <v>40.6</v>
      </c>
      <c r="V235">
        <v>0.27</v>
      </c>
      <c r="W235">
        <v>-1.65</v>
      </c>
    </row>
    <row r="236" spans="1:25" x14ac:dyDescent="0.25">
      <c r="A236" t="s">
        <v>67</v>
      </c>
      <c r="B236" t="s">
        <v>68</v>
      </c>
      <c r="C236">
        <v>5</v>
      </c>
      <c r="D236">
        <v>1</v>
      </c>
      <c r="E236">
        <f t="shared" si="58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f t="shared" si="61"/>
        <v>1.3164785130627175</v>
      </c>
      <c r="P236">
        <f t="shared" si="62"/>
        <v>13.330156290962558</v>
      </c>
      <c r="Q236">
        <f t="shared" si="69"/>
        <v>33.858596979044897</v>
      </c>
      <c r="R236">
        <f t="shared" si="63"/>
        <v>597.14531894962283</v>
      </c>
      <c r="S236">
        <f t="shared" si="64"/>
        <v>1435.1005021620354</v>
      </c>
      <c r="T236">
        <f t="shared" si="65"/>
        <v>3803.0163307293938</v>
      </c>
      <c r="U236">
        <v>40.6</v>
      </c>
      <c r="V236">
        <v>0.27</v>
      </c>
      <c r="W236">
        <v>-1.65</v>
      </c>
    </row>
    <row r="237" spans="1:25" x14ac:dyDescent="0.25">
      <c r="A237" t="s">
        <v>67</v>
      </c>
      <c r="B237" t="s">
        <v>68</v>
      </c>
      <c r="C237">
        <v>6</v>
      </c>
      <c r="D237">
        <v>1</v>
      </c>
      <c r="E237">
        <f t="shared" si="58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f t="shared" si="61"/>
        <v>1.5149320017236048</v>
      </c>
      <c r="P237">
        <f t="shared" si="62"/>
        <v>13.958169752260771</v>
      </c>
      <c r="Q237">
        <f t="shared" si="69"/>
        <v>35.453751170742358</v>
      </c>
      <c r="R237">
        <f t="shared" si="63"/>
        <v>687.16241425896737</v>
      </c>
      <c r="S237">
        <f t="shared" si="64"/>
        <v>1651.4357468372202</v>
      </c>
      <c r="T237">
        <f t="shared" si="65"/>
        <v>4376.3047291186331</v>
      </c>
      <c r="U237">
        <v>40.6</v>
      </c>
      <c r="V237">
        <v>0.27</v>
      </c>
      <c r="W237">
        <v>-1.65</v>
      </c>
    </row>
    <row r="238" spans="1:25" x14ac:dyDescent="0.25">
      <c r="A238" t="s">
        <v>67</v>
      </c>
      <c r="B238" t="s">
        <v>68</v>
      </c>
      <c r="C238">
        <v>7</v>
      </c>
      <c r="D238">
        <v>1</v>
      </c>
      <c r="E238">
        <f t="shared" si="58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f t="shared" si="61"/>
        <v>1.6792851052341353</v>
      </c>
      <c r="P238">
        <f t="shared" si="62"/>
        <v>14.437582350783341</v>
      </c>
      <c r="Q238">
        <f t="shared" si="69"/>
        <v>36.671459170989685</v>
      </c>
      <c r="R238">
        <f t="shared" si="63"/>
        <v>761.71181665508584</v>
      </c>
      <c r="S238">
        <f t="shared" si="64"/>
        <v>1830.5979732157796</v>
      </c>
      <c r="T238">
        <f t="shared" si="65"/>
        <v>4851.084629021816</v>
      </c>
      <c r="U238">
        <v>40.6</v>
      </c>
      <c r="V238">
        <v>0.27</v>
      </c>
      <c r="W238">
        <v>-1.65</v>
      </c>
    </row>
    <row r="239" spans="1:25" x14ac:dyDescent="0.25">
      <c r="A239" t="s">
        <v>67</v>
      </c>
      <c r="B239" t="s">
        <v>68</v>
      </c>
      <c r="C239">
        <v>8</v>
      </c>
      <c r="D239">
        <v>1</v>
      </c>
      <c r="E239">
        <f t="shared" si="58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f t="shared" si="61"/>
        <v>1.8125197727602214</v>
      </c>
      <c r="P239">
        <f t="shared" si="62"/>
        <v>14.803556097822213</v>
      </c>
      <c r="Q239">
        <f t="shared" si="69"/>
        <v>37.60103248846842</v>
      </c>
      <c r="R239">
        <f t="shared" si="63"/>
        <v>822.14611713593331</v>
      </c>
      <c r="S239">
        <f t="shared" si="64"/>
        <v>1975.8378205622046</v>
      </c>
      <c r="T239">
        <f t="shared" si="65"/>
        <v>5235.9702244898417</v>
      </c>
      <c r="U239">
        <v>40.6</v>
      </c>
      <c r="V239">
        <v>0.27</v>
      </c>
      <c r="W239">
        <v>-1.65</v>
      </c>
    </row>
    <row r="240" spans="1:25" x14ac:dyDescent="0.25">
      <c r="A240" t="s">
        <v>67</v>
      </c>
      <c r="B240" t="s">
        <v>68</v>
      </c>
      <c r="C240">
        <v>9</v>
      </c>
      <c r="D240">
        <v>1</v>
      </c>
      <c r="E240">
        <f t="shared" si="58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f t="shared" si="61"/>
        <v>1.9188807249373345</v>
      </c>
      <c r="P240">
        <f t="shared" si="62"/>
        <v>15.082932951777311</v>
      </c>
      <c r="Q240">
        <f t="shared" si="69"/>
        <v>38.310649697514371</v>
      </c>
      <c r="R240">
        <f t="shared" si="63"/>
        <v>870.39069088429505</v>
      </c>
      <c r="S240">
        <f t="shared" si="64"/>
        <v>2091.7824822982334</v>
      </c>
      <c r="T240">
        <f t="shared" si="65"/>
        <v>5543.2235780903184</v>
      </c>
      <c r="U240">
        <v>40.6</v>
      </c>
      <c r="V240">
        <v>0.27</v>
      </c>
      <c r="W240">
        <v>-1.65</v>
      </c>
    </row>
    <row r="241" spans="1:28" x14ac:dyDescent="0.25">
      <c r="A241" t="s">
        <v>67</v>
      </c>
      <c r="B241" t="s">
        <v>68</v>
      </c>
      <c r="C241">
        <v>10</v>
      </c>
      <c r="D241">
        <v>1</v>
      </c>
      <c r="E241">
        <f t="shared" si="58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f t="shared" si="61"/>
        <v>2.0028408059463692</v>
      </c>
      <c r="P241">
        <f t="shared" si="62"/>
        <v>15.296203513278977</v>
      </c>
      <c r="Q241">
        <f t="shared" si="69"/>
        <v>38.8523569237286</v>
      </c>
      <c r="R241">
        <f t="shared" si="63"/>
        <v>908.47438830563499</v>
      </c>
      <c r="S241">
        <f t="shared" si="64"/>
        <v>2183.3078305831173</v>
      </c>
      <c r="T241">
        <f t="shared" si="65"/>
        <v>5785.7657510452609</v>
      </c>
      <c r="U241">
        <v>40.6</v>
      </c>
      <c r="V241">
        <v>0.27</v>
      </c>
      <c r="W241">
        <v>-1.65</v>
      </c>
    </row>
    <row r="242" spans="1:28" x14ac:dyDescent="0.25">
      <c r="A242" t="s">
        <v>69</v>
      </c>
      <c r="B242" t="s">
        <v>70</v>
      </c>
      <c r="C242">
        <v>1</v>
      </c>
      <c r="D242">
        <v>1</v>
      </c>
      <c r="E242">
        <f t="shared" si="58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f t="shared" si="61"/>
        <v>9.5162548772999445E-3</v>
      </c>
      <c r="P242">
        <f t="shared" si="62"/>
        <v>3.1903079158645773</v>
      </c>
      <c r="Q242">
        <f t="shared" ref="Q242:Q251" si="70">37.7*(1-EXP(-0.242*(E242)))</f>
        <v>8.1033821062960261</v>
      </c>
      <c r="R242">
        <f t="shared" si="63"/>
        <v>4.3165057367255786</v>
      </c>
      <c r="S242">
        <f t="shared" si="64"/>
        <v>10.373722030102327</v>
      </c>
      <c r="T242">
        <f t="shared" si="65"/>
        <v>27.490363379771164</v>
      </c>
      <c r="U242">
        <v>37.700000000000003</v>
      </c>
      <c r="V242">
        <v>0.24199999999999999</v>
      </c>
      <c r="W242">
        <v>0</v>
      </c>
    </row>
    <row r="243" spans="1:28" x14ac:dyDescent="0.25">
      <c r="A243" t="s">
        <v>69</v>
      </c>
      <c r="B243" t="s">
        <v>70</v>
      </c>
      <c r="C243">
        <v>2</v>
      </c>
      <c r="D243">
        <v>1</v>
      </c>
      <c r="E243">
        <f t="shared" si="58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f t="shared" si="61"/>
        <v>5.1080664891453721E-2</v>
      </c>
      <c r="P243">
        <f t="shared" si="62"/>
        <v>5.6948788535065669</v>
      </c>
      <c r="Q243">
        <f t="shared" si="70"/>
        <v>14.46499228790668</v>
      </c>
      <c r="R243">
        <f t="shared" si="63"/>
        <v>23.169827404021429</v>
      </c>
      <c r="S243">
        <f t="shared" si="64"/>
        <v>55.683315078157726</v>
      </c>
      <c r="T243">
        <f t="shared" si="65"/>
        <v>147.56078495711796</v>
      </c>
      <c r="U243">
        <v>37.700000000000003</v>
      </c>
      <c r="V243">
        <v>0.24199999999999999</v>
      </c>
      <c r="W243">
        <v>0</v>
      </c>
    </row>
    <row r="244" spans="1:28" x14ac:dyDescent="0.25">
      <c r="A244" t="s">
        <v>69</v>
      </c>
      <c r="B244" t="s">
        <v>70</v>
      </c>
      <c r="C244">
        <v>3</v>
      </c>
      <c r="D244">
        <v>1</v>
      </c>
      <c r="E244">
        <f t="shared" si="58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f t="shared" si="61"/>
        <v>0.12072496109088769</v>
      </c>
      <c r="P244">
        <f t="shared" si="62"/>
        <v>7.6611077402191885</v>
      </c>
      <c r="Q244">
        <f t="shared" si="70"/>
        <v>19.459213660156738</v>
      </c>
      <c r="R244">
        <f t="shared" si="63"/>
        <v>54.759986342720147</v>
      </c>
      <c r="S244">
        <f t="shared" si="64"/>
        <v>131.6029472307622</v>
      </c>
      <c r="T244">
        <f t="shared" si="65"/>
        <v>348.74781016151979</v>
      </c>
      <c r="U244">
        <v>37.700000000000003</v>
      </c>
      <c r="V244">
        <v>0.24199999999999999</v>
      </c>
      <c r="W244">
        <v>0</v>
      </c>
    </row>
    <row r="245" spans="1:28" x14ac:dyDescent="0.25">
      <c r="A245" t="s">
        <v>69</v>
      </c>
      <c r="B245" t="s">
        <v>70</v>
      </c>
      <c r="C245">
        <v>4</v>
      </c>
      <c r="D245">
        <v>1</v>
      </c>
      <c r="E245">
        <f t="shared" ref="E245:E308" si="71">C245*D245</f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f t="shared" si="61"/>
        <v>0.20557985257407074</v>
      </c>
      <c r="P245">
        <f t="shared" si="62"/>
        <v>9.2047078742137884</v>
      </c>
      <c r="Q245">
        <f t="shared" si="70"/>
        <v>23.379958000503024</v>
      </c>
      <c r="R245">
        <f t="shared" si="63"/>
        <v>93.249563450422627</v>
      </c>
      <c r="S245">
        <f t="shared" si="64"/>
        <v>224.10373335838173</v>
      </c>
      <c r="T245">
        <f t="shared" si="65"/>
        <v>593.8748933997116</v>
      </c>
      <c r="U245">
        <v>37.700000000000003</v>
      </c>
      <c r="V245">
        <v>0.24199999999999999</v>
      </c>
      <c r="W245">
        <v>0</v>
      </c>
    </row>
    <row r="246" spans="1:28" x14ac:dyDescent="0.25">
      <c r="A246" t="s">
        <v>69</v>
      </c>
      <c r="B246" t="s">
        <v>70</v>
      </c>
      <c r="C246">
        <v>5</v>
      </c>
      <c r="D246">
        <v>1</v>
      </c>
      <c r="E246">
        <f t="shared" si="71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f t="shared" si="61"/>
        <v>0.29427088552397013</v>
      </c>
      <c r="P246">
        <f t="shared" si="62"/>
        <v>10.416520695076082</v>
      </c>
      <c r="Q246">
        <f t="shared" si="70"/>
        <v>26.457962565493247</v>
      </c>
      <c r="R246">
        <f t="shared" si="63"/>
        <v>133.47918712701969</v>
      </c>
      <c r="S246">
        <f t="shared" si="64"/>
        <v>320.7863184980045</v>
      </c>
      <c r="T246">
        <f t="shared" si="65"/>
        <v>850.08374401971196</v>
      </c>
      <c r="U246">
        <v>37.700000000000003</v>
      </c>
      <c r="V246">
        <v>0.24199999999999999</v>
      </c>
      <c r="W246">
        <v>0</v>
      </c>
    </row>
    <row r="247" spans="1:28" x14ac:dyDescent="0.25">
      <c r="A247" t="s">
        <v>69</v>
      </c>
      <c r="B247" t="s">
        <v>70</v>
      </c>
      <c r="C247">
        <v>6</v>
      </c>
      <c r="D247">
        <v>1</v>
      </c>
      <c r="E247">
        <f t="shared" si="71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f t="shared" si="61"/>
        <v>0.37915780659131448</v>
      </c>
      <c r="P247">
        <f t="shared" si="62"/>
        <v>11.367861836130533</v>
      </c>
      <c r="Q247">
        <f t="shared" si="70"/>
        <v>28.874369063771553</v>
      </c>
      <c r="R247">
        <f t="shared" si="63"/>
        <v>171.98329262698991</v>
      </c>
      <c r="S247">
        <f t="shared" si="64"/>
        <v>413.32202025231896</v>
      </c>
      <c r="T247">
        <f t="shared" si="65"/>
        <v>1095.3033536686453</v>
      </c>
      <c r="U247">
        <v>37.700000000000003</v>
      </c>
      <c r="V247">
        <v>0.24199999999999999</v>
      </c>
      <c r="W247">
        <v>0</v>
      </c>
    </row>
    <row r="248" spans="1:28" x14ac:dyDescent="0.25">
      <c r="A248" t="s">
        <v>69</v>
      </c>
      <c r="B248" t="s">
        <v>70</v>
      </c>
      <c r="C248">
        <v>7</v>
      </c>
      <c r="D248">
        <v>1</v>
      </c>
      <c r="E248">
        <f t="shared" si="71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f t="shared" si="61"/>
        <v>0.45599504768110882</v>
      </c>
      <c r="P248">
        <f t="shared" si="62"/>
        <v>12.114718075874537</v>
      </c>
      <c r="Q248">
        <f t="shared" si="70"/>
        <v>30.771383912721323</v>
      </c>
      <c r="R248">
        <f t="shared" si="63"/>
        <v>206.8361203659174</v>
      </c>
      <c r="S248">
        <f t="shared" si="64"/>
        <v>497.08272137927759</v>
      </c>
      <c r="T248">
        <f t="shared" si="65"/>
        <v>1317.2692116550857</v>
      </c>
      <c r="U248">
        <v>37.700000000000003</v>
      </c>
      <c r="V248">
        <v>0.24199999999999999</v>
      </c>
      <c r="W248">
        <v>0</v>
      </c>
    </row>
    <row r="249" spans="1:28" x14ac:dyDescent="0.25">
      <c r="A249" t="s">
        <v>69</v>
      </c>
      <c r="B249" t="s">
        <v>70</v>
      </c>
      <c r="C249">
        <v>8</v>
      </c>
      <c r="D249">
        <v>1</v>
      </c>
      <c r="E249">
        <f t="shared" si="71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f t="shared" si="61"/>
        <v>0.52298069795271684</v>
      </c>
      <c r="P249">
        <f t="shared" si="62"/>
        <v>12.701042180628697</v>
      </c>
      <c r="Q249">
        <f t="shared" si="70"/>
        <v>32.260647138796891</v>
      </c>
      <c r="R249">
        <f t="shared" si="63"/>
        <v>237.22033636305432</v>
      </c>
      <c r="S249">
        <f t="shared" si="64"/>
        <v>570.10414891385335</v>
      </c>
      <c r="T249">
        <f t="shared" si="65"/>
        <v>1510.7759946217113</v>
      </c>
      <c r="U249">
        <v>37.700000000000003</v>
      </c>
      <c r="V249">
        <v>0.24199999999999999</v>
      </c>
      <c r="W249">
        <v>0</v>
      </c>
    </row>
    <row r="250" spans="1:28" x14ac:dyDescent="0.25">
      <c r="A250" t="s">
        <v>69</v>
      </c>
      <c r="B250" t="s">
        <v>70</v>
      </c>
      <c r="C250">
        <v>9</v>
      </c>
      <c r="D250">
        <v>1</v>
      </c>
      <c r="E250">
        <f t="shared" si="71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f t="shared" si="61"/>
        <v>0.57985818507813769</v>
      </c>
      <c r="P250">
        <f t="shared" si="62"/>
        <v>13.161339541113493</v>
      </c>
      <c r="Q250">
        <f t="shared" si="70"/>
        <v>33.429802434428275</v>
      </c>
      <c r="R250">
        <f t="shared" si="63"/>
        <v>263.01956122966209</v>
      </c>
      <c r="S250">
        <f t="shared" si="64"/>
        <v>632.10661194343209</v>
      </c>
      <c r="T250">
        <f t="shared" si="65"/>
        <v>1675.082521650095</v>
      </c>
      <c r="U250">
        <v>37.700000000000003</v>
      </c>
      <c r="V250">
        <v>0.24199999999999999</v>
      </c>
      <c r="W250">
        <v>0</v>
      </c>
    </row>
    <row r="251" spans="1:28" x14ac:dyDescent="0.25">
      <c r="A251" t="s">
        <v>69</v>
      </c>
      <c r="B251" t="s">
        <v>70</v>
      </c>
      <c r="C251">
        <v>10</v>
      </c>
      <c r="D251">
        <v>1</v>
      </c>
      <c r="E251">
        <f t="shared" si="71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f t="shared" si="61"/>
        <v>0.62724225960754854</v>
      </c>
      <c r="P251">
        <f t="shared" si="62"/>
        <v>13.522698827472889</v>
      </c>
      <c r="Q251">
        <f t="shared" si="70"/>
        <v>34.347655021781136</v>
      </c>
      <c r="R251">
        <f t="shared" si="63"/>
        <v>284.51264145637276</v>
      </c>
      <c r="S251">
        <f t="shared" si="64"/>
        <v>683.76025343997298</v>
      </c>
      <c r="T251">
        <f t="shared" si="65"/>
        <v>1811.9646716159284</v>
      </c>
      <c r="U251">
        <v>37.700000000000003</v>
      </c>
      <c r="V251">
        <v>0.24199999999999999</v>
      </c>
      <c r="W251">
        <v>0</v>
      </c>
    </row>
    <row r="252" spans="1:28" x14ac:dyDescent="0.25">
      <c r="A252" s="2" t="s">
        <v>71</v>
      </c>
      <c r="B252" t="s">
        <v>72</v>
      </c>
      <c r="C252">
        <v>1</v>
      </c>
      <c r="D252">
        <v>1</v>
      </c>
      <c r="E252">
        <f t="shared" si="71"/>
        <v>1</v>
      </c>
      <c r="F252">
        <v>2.6676279740000002</v>
      </c>
      <c r="G252">
        <v>7.0692141299999998</v>
      </c>
      <c r="H252">
        <f t="shared" ref="H252:H261" si="72">F252*3.65*5.7*20/1000</f>
        <v>1.1099999999814001</v>
      </c>
      <c r="I252">
        <f t="shared" ref="I252:J261" si="73">H252/1000</f>
        <v>1.1099999999814002E-3</v>
      </c>
      <c r="J252">
        <f t="shared" si="73"/>
        <v>1.1099999999814002E-6</v>
      </c>
      <c r="K252">
        <f t="shared" ref="K252:K261" si="74">I252*2.20462</f>
        <v>2.447128199958994E-3</v>
      </c>
      <c r="L252" s="3">
        <v>1.0999999999999999E-2</v>
      </c>
      <c r="M252" s="3">
        <v>3.01</v>
      </c>
      <c r="N252">
        <f t="shared" ref="N252:N261" si="75">(H252/L252)^(1/M252)</f>
        <v>4.6318829138707471</v>
      </c>
      <c r="O252">
        <f t="shared" si="61"/>
        <v>1.7147632715566676E-3</v>
      </c>
      <c r="P252">
        <f t="shared" si="62"/>
        <v>1.6203570268542591</v>
      </c>
      <c r="Q252" s="2">
        <f t="shared" ref="Q252:Q261" si="76">U252*(1-EXP(-V252*(E252-W252)))</f>
        <v>4.1157068482098182</v>
      </c>
      <c r="R252" s="2">
        <f t="shared" si="63"/>
        <v>0.7778044613387648</v>
      </c>
      <c r="S252" s="2">
        <f t="shared" si="64"/>
        <v>1.8692729183820351</v>
      </c>
      <c r="T252" s="2">
        <f t="shared" si="65"/>
        <v>4.953573233712393</v>
      </c>
      <c r="U252">
        <f t="shared" ref="U252:U261" si="77">$AA$254</f>
        <v>9</v>
      </c>
      <c r="V252">
        <f t="shared" ref="V252:V261" si="78">$AA$255</f>
        <v>0.32</v>
      </c>
      <c r="W252">
        <f t="shared" ref="W252:W261" si="79">$AA$256</f>
        <v>-0.91</v>
      </c>
      <c r="Y252" t="s">
        <v>614</v>
      </c>
      <c r="Z252" t="s">
        <v>615</v>
      </c>
      <c r="AA252" t="s">
        <v>616</v>
      </c>
      <c r="AB252" t="s">
        <v>617</v>
      </c>
    </row>
    <row r="253" spans="1:28" x14ac:dyDescent="0.25">
      <c r="A253" s="2" t="s">
        <v>71</v>
      </c>
      <c r="B253" t="s">
        <v>72</v>
      </c>
      <c r="C253">
        <v>2</v>
      </c>
      <c r="D253">
        <v>1</v>
      </c>
      <c r="E253">
        <f t="shared" si="71"/>
        <v>2</v>
      </c>
      <c r="F253">
        <v>3.8692621960000002</v>
      </c>
      <c r="G253">
        <v>10.25354482</v>
      </c>
      <c r="H253">
        <f t="shared" si="72"/>
        <v>1.6099999997556003</v>
      </c>
      <c r="I253">
        <f t="shared" si="73"/>
        <v>1.6099999997556003E-3</v>
      </c>
      <c r="J253">
        <f t="shared" si="73"/>
        <v>1.6099999997556003E-6</v>
      </c>
      <c r="K253">
        <f t="shared" si="74"/>
        <v>3.5494381994611913E-3</v>
      </c>
      <c r="L253" s="3">
        <v>1.0999999999999999E-2</v>
      </c>
      <c r="M253" s="3">
        <v>3.01</v>
      </c>
      <c r="N253">
        <f t="shared" si="75"/>
        <v>5.240986248696256</v>
      </c>
      <c r="O253">
        <f t="shared" si="61"/>
        <v>4.0000484763284263E-3</v>
      </c>
      <c r="P253">
        <f t="shared" si="62"/>
        <v>2.146958752378715</v>
      </c>
      <c r="Q253" s="2">
        <f t="shared" si="76"/>
        <v>5.4532752310419363</v>
      </c>
      <c r="R253" s="2">
        <f t="shared" si="63"/>
        <v>1.8143936262614084</v>
      </c>
      <c r="S253" s="2">
        <f t="shared" si="64"/>
        <v>4.3604749489579637</v>
      </c>
      <c r="T253" s="2">
        <f t="shared" si="65"/>
        <v>11.555258614738603</v>
      </c>
      <c r="U253">
        <f t="shared" si="77"/>
        <v>9</v>
      </c>
      <c r="V253">
        <f t="shared" si="78"/>
        <v>0.32</v>
      </c>
      <c r="W253">
        <f t="shared" si="79"/>
        <v>-0.91</v>
      </c>
      <c r="X253" t="s">
        <v>422</v>
      </c>
      <c r="Y253">
        <v>9</v>
      </c>
      <c r="Z253">
        <v>5.2</v>
      </c>
      <c r="AA253">
        <v>11</v>
      </c>
      <c r="AB253">
        <v>8</v>
      </c>
    </row>
    <row r="254" spans="1:28" x14ac:dyDescent="0.25">
      <c r="A254" s="2" t="s">
        <v>71</v>
      </c>
      <c r="B254" t="s">
        <v>72</v>
      </c>
      <c r="C254">
        <v>3</v>
      </c>
      <c r="D254">
        <v>1</v>
      </c>
      <c r="E254">
        <f t="shared" si="71"/>
        <v>3</v>
      </c>
      <c r="F254">
        <v>5.0708964190000003</v>
      </c>
      <c r="G254">
        <v>13.43787551</v>
      </c>
      <c r="H254">
        <f t="shared" si="72"/>
        <v>2.1099999999459</v>
      </c>
      <c r="I254">
        <f t="shared" si="73"/>
        <v>2.1099999999458999E-3</v>
      </c>
      <c r="J254">
        <f t="shared" si="73"/>
        <v>2.1099999999459001E-6</v>
      </c>
      <c r="K254">
        <f t="shared" si="74"/>
        <v>4.6517481998807298E-3</v>
      </c>
      <c r="L254" s="3">
        <v>1.0999999999999999E-2</v>
      </c>
      <c r="M254" s="3">
        <v>3.01</v>
      </c>
      <c r="N254">
        <f t="shared" si="75"/>
        <v>5.7337022923298262</v>
      </c>
      <c r="O254">
        <f t="shared" si="61"/>
        <v>6.5513807107191301E-3</v>
      </c>
      <c r="P254">
        <f t="shared" si="62"/>
        <v>2.5293500882896431</v>
      </c>
      <c r="Q254" s="2">
        <f t="shared" si="76"/>
        <v>6.4245492242556939</v>
      </c>
      <c r="R254" s="2">
        <f t="shared" si="63"/>
        <v>2.9716598373956193</v>
      </c>
      <c r="S254" s="2">
        <f t="shared" si="64"/>
        <v>7.1416963167402532</v>
      </c>
      <c r="T254" s="2">
        <f t="shared" si="65"/>
        <v>18.92549523936167</v>
      </c>
      <c r="U254">
        <f t="shared" si="77"/>
        <v>9</v>
      </c>
      <c r="V254">
        <f t="shared" si="78"/>
        <v>0.32</v>
      </c>
      <c r="W254">
        <f t="shared" si="79"/>
        <v>-0.91</v>
      </c>
      <c r="X254" t="s">
        <v>18</v>
      </c>
      <c r="AA254">
        <v>9</v>
      </c>
    </row>
    <row r="255" spans="1:28" x14ac:dyDescent="0.25">
      <c r="A255" s="2" t="s">
        <v>71</v>
      </c>
      <c r="B255" t="s">
        <v>72</v>
      </c>
      <c r="C255">
        <v>4</v>
      </c>
      <c r="D255">
        <v>1</v>
      </c>
      <c r="E255">
        <f t="shared" si="71"/>
        <v>4</v>
      </c>
      <c r="F255">
        <v>5.0829127610000002</v>
      </c>
      <c r="G255">
        <v>13.469718820000001</v>
      </c>
      <c r="H255">
        <f t="shared" si="72"/>
        <v>2.1149999998521003</v>
      </c>
      <c r="I255">
        <f t="shared" si="73"/>
        <v>2.1149999998521002E-3</v>
      </c>
      <c r="J255">
        <f t="shared" si="73"/>
        <v>2.1149999998521001E-6</v>
      </c>
      <c r="K255">
        <f t="shared" si="74"/>
        <v>4.6627712996739372E-3</v>
      </c>
      <c r="L255" s="3">
        <v>1.0999999999999999E-2</v>
      </c>
      <c r="M255" s="3">
        <v>3.01</v>
      </c>
      <c r="N255">
        <f t="shared" si="75"/>
        <v>5.738212669774577</v>
      </c>
      <c r="O255">
        <f t="shared" si="61"/>
        <v>8.963887062083651E-3</v>
      </c>
      <c r="P255">
        <f t="shared" si="62"/>
        <v>2.8070231886466854</v>
      </c>
      <c r="Q255" s="2">
        <f t="shared" si="76"/>
        <v>7.1298388991625812</v>
      </c>
      <c r="R255" s="2">
        <f t="shared" si="63"/>
        <v>4.0659556123430116</v>
      </c>
      <c r="S255" s="2">
        <f t="shared" si="64"/>
        <v>9.7715828222615038</v>
      </c>
      <c r="T255" s="2">
        <f t="shared" si="65"/>
        <v>25.894694478992985</v>
      </c>
      <c r="U255">
        <f t="shared" si="77"/>
        <v>9</v>
      </c>
      <c r="V255">
        <f t="shared" si="78"/>
        <v>0.32</v>
      </c>
      <c r="W255">
        <f t="shared" si="79"/>
        <v>-0.91</v>
      </c>
      <c r="X255" t="s">
        <v>19</v>
      </c>
      <c r="AA255">
        <v>0.32</v>
      </c>
    </row>
    <row r="256" spans="1:28" x14ac:dyDescent="0.25">
      <c r="A256" s="2" t="s">
        <v>71</v>
      </c>
      <c r="B256" t="s">
        <v>72</v>
      </c>
      <c r="C256">
        <v>5</v>
      </c>
      <c r="D256">
        <v>1</v>
      </c>
      <c r="E256">
        <f t="shared" si="71"/>
        <v>5</v>
      </c>
      <c r="F256">
        <v>5.0949291030000001</v>
      </c>
      <c r="G256">
        <v>13.501562119999999</v>
      </c>
      <c r="H256">
        <f t="shared" si="72"/>
        <v>2.1199999997583001</v>
      </c>
      <c r="I256">
        <f t="shared" si="73"/>
        <v>2.1199999997583E-3</v>
      </c>
      <c r="J256">
        <f t="shared" si="73"/>
        <v>2.1199999997583E-6</v>
      </c>
      <c r="K256">
        <f t="shared" si="74"/>
        <v>4.6737943994671427E-3</v>
      </c>
      <c r="L256" s="3">
        <v>1.0999999999999999E-2</v>
      </c>
      <c r="M256" s="3">
        <v>3.01</v>
      </c>
      <c r="N256">
        <f t="shared" si="75"/>
        <v>5.7427159324658712</v>
      </c>
      <c r="O256">
        <f t="shared" si="61"/>
        <v>1.1045284732404853E-2</v>
      </c>
      <c r="P256">
        <f t="shared" si="62"/>
        <v>3.008655243092218</v>
      </c>
      <c r="Q256" s="2">
        <f t="shared" si="76"/>
        <v>7.6419843174542343</v>
      </c>
      <c r="R256" s="2">
        <f t="shared" si="63"/>
        <v>5.0100628373165685</v>
      </c>
      <c r="S256" s="2">
        <f t="shared" si="64"/>
        <v>12.040525924817516</v>
      </c>
      <c r="T256" s="2">
        <f t="shared" si="65"/>
        <v>31.907393700766416</v>
      </c>
      <c r="U256">
        <f t="shared" si="77"/>
        <v>9</v>
      </c>
      <c r="V256">
        <f t="shared" si="78"/>
        <v>0.32</v>
      </c>
      <c r="W256">
        <f t="shared" si="79"/>
        <v>-0.91</v>
      </c>
      <c r="X256" t="s">
        <v>477</v>
      </c>
      <c r="AA256">
        <v>-0.91</v>
      </c>
    </row>
    <row r="257" spans="1:28" x14ac:dyDescent="0.25">
      <c r="A257" s="2" t="s">
        <v>71</v>
      </c>
      <c r="B257" t="s">
        <v>72</v>
      </c>
      <c r="C257">
        <v>6</v>
      </c>
      <c r="D257">
        <v>1</v>
      </c>
      <c r="E257">
        <f t="shared" si="71"/>
        <v>6</v>
      </c>
      <c r="F257">
        <v>5.1069454460000001</v>
      </c>
      <c r="G257">
        <v>13.53340543</v>
      </c>
      <c r="H257">
        <f t="shared" si="72"/>
        <v>2.1250000000806004</v>
      </c>
      <c r="I257">
        <f t="shared" si="73"/>
        <v>2.1250000000806006E-3</v>
      </c>
      <c r="J257">
        <f t="shared" si="73"/>
        <v>2.1250000000806007E-6</v>
      </c>
      <c r="K257">
        <f t="shared" si="74"/>
        <v>4.6848175001776935E-3</v>
      </c>
      <c r="L257" s="3">
        <v>1.0999999999999999E-2</v>
      </c>
      <c r="M257" s="3">
        <v>3.01</v>
      </c>
      <c r="N257">
        <f t="shared" si="75"/>
        <v>5.747212108740996</v>
      </c>
      <c r="O257">
        <f t="shared" si="61"/>
        <v>1.274362757875353E-2</v>
      </c>
      <c r="P257">
        <f t="shared" si="62"/>
        <v>3.1550701652710322</v>
      </c>
      <c r="Q257" s="2">
        <f t="shared" si="76"/>
        <v>8.0138782197884222</v>
      </c>
      <c r="R257" s="2">
        <f t="shared" si="63"/>
        <v>5.7804191102110707</v>
      </c>
      <c r="S257" s="2">
        <f t="shared" si="64"/>
        <v>13.891898846938405</v>
      </c>
      <c r="T257" s="2">
        <f t="shared" si="65"/>
        <v>36.813531944386774</v>
      </c>
      <c r="U257">
        <f t="shared" si="77"/>
        <v>9</v>
      </c>
      <c r="V257">
        <f t="shared" si="78"/>
        <v>0.32</v>
      </c>
      <c r="W257">
        <f t="shared" si="79"/>
        <v>-0.91</v>
      </c>
      <c r="X257" t="s">
        <v>423</v>
      </c>
      <c r="AA257" t="s">
        <v>618</v>
      </c>
    </row>
    <row r="258" spans="1:28" x14ac:dyDescent="0.25">
      <c r="A258" s="2" t="s">
        <v>71</v>
      </c>
      <c r="B258" t="s">
        <v>72</v>
      </c>
      <c r="C258">
        <v>7</v>
      </c>
      <c r="D258">
        <v>1</v>
      </c>
      <c r="E258">
        <f t="shared" si="71"/>
        <v>7</v>
      </c>
      <c r="F258">
        <v>5.118961788</v>
      </c>
      <c r="G258">
        <v>13.565248739999999</v>
      </c>
      <c r="H258">
        <f t="shared" si="72"/>
        <v>2.1299999999868002</v>
      </c>
      <c r="I258">
        <f t="shared" si="73"/>
        <v>2.1299999999868004E-3</v>
      </c>
      <c r="J258">
        <f t="shared" si="73"/>
        <v>2.1299999999868006E-6</v>
      </c>
      <c r="K258">
        <f t="shared" si="74"/>
        <v>4.6958405999709E-3</v>
      </c>
      <c r="L258" s="3">
        <v>1.0999999999999999E-2</v>
      </c>
      <c r="M258" s="3">
        <v>3.01</v>
      </c>
      <c r="N258">
        <f t="shared" si="75"/>
        <v>5.7517012256396187</v>
      </c>
      <c r="O258">
        <f t="shared" ref="O258:O321" si="80">R258*0.00220462</f>
        <v>1.4080492175646086E-2</v>
      </c>
      <c r="P258">
        <f t="shared" ref="P258:P321" si="81">Q258/2.54</f>
        <v>3.2613892200243964</v>
      </c>
      <c r="Q258" s="2">
        <f t="shared" si="76"/>
        <v>8.2839286188619674</v>
      </c>
      <c r="R258" s="2">
        <f t="shared" ref="R258:R321" si="82">L258*(Q258^M258)</f>
        <v>6.3868114122370683</v>
      </c>
      <c r="S258" s="2">
        <f t="shared" ref="S258:S321" si="83">R258/20/5.7/3.65*1000</f>
        <v>15.34922233174013</v>
      </c>
      <c r="T258" s="2">
        <f t="shared" ref="T258:T321" si="84">S258*2.65</f>
        <v>40.675439179111343</v>
      </c>
      <c r="U258">
        <f t="shared" si="77"/>
        <v>9</v>
      </c>
      <c r="V258">
        <f t="shared" si="78"/>
        <v>0.32</v>
      </c>
      <c r="W258">
        <f t="shared" si="79"/>
        <v>-0.91</v>
      </c>
      <c r="X258" t="s">
        <v>434</v>
      </c>
      <c r="Z258" s="7" t="s">
        <v>619</v>
      </c>
      <c r="AA258" s="7" t="s">
        <v>620</v>
      </c>
      <c r="AB258" s="7" t="s">
        <v>621</v>
      </c>
    </row>
    <row r="259" spans="1:28" x14ac:dyDescent="0.25">
      <c r="A259" s="2" t="s">
        <v>71</v>
      </c>
      <c r="B259" t="s">
        <v>72</v>
      </c>
      <c r="C259">
        <v>8</v>
      </c>
      <c r="D259">
        <v>1</v>
      </c>
      <c r="E259">
        <f t="shared" si="71"/>
        <v>8</v>
      </c>
      <c r="F259">
        <v>5.1309781299999999</v>
      </c>
      <c r="G259">
        <v>13.597092050000001</v>
      </c>
      <c r="H259">
        <f t="shared" si="72"/>
        <v>2.134999999893</v>
      </c>
      <c r="I259">
        <f t="shared" si="73"/>
        <v>2.1349999998929998E-3</v>
      </c>
      <c r="J259">
        <f t="shared" si="73"/>
        <v>2.1349999998929997E-6</v>
      </c>
      <c r="K259">
        <f t="shared" si="74"/>
        <v>4.7068636997641047E-3</v>
      </c>
      <c r="L259" s="3">
        <v>1.0999999999999999E-2</v>
      </c>
      <c r="M259" s="3">
        <v>3.01</v>
      </c>
      <c r="N259">
        <f t="shared" si="75"/>
        <v>5.7561833111503411</v>
      </c>
      <c r="O259">
        <f t="shared" si="80"/>
        <v>1.5107822286046861E-2</v>
      </c>
      <c r="P259">
        <f t="shared" si="81"/>
        <v>3.3385926992561381</v>
      </c>
      <c r="Q259" s="2">
        <f t="shared" si="76"/>
        <v>8.4800254561105906</v>
      </c>
      <c r="R259" s="2">
        <f t="shared" si="82"/>
        <v>6.8528010659645933</v>
      </c>
      <c r="S259" s="2">
        <f t="shared" si="83"/>
        <v>16.469120562279723</v>
      </c>
      <c r="T259" s="2">
        <f t="shared" si="84"/>
        <v>43.643169490041267</v>
      </c>
      <c r="U259">
        <f t="shared" si="77"/>
        <v>9</v>
      </c>
      <c r="V259">
        <f t="shared" si="78"/>
        <v>0.32</v>
      </c>
      <c r="W259">
        <f t="shared" si="79"/>
        <v>-0.91</v>
      </c>
    </row>
    <row r="260" spans="1:28" x14ac:dyDescent="0.25">
      <c r="A260" s="2" t="s">
        <v>71</v>
      </c>
      <c r="B260" t="s">
        <v>72</v>
      </c>
      <c r="C260">
        <v>9</v>
      </c>
      <c r="D260">
        <v>1</v>
      </c>
      <c r="E260">
        <f t="shared" si="71"/>
        <v>9</v>
      </c>
      <c r="F260">
        <v>5.1429944729999999</v>
      </c>
      <c r="G260">
        <v>13.628935350000001</v>
      </c>
      <c r="H260">
        <f t="shared" si="72"/>
        <v>2.1400000002152995</v>
      </c>
      <c r="I260">
        <f t="shared" si="73"/>
        <v>2.1400000002152995E-3</v>
      </c>
      <c r="J260">
        <f t="shared" si="73"/>
        <v>2.1400000002152995E-6</v>
      </c>
      <c r="K260">
        <f t="shared" si="74"/>
        <v>4.7178868004746528E-3</v>
      </c>
      <c r="L260" s="3">
        <v>1.0999999999999999E-2</v>
      </c>
      <c r="M260" s="3">
        <v>3.01</v>
      </c>
      <c r="N260">
        <f t="shared" si="75"/>
        <v>5.7606583930870281</v>
      </c>
      <c r="O260">
        <f t="shared" si="80"/>
        <v>1.5884384463446619E-2</v>
      </c>
      <c r="P260">
        <f t="shared" si="81"/>
        <v>3.394653931359005</v>
      </c>
      <c r="Q260" s="2">
        <f t="shared" si="76"/>
        <v>8.622420985651873</v>
      </c>
      <c r="R260" s="2">
        <f t="shared" si="82"/>
        <v>7.2050441633690241</v>
      </c>
      <c r="S260" s="2">
        <f t="shared" si="83"/>
        <v>17.315655283270907</v>
      </c>
      <c r="T260" s="2">
        <f t="shared" si="84"/>
        <v>45.8864865006679</v>
      </c>
      <c r="U260">
        <f t="shared" si="77"/>
        <v>9</v>
      </c>
      <c r="V260">
        <f t="shared" si="78"/>
        <v>0.32</v>
      </c>
      <c r="W260">
        <f t="shared" si="79"/>
        <v>-0.91</v>
      </c>
    </row>
    <row r="261" spans="1:28" x14ac:dyDescent="0.25">
      <c r="A261" s="2" t="s">
        <v>71</v>
      </c>
      <c r="B261" t="s">
        <v>72</v>
      </c>
      <c r="C261">
        <v>10</v>
      </c>
      <c r="D261">
        <v>1</v>
      </c>
      <c r="E261">
        <f t="shared" si="71"/>
        <v>10</v>
      </c>
      <c r="F261">
        <v>5.1550108149999998</v>
      </c>
      <c r="G261">
        <v>13.66077866</v>
      </c>
      <c r="H261">
        <f t="shared" si="72"/>
        <v>2.1450000001214997</v>
      </c>
      <c r="I261">
        <f t="shared" si="73"/>
        <v>2.1450000001214998E-3</v>
      </c>
      <c r="J261">
        <f t="shared" si="73"/>
        <v>2.1450000001214999E-6</v>
      </c>
      <c r="K261">
        <f t="shared" si="74"/>
        <v>4.7289099002678602E-3</v>
      </c>
      <c r="L261" s="3">
        <v>1.0999999999999999E-2</v>
      </c>
      <c r="M261" s="3">
        <v>3.01</v>
      </c>
      <c r="N261">
        <f t="shared" si="75"/>
        <v>5.7651264979756727</v>
      </c>
      <c r="O261">
        <f t="shared" si="80"/>
        <v>1.6464685690665115E-2</v>
      </c>
      <c r="P261">
        <f t="shared" si="81"/>
        <v>3.4353627410676673</v>
      </c>
      <c r="Q261" s="2">
        <f t="shared" si="76"/>
        <v>8.7258213623118746</v>
      </c>
      <c r="R261" s="2">
        <f t="shared" si="82"/>
        <v>7.4682646853721346</v>
      </c>
      <c r="S261" s="2">
        <f t="shared" si="83"/>
        <v>17.948244857899869</v>
      </c>
      <c r="T261" s="2">
        <f t="shared" si="84"/>
        <v>47.562848873434653</v>
      </c>
      <c r="U261">
        <f t="shared" si="77"/>
        <v>9</v>
      </c>
      <c r="V261">
        <f t="shared" si="78"/>
        <v>0.32</v>
      </c>
      <c r="W261">
        <f t="shared" si="79"/>
        <v>-0.91</v>
      </c>
    </row>
    <row r="262" spans="1:28" x14ac:dyDescent="0.25">
      <c r="A262" t="s">
        <v>73</v>
      </c>
      <c r="B262" t="s">
        <v>74</v>
      </c>
      <c r="C262">
        <v>1</v>
      </c>
      <c r="D262">
        <v>2</v>
      </c>
      <c r="E262">
        <f t="shared" si="71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f t="shared" si="80"/>
        <v>0.29935257803298476</v>
      </c>
      <c r="P262">
        <f t="shared" si="81"/>
        <v>10.447088938216606</v>
      </c>
      <c r="Q262">
        <f t="shared" ref="Q262:Q271" si="85">43*(1-EXP(-0.48*(E262)))</f>
        <v>26.535605903070181</v>
      </c>
      <c r="R262">
        <f t="shared" si="82"/>
        <v>135.78420681704091</v>
      </c>
      <c r="S262">
        <f t="shared" si="83"/>
        <v>326.32589958433289</v>
      </c>
      <c r="T262">
        <f t="shared" si="84"/>
        <v>864.76363389848211</v>
      </c>
      <c r="U262">
        <v>43</v>
      </c>
      <c r="V262">
        <v>0.48</v>
      </c>
      <c r="W262">
        <v>0</v>
      </c>
      <c r="Y262" t="s">
        <v>622</v>
      </c>
    </row>
    <row r="263" spans="1:28" x14ac:dyDescent="0.25">
      <c r="A263" t="s">
        <v>73</v>
      </c>
      <c r="B263" t="s">
        <v>74</v>
      </c>
      <c r="C263">
        <v>2</v>
      </c>
      <c r="D263">
        <v>2</v>
      </c>
      <c r="E263">
        <f t="shared" si="71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f t="shared" si="80"/>
        <v>0.74197781751165304</v>
      </c>
      <c r="P263">
        <f t="shared" si="81"/>
        <v>14.447204971809033</v>
      </c>
      <c r="Q263">
        <f t="shared" si="85"/>
        <v>36.695900628394945</v>
      </c>
      <c r="R263">
        <f t="shared" si="82"/>
        <v>336.55587698181682</v>
      </c>
      <c r="S263">
        <f t="shared" si="83"/>
        <v>808.83411915841577</v>
      </c>
      <c r="T263">
        <f t="shared" si="84"/>
        <v>2143.4104157698016</v>
      </c>
      <c r="U263">
        <v>43</v>
      </c>
      <c r="V263">
        <v>0.48</v>
      </c>
      <c r="W263">
        <v>0</v>
      </c>
    </row>
    <row r="264" spans="1:28" x14ac:dyDescent="0.25">
      <c r="A264" t="s">
        <v>73</v>
      </c>
      <c r="B264" t="s">
        <v>74</v>
      </c>
      <c r="C264">
        <v>3</v>
      </c>
      <c r="D264">
        <v>2</v>
      </c>
      <c r="E264">
        <f t="shared" si="71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f t="shared" si="80"/>
        <v>0.98383309943816588</v>
      </c>
      <c r="P264">
        <f t="shared" si="81"/>
        <v>15.978820944146554</v>
      </c>
      <c r="Q264">
        <f t="shared" si="85"/>
        <v>40.586205198132248</v>
      </c>
      <c r="R264">
        <f t="shared" si="82"/>
        <v>446.2597179732407</v>
      </c>
      <c r="S264">
        <f t="shared" si="83"/>
        <v>1072.4818985177617</v>
      </c>
      <c r="T264">
        <f t="shared" si="84"/>
        <v>2842.0770310720682</v>
      </c>
      <c r="U264">
        <v>43</v>
      </c>
      <c r="V264">
        <v>0.48</v>
      </c>
      <c r="W264">
        <v>0</v>
      </c>
    </row>
    <row r="265" spans="1:28" x14ac:dyDescent="0.25">
      <c r="A265" t="s">
        <v>73</v>
      </c>
      <c r="B265" t="s">
        <v>74</v>
      </c>
      <c r="C265">
        <v>4</v>
      </c>
      <c r="D265">
        <v>2</v>
      </c>
      <c r="E265">
        <f t="shared" si="71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f t="shared" si="80"/>
        <v>1.0883077706500881</v>
      </c>
      <c r="P265">
        <f t="shared" si="81"/>
        <v>16.565265804000447</v>
      </c>
      <c r="Q265">
        <f t="shared" si="85"/>
        <v>42.075775142161135</v>
      </c>
      <c r="R265">
        <f t="shared" si="82"/>
        <v>493.64868805058831</v>
      </c>
      <c r="S265">
        <f t="shared" si="83"/>
        <v>1186.3703149497437</v>
      </c>
      <c r="T265">
        <f t="shared" si="84"/>
        <v>3143.8813346168208</v>
      </c>
      <c r="U265">
        <v>43</v>
      </c>
      <c r="V265">
        <v>0.48</v>
      </c>
      <c r="W265">
        <v>0</v>
      </c>
    </row>
    <row r="266" spans="1:28" x14ac:dyDescent="0.25">
      <c r="A266" t="s">
        <v>73</v>
      </c>
      <c r="B266" t="s">
        <v>74</v>
      </c>
      <c r="C266">
        <v>5</v>
      </c>
      <c r="D266">
        <v>2</v>
      </c>
      <c r="E266">
        <f t="shared" si="71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f t="shared" si="80"/>
        <v>1.13011977039518</v>
      </c>
      <c r="P266">
        <f t="shared" si="81"/>
        <v>16.789811368855172</v>
      </c>
      <c r="Q266">
        <f t="shared" si="85"/>
        <v>42.646120876892141</v>
      </c>
      <c r="R266">
        <f t="shared" si="82"/>
        <v>512.61431466428678</v>
      </c>
      <c r="S266">
        <f t="shared" si="83"/>
        <v>1231.9498069317153</v>
      </c>
      <c r="T266">
        <f t="shared" si="84"/>
        <v>3264.6669883690456</v>
      </c>
      <c r="U266">
        <v>43</v>
      </c>
      <c r="V266">
        <v>0.48</v>
      </c>
      <c r="W266">
        <v>0</v>
      </c>
    </row>
    <row r="267" spans="1:28" x14ac:dyDescent="0.25">
      <c r="A267" t="s">
        <v>73</v>
      </c>
      <c r="B267" t="s">
        <v>74</v>
      </c>
      <c r="C267">
        <v>6</v>
      </c>
      <c r="D267">
        <v>2</v>
      </c>
      <c r="E267">
        <f t="shared" si="71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f t="shared" si="80"/>
        <v>1.1463984104643572</v>
      </c>
      <c r="P267">
        <f t="shared" si="81"/>
        <v>16.875788268215313</v>
      </c>
      <c r="Q267">
        <f t="shared" si="85"/>
        <v>42.864502201266895</v>
      </c>
      <c r="R267">
        <f t="shared" si="82"/>
        <v>519.99819037492045</v>
      </c>
      <c r="S267">
        <f t="shared" si="83"/>
        <v>1249.6952424295134</v>
      </c>
      <c r="T267">
        <f t="shared" si="84"/>
        <v>3311.6923924382104</v>
      </c>
      <c r="U267">
        <v>43</v>
      </c>
      <c r="V267">
        <v>0.48</v>
      </c>
      <c r="W267">
        <v>0</v>
      </c>
    </row>
    <row r="268" spans="1:28" x14ac:dyDescent="0.25">
      <c r="A268" t="s">
        <v>73</v>
      </c>
      <c r="B268" t="s">
        <v>74</v>
      </c>
      <c r="C268">
        <v>7</v>
      </c>
      <c r="D268">
        <v>2</v>
      </c>
      <c r="E268">
        <f t="shared" si="71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f t="shared" si="80"/>
        <v>1.1526710569267764</v>
      </c>
      <c r="P268">
        <f t="shared" si="81"/>
        <v>16.908708211338507</v>
      </c>
      <c r="Q268">
        <f t="shared" si="85"/>
        <v>42.948118856799809</v>
      </c>
      <c r="R268">
        <f t="shared" si="82"/>
        <v>522.84341833367034</v>
      </c>
      <c r="S268">
        <f t="shared" si="83"/>
        <v>1256.5330890018513</v>
      </c>
      <c r="T268">
        <f t="shared" si="84"/>
        <v>3329.8126858549058</v>
      </c>
      <c r="U268">
        <v>43</v>
      </c>
      <c r="V268">
        <v>0.48</v>
      </c>
      <c r="W268">
        <v>0</v>
      </c>
    </row>
    <row r="269" spans="1:28" x14ac:dyDescent="0.25">
      <c r="A269" t="s">
        <v>73</v>
      </c>
      <c r="B269" t="s">
        <v>74</v>
      </c>
      <c r="C269">
        <v>8</v>
      </c>
      <c r="D269">
        <v>2</v>
      </c>
      <c r="E269">
        <f t="shared" si="71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f t="shared" si="80"/>
        <v>1.1550786367721839</v>
      </c>
      <c r="P269">
        <f t="shared" si="81"/>
        <v>16.92131302336708</v>
      </c>
      <c r="Q269">
        <f t="shared" si="85"/>
        <v>42.980135079352387</v>
      </c>
      <c r="R269">
        <f t="shared" si="82"/>
        <v>523.93547948044738</v>
      </c>
      <c r="S269">
        <f t="shared" si="83"/>
        <v>1259.1576050960045</v>
      </c>
      <c r="T269">
        <f t="shared" si="84"/>
        <v>3336.767653504412</v>
      </c>
      <c r="U269">
        <v>43</v>
      </c>
      <c r="V269">
        <v>0.48</v>
      </c>
      <c r="W269">
        <v>0</v>
      </c>
    </row>
    <row r="270" spans="1:28" x14ac:dyDescent="0.25">
      <c r="A270" t="s">
        <v>73</v>
      </c>
      <c r="B270" t="s">
        <v>74</v>
      </c>
      <c r="C270">
        <v>9</v>
      </c>
      <c r="D270">
        <v>2</v>
      </c>
      <c r="E270">
        <f t="shared" si="71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f t="shared" si="80"/>
        <v>1.1560013370918456</v>
      </c>
      <c r="P270">
        <f t="shared" si="81"/>
        <v>16.926139316221878</v>
      </c>
      <c r="Q270">
        <f t="shared" si="85"/>
        <v>42.992393863203567</v>
      </c>
      <c r="R270">
        <f t="shared" si="82"/>
        <v>524.35400980297993</v>
      </c>
      <c r="S270">
        <f t="shared" si="83"/>
        <v>1260.1634458134583</v>
      </c>
      <c r="T270">
        <f t="shared" si="84"/>
        <v>3339.4331314056644</v>
      </c>
      <c r="U270">
        <v>43</v>
      </c>
      <c r="V270">
        <v>0.48</v>
      </c>
      <c r="W270">
        <v>0</v>
      </c>
    </row>
    <row r="271" spans="1:28" x14ac:dyDescent="0.25">
      <c r="A271" t="s">
        <v>73</v>
      </c>
      <c r="B271" t="s">
        <v>74</v>
      </c>
      <c r="C271">
        <v>10</v>
      </c>
      <c r="D271">
        <v>2</v>
      </c>
      <c r="E271">
        <f t="shared" si="71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f t="shared" si="80"/>
        <v>1.156354757885421</v>
      </c>
      <c r="P271">
        <f t="shared" si="81"/>
        <v>16.92798726942161</v>
      </c>
      <c r="Q271">
        <f t="shared" si="85"/>
        <v>42.997087664330891</v>
      </c>
      <c r="R271">
        <f t="shared" si="82"/>
        <v>524.51431896899282</v>
      </c>
      <c r="S271">
        <f t="shared" si="83"/>
        <v>1260.5487117735947</v>
      </c>
      <c r="T271">
        <f t="shared" si="84"/>
        <v>3340.4540862000258</v>
      </c>
      <c r="U271">
        <v>43</v>
      </c>
      <c r="V271">
        <v>0.48</v>
      </c>
      <c r="W271">
        <v>0</v>
      </c>
    </row>
    <row r="272" spans="1:28" x14ac:dyDescent="0.25">
      <c r="A272" t="s">
        <v>75</v>
      </c>
      <c r="B272" t="s">
        <v>76</v>
      </c>
      <c r="C272">
        <v>1</v>
      </c>
      <c r="D272">
        <v>2</v>
      </c>
      <c r="E272">
        <f t="shared" si="71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f t="shared" si="80"/>
        <v>9.8126080995731169E-2</v>
      </c>
      <c r="P272">
        <f t="shared" si="81"/>
        <v>9.2533452863121504</v>
      </c>
      <c r="Q272">
        <f t="shared" ref="Q272:Q281" si="86">122*(1-EXP(-0.107*(E272)))</f>
        <v>23.503497027232861</v>
      </c>
      <c r="R272">
        <f t="shared" si="82"/>
        <v>44.509294570370933</v>
      </c>
      <c r="S272">
        <f t="shared" si="83"/>
        <v>106.96778315397964</v>
      </c>
      <c r="T272">
        <f t="shared" si="84"/>
        <v>283.46462535804602</v>
      </c>
      <c r="U272">
        <v>122</v>
      </c>
      <c r="V272">
        <v>0.107</v>
      </c>
      <c r="W272">
        <v>0</v>
      </c>
      <c r="Y272" t="s">
        <v>623</v>
      </c>
    </row>
    <row r="273" spans="1:29" x14ac:dyDescent="0.25">
      <c r="A273" t="s">
        <v>75</v>
      </c>
      <c r="B273" t="s">
        <v>76</v>
      </c>
      <c r="C273">
        <v>2</v>
      </c>
      <c r="D273">
        <v>2</v>
      </c>
      <c r="E273">
        <f t="shared" si="71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f t="shared" si="80"/>
        <v>0.61463072670785202</v>
      </c>
      <c r="P273">
        <f t="shared" si="81"/>
        <v>16.724018659273504</v>
      </c>
      <c r="Q273">
        <f t="shared" si="86"/>
        <v>42.479007394554699</v>
      </c>
      <c r="R273">
        <f t="shared" si="82"/>
        <v>278.79213955595611</v>
      </c>
      <c r="S273">
        <f t="shared" si="83"/>
        <v>670.01235173265104</v>
      </c>
      <c r="T273">
        <f t="shared" si="84"/>
        <v>1775.5327320915253</v>
      </c>
      <c r="U273">
        <v>122</v>
      </c>
      <c r="V273">
        <v>0.107</v>
      </c>
      <c r="W273">
        <v>0</v>
      </c>
    </row>
    <row r="274" spans="1:29" x14ac:dyDescent="0.25">
      <c r="A274" t="s">
        <v>75</v>
      </c>
      <c r="B274" t="s">
        <v>76</v>
      </c>
      <c r="C274">
        <v>3</v>
      </c>
      <c r="D274">
        <v>2</v>
      </c>
      <c r="E274">
        <f t="shared" si="71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f t="shared" si="80"/>
        <v>1.5967002065243137</v>
      </c>
      <c r="P274">
        <f t="shared" si="81"/>
        <v>22.755454741965806</v>
      </c>
      <c r="Q274">
        <f t="shared" si="86"/>
        <v>57.798855044593147</v>
      </c>
      <c r="R274">
        <f t="shared" si="82"/>
        <v>724.25189217385025</v>
      </c>
      <c r="S274">
        <f t="shared" si="83"/>
        <v>1740.5717187547471</v>
      </c>
      <c r="T274">
        <f t="shared" si="84"/>
        <v>4612.5150547000794</v>
      </c>
      <c r="U274">
        <v>122</v>
      </c>
      <c r="V274">
        <v>0.107</v>
      </c>
      <c r="W274">
        <v>0</v>
      </c>
    </row>
    <row r="275" spans="1:29" x14ac:dyDescent="0.25">
      <c r="A275" t="s">
        <v>75</v>
      </c>
      <c r="B275" t="s">
        <v>76</v>
      </c>
      <c r="C275">
        <v>4</v>
      </c>
      <c r="D275">
        <v>2</v>
      </c>
      <c r="E275">
        <f t="shared" si="71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f t="shared" si="80"/>
        <v>2.9126728188399946</v>
      </c>
      <c r="P275">
        <f t="shared" si="81"/>
        <v>27.624924922694959</v>
      </c>
      <c r="Q275">
        <f t="shared" si="86"/>
        <v>70.167309303645197</v>
      </c>
      <c r="R275">
        <f t="shared" si="82"/>
        <v>1321.167738131739</v>
      </c>
      <c r="S275">
        <f t="shared" si="83"/>
        <v>3175.1207357167482</v>
      </c>
      <c r="T275">
        <f t="shared" si="84"/>
        <v>8414.0699496493817</v>
      </c>
      <c r="U275">
        <v>122</v>
      </c>
      <c r="V275">
        <v>0.107</v>
      </c>
      <c r="W275">
        <v>0</v>
      </c>
    </row>
    <row r="276" spans="1:29" x14ac:dyDescent="0.25">
      <c r="A276" t="s">
        <v>75</v>
      </c>
      <c r="B276" t="s">
        <v>76</v>
      </c>
      <c r="C276">
        <v>5</v>
      </c>
      <c r="D276">
        <v>2</v>
      </c>
      <c r="E276">
        <f t="shared" si="71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f t="shared" si="80"/>
        <v>4.3997137170161444</v>
      </c>
      <c r="P276">
        <f t="shared" si="81"/>
        <v>31.556283809022755</v>
      </c>
      <c r="Q276">
        <f t="shared" si="86"/>
        <v>80.152960874917795</v>
      </c>
      <c r="R276">
        <f t="shared" si="82"/>
        <v>1995.6789455852456</v>
      </c>
      <c r="S276">
        <f t="shared" si="83"/>
        <v>4796.1522364461562</v>
      </c>
      <c r="T276">
        <f t="shared" si="84"/>
        <v>12709.803426582313</v>
      </c>
      <c r="U276">
        <v>122</v>
      </c>
      <c r="V276">
        <v>0.107</v>
      </c>
      <c r="W276">
        <v>0</v>
      </c>
    </row>
    <row r="277" spans="1:29" x14ac:dyDescent="0.25">
      <c r="A277" t="s">
        <v>75</v>
      </c>
      <c r="B277" t="s">
        <v>76</v>
      </c>
      <c r="C277">
        <v>6</v>
      </c>
      <c r="D277">
        <v>2</v>
      </c>
      <c r="E277">
        <f t="shared" si="71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f t="shared" si="80"/>
        <v>5.9217924576912848</v>
      </c>
      <c r="P277">
        <f t="shared" si="81"/>
        <v>34.73026005684406</v>
      </c>
      <c r="Q277">
        <f t="shared" si="86"/>
        <v>88.21486054438391</v>
      </c>
      <c r="R277">
        <f t="shared" si="82"/>
        <v>2686.083069958217</v>
      </c>
      <c r="S277">
        <f t="shared" si="83"/>
        <v>6455.3786829084756</v>
      </c>
      <c r="T277">
        <f t="shared" si="84"/>
        <v>17106.753509707461</v>
      </c>
      <c r="U277">
        <v>122</v>
      </c>
      <c r="V277">
        <v>0.107</v>
      </c>
      <c r="W277">
        <v>0</v>
      </c>
    </row>
    <row r="278" spans="1:29" x14ac:dyDescent="0.25">
      <c r="A278" t="s">
        <v>75</v>
      </c>
      <c r="B278" t="s">
        <v>76</v>
      </c>
      <c r="C278">
        <v>7</v>
      </c>
      <c r="D278">
        <v>2</v>
      </c>
      <c r="E278">
        <f t="shared" si="71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f t="shared" si="80"/>
        <v>7.384047343867624</v>
      </c>
      <c r="P278">
        <f t="shared" si="81"/>
        <v>37.292764654622943</v>
      </c>
      <c r="Q278">
        <f t="shared" si="86"/>
        <v>94.723622222742279</v>
      </c>
      <c r="R278">
        <f t="shared" si="82"/>
        <v>3349.351518115423</v>
      </c>
      <c r="S278">
        <f t="shared" si="83"/>
        <v>8049.3908149853951</v>
      </c>
      <c r="T278">
        <f t="shared" si="84"/>
        <v>21330.885659711297</v>
      </c>
      <c r="U278">
        <v>122</v>
      </c>
      <c r="V278">
        <v>0.107</v>
      </c>
      <c r="W278">
        <v>0</v>
      </c>
    </row>
    <row r="279" spans="1:29" x14ac:dyDescent="0.25">
      <c r="A279" t="s">
        <v>75</v>
      </c>
      <c r="B279" t="s">
        <v>76</v>
      </c>
      <c r="C279">
        <v>8</v>
      </c>
      <c r="D279">
        <v>2</v>
      </c>
      <c r="E279">
        <f t="shared" si="71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f t="shared" si="80"/>
        <v>8.7293866619177649</v>
      </c>
      <c r="P279">
        <f t="shared" si="81"/>
        <v>39.361598603252915</v>
      </c>
      <c r="Q279">
        <f t="shared" si="86"/>
        <v>99.978460452262411</v>
      </c>
      <c r="R279">
        <f t="shared" si="82"/>
        <v>3959.5878935679457</v>
      </c>
      <c r="S279">
        <f t="shared" si="83"/>
        <v>9515.9526401536805</v>
      </c>
      <c r="T279">
        <f t="shared" si="84"/>
        <v>25217.274496407252</v>
      </c>
      <c r="U279">
        <v>122</v>
      </c>
      <c r="V279">
        <v>0.107</v>
      </c>
      <c r="W279">
        <v>0</v>
      </c>
    </row>
    <row r="280" spans="1:29" x14ac:dyDescent="0.25">
      <c r="A280" t="s">
        <v>75</v>
      </c>
      <c r="B280" t="s">
        <v>76</v>
      </c>
      <c r="C280">
        <v>9</v>
      </c>
      <c r="D280">
        <v>2</v>
      </c>
      <c r="E280">
        <f t="shared" si="71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f t="shared" si="80"/>
        <v>9.9296577637612291</v>
      </c>
      <c r="P280">
        <f t="shared" si="81"/>
        <v>41.031868350559428</v>
      </c>
      <c r="Q280">
        <f t="shared" si="86"/>
        <v>104.22094561042094</v>
      </c>
      <c r="R280">
        <f t="shared" si="82"/>
        <v>4504.0223547646438</v>
      </c>
      <c r="S280">
        <f t="shared" si="83"/>
        <v>10824.374801164729</v>
      </c>
      <c r="T280">
        <f t="shared" si="84"/>
        <v>28684.593223086533</v>
      </c>
      <c r="U280">
        <v>122</v>
      </c>
      <c r="V280">
        <v>0.107</v>
      </c>
      <c r="W280">
        <v>0</v>
      </c>
      <c r="AA280" s="2" t="s">
        <v>624</v>
      </c>
      <c r="AB280" s="2" t="s">
        <v>624</v>
      </c>
    </row>
    <row r="281" spans="1:29" x14ac:dyDescent="0.25">
      <c r="A281" t="s">
        <v>75</v>
      </c>
      <c r="B281" t="s">
        <v>76</v>
      </c>
      <c r="C281">
        <v>10</v>
      </c>
      <c r="D281">
        <v>2</v>
      </c>
      <c r="E281">
        <f t="shared" si="71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f t="shared" si="80"/>
        <v>10.976619154794601</v>
      </c>
      <c r="P281">
        <f t="shared" si="81"/>
        <v>42.380357933599583</v>
      </c>
      <c r="Q281">
        <f t="shared" si="86"/>
        <v>107.64610915134294</v>
      </c>
      <c r="R281">
        <f t="shared" si="82"/>
        <v>4978.9166181902556</v>
      </c>
      <c r="S281">
        <f t="shared" si="83"/>
        <v>11965.673199207537</v>
      </c>
      <c r="T281">
        <f t="shared" si="84"/>
        <v>31709.03397789997</v>
      </c>
      <c r="U281">
        <v>122</v>
      </c>
      <c r="V281">
        <v>0.107</v>
      </c>
      <c r="W281">
        <v>0</v>
      </c>
      <c r="Y281" t="s">
        <v>625</v>
      </c>
      <c r="Z281" t="s">
        <v>626</v>
      </c>
      <c r="AA281" t="s">
        <v>627</v>
      </c>
      <c r="AB281" t="s">
        <v>628</v>
      </c>
    </row>
    <row r="282" spans="1:29" x14ac:dyDescent="0.25">
      <c r="A282" t="s">
        <v>77</v>
      </c>
      <c r="B282" t="s">
        <v>78</v>
      </c>
      <c r="C282">
        <v>1</v>
      </c>
      <c r="D282">
        <v>3</v>
      </c>
      <c r="E282">
        <f t="shared" si="71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f t="shared" si="80"/>
        <v>196.90530677965444</v>
      </c>
      <c r="P282">
        <f t="shared" si="81"/>
        <v>63.742170359821344</v>
      </c>
      <c r="Q282" s="2">
        <f t="shared" ref="Q282:Q291" si="87">U282*(1-EXP(-V282*(E282)))</f>
        <v>161.90511271394621</v>
      </c>
      <c r="R282" s="2">
        <f t="shared" si="82"/>
        <v>89314.850985500641</v>
      </c>
      <c r="S282" s="2">
        <f t="shared" si="83"/>
        <v>214647.56305095079</v>
      </c>
      <c r="T282" s="2">
        <f t="shared" si="84"/>
        <v>568816.04208501952</v>
      </c>
      <c r="U282">
        <f t="shared" ref="U282:U291" si="88">$AC$283*100</f>
        <v>208.40700000000004</v>
      </c>
      <c r="V282">
        <v>0.5</v>
      </c>
      <c r="W282">
        <v>0</v>
      </c>
      <c r="X282" t="s">
        <v>459</v>
      </c>
      <c r="Y282">
        <f>AVERAGE(550,88)*0.453592</f>
        <v>144.69584800000001</v>
      </c>
      <c r="Z282">
        <f>AVERAGE(180,285)*0.45392</f>
        <v>105.5364</v>
      </c>
      <c r="AA282">
        <f>610*0.453592</f>
        <v>276.69112000000001</v>
      </c>
      <c r="AB282">
        <f>300*0.453592</f>
        <v>136.07759999999999</v>
      </c>
      <c r="AC282">
        <f>AVERAGE(Y282:AB282)</f>
        <v>165.75024199999999</v>
      </c>
    </row>
    <row r="283" spans="1:29" x14ac:dyDescent="0.25">
      <c r="A283" t="s">
        <v>77</v>
      </c>
      <c r="B283" t="s">
        <v>78</v>
      </c>
      <c r="C283">
        <v>2</v>
      </c>
      <c r="D283">
        <v>3</v>
      </c>
      <c r="E283">
        <f t="shared" si="71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f t="shared" si="80"/>
        <v>353.12476735426327</v>
      </c>
      <c r="P283">
        <f t="shared" si="81"/>
        <v>77.964971040416785</v>
      </c>
      <c r="Q283" s="2">
        <f t="shared" si="87"/>
        <v>198.03102644265863</v>
      </c>
      <c r="R283" s="2">
        <f t="shared" si="82"/>
        <v>160174.89061800367</v>
      </c>
      <c r="S283" s="2">
        <f t="shared" si="83"/>
        <v>384943.26031724026</v>
      </c>
      <c r="T283" s="2">
        <f t="shared" si="84"/>
        <v>1020099.6398406867</v>
      </c>
      <c r="U283">
        <f t="shared" si="88"/>
        <v>208.40700000000004</v>
      </c>
      <c r="V283">
        <v>0.5</v>
      </c>
      <c r="W283">
        <v>0</v>
      </c>
      <c r="X283" t="s">
        <v>460</v>
      </c>
      <c r="Y283">
        <f>AVERAGE(7.5, 10)*0.3048</f>
        <v>2.6670000000000003</v>
      </c>
      <c r="Z283">
        <f>5.5*0.3048</f>
        <v>1.6764000000000001</v>
      </c>
      <c r="AA283">
        <f>7.6*0.3048</f>
        <v>2.3164799999999999</v>
      </c>
      <c r="AB283">
        <f>5.5*0.3048</f>
        <v>1.6764000000000001</v>
      </c>
      <c r="AC283">
        <f>AVERAGE(Y283:AB283)</f>
        <v>2.0840700000000005</v>
      </c>
    </row>
    <row r="284" spans="1:29" x14ac:dyDescent="0.25">
      <c r="A284" t="s">
        <v>77</v>
      </c>
      <c r="B284" t="s">
        <v>78</v>
      </c>
      <c r="C284">
        <v>3</v>
      </c>
      <c r="D284">
        <v>3</v>
      </c>
      <c r="E284">
        <f t="shared" si="71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f t="shared" si="80"/>
        <v>396.44039314893666</v>
      </c>
      <c r="P284">
        <f t="shared" si="81"/>
        <v>81.138506834037244</v>
      </c>
      <c r="Q284" s="2">
        <f t="shared" si="87"/>
        <v>206.09180735845459</v>
      </c>
      <c r="R284" s="2">
        <f t="shared" si="82"/>
        <v>179822.55134623504</v>
      </c>
      <c r="S284" s="2">
        <f t="shared" si="83"/>
        <v>432161.86336514069</v>
      </c>
      <c r="T284" s="2">
        <f t="shared" si="84"/>
        <v>1145228.9379176227</v>
      </c>
      <c r="U284">
        <f t="shared" si="88"/>
        <v>208.40700000000004</v>
      </c>
      <c r="V284">
        <v>0.5</v>
      </c>
      <c r="W284">
        <v>0</v>
      </c>
      <c r="X284" t="s">
        <v>461</v>
      </c>
      <c r="Y284">
        <v>30</v>
      </c>
      <c r="Z284">
        <v>30</v>
      </c>
    </row>
    <row r="285" spans="1:29" x14ac:dyDescent="0.25">
      <c r="A285" t="s">
        <v>77</v>
      </c>
      <c r="B285" t="s">
        <v>78</v>
      </c>
      <c r="C285">
        <v>4</v>
      </c>
      <c r="D285">
        <v>3</v>
      </c>
      <c r="E285">
        <f t="shared" si="71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>
        <f t="shared" si="80"/>
        <v>406.55725291291765</v>
      </c>
      <c r="P285">
        <f t="shared" si="81"/>
        <v>81.846618383904541</v>
      </c>
      <c r="Q285" s="2">
        <f t="shared" si="87"/>
        <v>207.89041069511754</v>
      </c>
      <c r="R285" s="2">
        <f t="shared" si="82"/>
        <v>184411.48720093153</v>
      </c>
      <c r="S285" s="2">
        <f t="shared" si="83"/>
        <v>443190.30810125335</v>
      </c>
      <c r="T285" s="2">
        <f t="shared" si="84"/>
        <v>1174454.3164683213</v>
      </c>
      <c r="U285">
        <f t="shared" si="88"/>
        <v>208.40700000000004</v>
      </c>
      <c r="V285">
        <v>0.5</v>
      </c>
      <c r="W285">
        <v>0</v>
      </c>
      <c r="X285" t="s">
        <v>462</v>
      </c>
      <c r="Y285">
        <f>35*0.453592</f>
        <v>15.875719999999999</v>
      </c>
      <c r="Z285">
        <f>24*0.453592</f>
        <v>10.886208</v>
      </c>
    </row>
    <row r="286" spans="1:29" x14ac:dyDescent="0.25">
      <c r="A286" t="s">
        <v>77</v>
      </c>
      <c r="B286" t="s">
        <v>78</v>
      </c>
      <c r="C286">
        <v>5</v>
      </c>
      <c r="D286">
        <v>3</v>
      </c>
      <c r="E286">
        <f t="shared" si="71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f t="shared" si="80"/>
        <v>408.83746436511427</v>
      </c>
      <c r="P286">
        <f t="shared" si="81"/>
        <v>82.00461942742939</v>
      </c>
      <c r="Q286" s="2">
        <f t="shared" si="87"/>
        <v>208.29173334567065</v>
      </c>
      <c r="R286" s="2">
        <f t="shared" si="82"/>
        <v>185445.77494766185</v>
      </c>
      <c r="S286" s="2">
        <f t="shared" si="83"/>
        <v>445675.97920610878</v>
      </c>
      <c r="T286" s="2">
        <f t="shared" si="84"/>
        <v>1181041.3448961882</v>
      </c>
      <c r="U286">
        <f t="shared" si="88"/>
        <v>208.40700000000004</v>
      </c>
      <c r="V286">
        <v>0.5</v>
      </c>
      <c r="W286">
        <v>0</v>
      </c>
      <c r="X286" t="s">
        <v>463</v>
      </c>
    </row>
    <row r="287" spans="1:29" x14ac:dyDescent="0.25">
      <c r="A287" t="s">
        <v>77</v>
      </c>
      <c r="B287" t="s">
        <v>78</v>
      </c>
      <c r="C287">
        <v>6</v>
      </c>
      <c r="D287">
        <v>3</v>
      </c>
      <c r="E287">
        <f t="shared" si="71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f t="shared" si="80"/>
        <v>409.34738895909385</v>
      </c>
      <c r="P287">
        <f t="shared" si="81"/>
        <v>82.039874225574707</v>
      </c>
      <c r="Q287" s="2">
        <f t="shared" si="87"/>
        <v>208.38128053295975</v>
      </c>
      <c r="R287" s="2">
        <f t="shared" si="82"/>
        <v>185677.07312783782</v>
      </c>
      <c r="S287" s="2">
        <f t="shared" si="83"/>
        <v>446231.85082393134</v>
      </c>
      <c r="T287" s="2">
        <f t="shared" si="84"/>
        <v>1182514.4046834181</v>
      </c>
      <c r="U287">
        <f t="shared" si="88"/>
        <v>208.40700000000004</v>
      </c>
      <c r="V287">
        <v>0.5</v>
      </c>
      <c r="W287">
        <v>0</v>
      </c>
      <c r="X287" t="s">
        <v>464</v>
      </c>
    </row>
    <row r="288" spans="1:29" x14ac:dyDescent="0.25">
      <c r="A288" t="s">
        <v>77</v>
      </c>
      <c r="B288" t="s">
        <v>78</v>
      </c>
      <c r="C288">
        <v>7</v>
      </c>
      <c r="D288">
        <v>3</v>
      </c>
      <c r="E288">
        <f t="shared" si="71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>
        <f t="shared" si="80"/>
        <v>409.46122534671082</v>
      </c>
      <c r="P288">
        <f t="shared" si="81"/>
        <v>82.047740634330879</v>
      </c>
      <c r="Q288" s="2">
        <f t="shared" si="87"/>
        <v>208.40126121120042</v>
      </c>
      <c r="R288" s="2">
        <f t="shared" si="82"/>
        <v>185728.70850609665</v>
      </c>
      <c r="S288" s="2">
        <f t="shared" si="83"/>
        <v>446355.94449915079</v>
      </c>
      <c r="T288" s="2">
        <f t="shared" si="84"/>
        <v>1182843.2529227496</v>
      </c>
      <c r="U288">
        <f t="shared" si="88"/>
        <v>208.40700000000004</v>
      </c>
      <c r="V288">
        <v>0.5</v>
      </c>
      <c r="W288">
        <v>0</v>
      </c>
      <c r="X288" t="s">
        <v>434</v>
      </c>
      <c r="Y288" s="7" t="s">
        <v>629</v>
      </c>
      <c r="Z288" s="7" t="s">
        <v>630</v>
      </c>
      <c r="AA288" s="7" t="s">
        <v>631</v>
      </c>
    </row>
    <row r="289" spans="1:26" x14ac:dyDescent="0.25">
      <c r="A289" t="s">
        <v>77</v>
      </c>
      <c r="B289" t="s">
        <v>78</v>
      </c>
      <c r="C289">
        <v>8</v>
      </c>
      <c r="D289">
        <v>3</v>
      </c>
      <c r="E289">
        <f t="shared" si="71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f t="shared" si="80"/>
        <v>409.48662850803771</v>
      </c>
      <c r="P289">
        <f t="shared" si="81"/>
        <v>82.049495867376422</v>
      </c>
      <c r="Q289" s="2">
        <f t="shared" si="87"/>
        <v>208.40571950313611</v>
      </c>
      <c r="R289" s="2">
        <f t="shared" si="82"/>
        <v>185740.23119995178</v>
      </c>
      <c r="S289" s="2">
        <f t="shared" si="83"/>
        <v>446383.63662569522</v>
      </c>
      <c r="T289" s="2">
        <f t="shared" si="84"/>
        <v>1182916.6370580923</v>
      </c>
      <c r="U289">
        <f t="shared" si="88"/>
        <v>208.40700000000004</v>
      </c>
      <c r="V289">
        <v>0.5</v>
      </c>
      <c r="W289">
        <v>0</v>
      </c>
      <c r="X289" t="s">
        <v>469</v>
      </c>
      <c r="Y289">
        <v>11</v>
      </c>
      <c r="Z289">
        <v>10</v>
      </c>
    </row>
    <row r="290" spans="1:26" x14ac:dyDescent="0.25">
      <c r="A290" t="s">
        <v>77</v>
      </c>
      <c r="B290" t="s">
        <v>78</v>
      </c>
      <c r="C290">
        <v>9</v>
      </c>
      <c r="D290">
        <v>3</v>
      </c>
      <c r="E290">
        <f t="shared" si="71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f t="shared" si="80"/>
        <v>409.4922968603928</v>
      </c>
      <c r="P290">
        <f t="shared" si="81"/>
        <v>82.049887512806976</v>
      </c>
      <c r="Q290" s="2">
        <f t="shared" si="87"/>
        <v>208.40671428252972</v>
      </c>
      <c r="R290" s="2">
        <f t="shared" si="82"/>
        <v>185742.80232438823</v>
      </c>
      <c r="S290" s="2">
        <f t="shared" si="83"/>
        <v>446389.81572792178</v>
      </c>
      <c r="T290" s="2">
        <f t="shared" si="84"/>
        <v>1182933.0116789928</v>
      </c>
      <c r="U290">
        <f t="shared" si="88"/>
        <v>208.40700000000004</v>
      </c>
      <c r="V290">
        <v>0.5</v>
      </c>
      <c r="W290">
        <v>0</v>
      </c>
      <c r="X290" t="s">
        <v>470</v>
      </c>
      <c r="Z290">
        <v>5</v>
      </c>
    </row>
    <row r="291" spans="1:26" x14ac:dyDescent="0.25">
      <c r="A291" t="s">
        <v>77</v>
      </c>
      <c r="B291" t="s">
        <v>78</v>
      </c>
      <c r="C291">
        <v>10</v>
      </c>
      <c r="D291">
        <v>3</v>
      </c>
      <c r="E291">
        <f t="shared" si="71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f t="shared" si="80"/>
        <v>409.49356164777606</v>
      </c>
      <c r="P291">
        <f t="shared" si="81"/>
        <v>82.049974900714616</v>
      </c>
      <c r="Q291" s="2">
        <f t="shared" si="87"/>
        <v>208.40693624781514</v>
      </c>
      <c r="R291" s="2">
        <f t="shared" si="82"/>
        <v>185743.37602297723</v>
      </c>
      <c r="S291" s="2">
        <f t="shared" si="83"/>
        <v>446391.19447963766</v>
      </c>
      <c r="T291" s="2">
        <f t="shared" si="84"/>
        <v>1182936.6653710399</v>
      </c>
      <c r="U291">
        <f t="shared" si="88"/>
        <v>208.40700000000004</v>
      </c>
      <c r="V291">
        <v>0.5</v>
      </c>
      <c r="W291">
        <v>0</v>
      </c>
      <c r="X291" t="s">
        <v>471</v>
      </c>
      <c r="Y291">
        <f>3/52</f>
        <v>5.7692307692307696E-2</v>
      </c>
      <c r="Z291">
        <f>6/52</f>
        <v>0.11538461538461539</v>
      </c>
    </row>
    <row r="292" spans="1:26" x14ac:dyDescent="0.25">
      <c r="A292" t="s">
        <v>79</v>
      </c>
      <c r="B292" t="s">
        <v>80</v>
      </c>
      <c r="C292">
        <v>1</v>
      </c>
      <c r="D292">
        <v>2</v>
      </c>
      <c r="E292">
        <f t="shared" si="71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f t="shared" si="80"/>
        <v>8.6876313928669013E-2</v>
      </c>
      <c r="P292">
        <f t="shared" si="81"/>
        <v>6.7972274277636542</v>
      </c>
      <c r="Q292">
        <f t="shared" ref="Q292:Q301" si="89">59.9*(1-EXP(-0.17*(E292)))</f>
        <v>17.264957666519681</v>
      </c>
      <c r="R292">
        <f t="shared" si="82"/>
        <v>39.40647999594897</v>
      </c>
      <c r="S292">
        <f t="shared" si="83"/>
        <v>94.704349906149901</v>
      </c>
      <c r="T292">
        <f t="shared" si="84"/>
        <v>250.96652725129724</v>
      </c>
      <c r="U292">
        <v>59.9</v>
      </c>
      <c r="V292">
        <v>0.17</v>
      </c>
      <c r="W292">
        <v>0</v>
      </c>
      <c r="Y292" t="s">
        <v>632</v>
      </c>
    </row>
    <row r="293" spans="1:26" x14ac:dyDescent="0.25">
      <c r="A293" t="s">
        <v>79</v>
      </c>
      <c r="B293" t="s">
        <v>80</v>
      </c>
      <c r="C293">
        <v>2</v>
      </c>
      <c r="D293">
        <v>2</v>
      </c>
      <c r="E293">
        <f t="shared" si="71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f t="shared" si="80"/>
        <v>0.50789019582223249</v>
      </c>
      <c r="P293">
        <f t="shared" si="81"/>
        <v>11.635292187913853</v>
      </c>
      <c r="Q293">
        <f t="shared" si="89"/>
        <v>29.553642157301187</v>
      </c>
      <c r="R293">
        <f t="shared" si="82"/>
        <v>230.3753915968432</v>
      </c>
      <c r="S293">
        <f t="shared" si="83"/>
        <v>553.65390914886609</v>
      </c>
      <c r="T293">
        <f t="shared" si="84"/>
        <v>1467.1828592444951</v>
      </c>
      <c r="U293">
        <v>59.9</v>
      </c>
      <c r="V293">
        <v>0.17</v>
      </c>
      <c r="W293">
        <v>0</v>
      </c>
    </row>
    <row r="294" spans="1:26" x14ac:dyDescent="0.25">
      <c r="A294" t="s">
        <v>79</v>
      </c>
      <c r="B294" t="s">
        <v>80</v>
      </c>
      <c r="C294">
        <v>3</v>
      </c>
      <c r="D294">
        <v>2</v>
      </c>
      <c r="E294">
        <f t="shared" si="71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f t="shared" si="80"/>
        <v>1.1902389469204189</v>
      </c>
      <c r="P294">
        <f t="shared" si="81"/>
        <v>15.078883103792364</v>
      </c>
      <c r="Q294">
        <f t="shared" si="89"/>
        <v>38.300363083632604</v>
      </c>
      <c r="R294">
        <f t="shared" si="82"/>
        <v>539.88394685724472</v>
      </c>
      <c r="S294">
        <f t="shared" si="83"/>
        <v>1297.4860534901338</v>
      </c>
      <c r="T294">
        <f t="shared" si="84"/>
        <v>3438.3380417488547</v>
      </c>
      <c r="U294">
        <v>59.9</v>
      </c>
      <c r="V294">
        <v>0.17</v>
      </c>
      <c r="W294">
        <v>0</v>
      </c>
    </row>
    <row r="295" spans="1:26" x14ac:dyDescent="0.25">
      <c r="A295" t="s">
        <v>79</v>
      </c>
      <c r="B295" t="s">
        <v>80</v>
      </c>
      <c r="C295">
        <v>4</v>
      </c>
      <c r="D295">
        <v>2</v>
      </c>
      <c r="E295">
        <f t="shared" si="71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f t="shared" si="80"/>
        <v>1.9521322166409434</v>
      </c>
      <c r="P295">
        <f t="shared" si="81"/>
        <v>17.529928921449606</v>
      </c>
      <c r="Q295">
        <f t="shared" si="89"/>
        <v>44.526019460482004</v>
      </c>
      <c r="R295">
        <f t="shared" si="82"/>
        <v>885.47333174921005</v>
      </c>
      <c r="S295">
        <f t="shared" si="83"/>
        <v>2128.0301171574383</v>
      </c>
      <c r="T295">
        <f t="shared" si="84"/>
        <v>5639.2798104672111</v>
      </c>
      <c r="U295">
        <v>59.9</v>
      </c>
      <c r="V295">
        <v>0.17</v>
      </c>
      <c r="W295">
        <v>0</v>
      </c>
    </row>
    <row r="296" spans="1:26" x14ac:dyDescent="0.25">
      <c r="A296" t="s">
        <v>79</v>
      </c>
      <c r="B296" t="s">
        <v>80</v>
      </c>
      <c r="C296">
        <v>5</v>
      </c>
      <c r="D296">
        <v>2</v>
      </c>
      <c r="E296">
        <f t="shared" si="71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f t="shared" si="80"/>
        <v>2.666009883957372</v>
      </c>
      <c r="P296">
        <f t="shared" si="81"/>
        <v>19.274510594189447</v>
      </c>
      <c r="Q296">
        <f t="shared" si="89"/>
        <v>48.957256909241195</v>
      </c>
      <c r="R296">
        <f t="shared" si="82"/>
        <v>1209.2831798483965</v>
      </c>
      <c r="S296">
        <f t="shared" si="83"/>
        <v>2906.2321073020826</v>
      </c>
      <c r="T296">
        <f t="shared" si="84"/>
        <v>7701.5150843505189</v>
      </c>
      <c r="U296">
        <v>59.9</v>
      </c>
      <c r="V296">
        <v>0.17</v>
      </c>
      <c r="W296">
        <v>0</v>
      </c>
    </row>
    <row r="297" spans="1:26" x14ac:dyDescent="0.25">
      <c r="A297" t="s">
        <v>79</v>
      </c>
      <c r="B297" t="s">
        <v>80</v>
      </c>
      <c r="C297">
        <v>6</v>
      </c>
      <c r="D297">
        <v>2</v>
      </c>
      <c r="E297">
        <f t="shared" si="71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f t="shared" si="80"/>
        <v>3.2729052631188242</v>
      </c>
      <c r="P297">
        <f t="shared" si="81"/>
        <v>20.516252054481214</v>
      </c>
      <c r="Q297">
        <f t="shared" si="89"/>
        <v>52.111280218382284</v>
      </c>
      <c r="R297">
        <f t="shared" si="82"/>
        <v>1484.5666206052854</v>
      </c>
      <c r="S297">
        <f t="shared" si="83"/>
        <v>3567.8121139276268</v>
      </c>
      <c r="T297">
        <f t="shared" si="84"/>
        <v>9454.7021019082113</v>
      </c>
      <c r="U297">
        <v>59.9</v>
      </c>
      <c r="V297">
        <v>0.17</v>
      </c>
      <c r="W297">
        <v>0</v>
      </c>
    </row>
    <row r="298" spans="1:26" x14ac:dyDescent="0.25">
      <c r="A298" t="s">
        <v>79</v>
      </c>
      <c r="B298" t="s">
        <v>80</v>
      </c>
      <c r="C298">
        <v>7</v>
      </c>
      <c r="D298">
        <v>2</v>
      </c>
      <c r="E298">
        <f t="shared" si="71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f t="shared" si="80"/>
        <v>3.7592953668596425</v>
      </c>
      <c r="P298">
        <f t="shared" si="81"/>
        <v>21.400086774460803</v>
      </c>
      <c r="Q298">
        <f t="shared" si="89"/>
        <v>54.356220407130436</v>
      </c>
      <c r="R298">
        <f t="shared" si="82"/>
        <v>1705.1897228817857</v>
      </c>
      <c r="S298">
        <f t="shared" si="83"/>
        <v>4098.0286538855698</v>
      </c>
      <c r="T298">
        <f t="shared" si="84"/>
        <v>10859.77593279676</v>
      </c>
      <c r="U298">
        <v>59.9</v>
      </c>
      <c r="V298">
        <v>0.17</v>
      </c>
      <c r="W298">
        <v>0</v>
      </c>
    </row>
    <row r="299" spans="1:26" x14ac:dyDescent="0.25">
      <c r="A299" t="s">
        <v>79</v>
      </c>
      <c r="B299" t="s">
        <v>80</v>
      </c>
      <c r="C299">
        <v>8</v>
      </c>
      <c r="D299">
        <v>2</v>
      </c>
      <c r="E299">
        <f t="shared" si="71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f t="shared" si="80"/>
        <v>4.1346671731349414</v>
      </c>
      <c r="P299">
        <f t="shared" si="81"/>
        <v>22.029174098369474</v>
      </c>
      <c r="Q299">
        <f t="shared" si="89"/>
        <v>55.954102209858462</v>
      </c>
      <c r="R299">
        <f t="shared" si="82"/>
        <v>1875.45571261031</v>
      </c>
      <c r="S299">
        <f t="shared" si="83"/>
        <v>4507.223534271352</v>
      </c>
      <c r="T299">
        <f t="shared" si="84"/>
        <v>11944.142365819083</v>
      </c>
      <c r="U299">
        <v>59.9</v>
      </c>
      <c r="V299">
        <v>0.17</v>
      </c>
      <c r="W299">
        <v>0</v>
      </c>
    </row>
    <row r="300" spans="1:26" x14ac:dyDescent="0.25">
      <c r="A300" t="s">
        <v>79</v>
      </c>
      <c r="B300" t="s">
        <v>80</v>
      </c>
      <c r="C300">
        <v>9</v>
      </c>
      <c r="D300">
        <v>2</v>
      </c>
      <c r="E300">
        <f t="shared" si="71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f t="shared" si="80"/>
        <v>4.417210160077591</v>
      </c>
      <c r="P300">
        <f t="shared" si="81"/>
        <v>22.476939785953814</v>
      </c>
      <c r="Q300">
        <f t="shared" si="89"/>
        <v>57.091427056322686</v>
      </c>
      <c r="R300">
        <f t="shared" si="82"/>
        <v>2003.6152080982622</v>
      </c>
      <c r="S300">
        <f t="shared" si="83"/>
        <v>4815.2252057156029</v>
      </c>
      <c r="T300">
        <f t="shared" si="84"/>
        <v>12760.346795146348</v>
      </c>
      <c r="U300">
        <v>59.9</v>
      </c>
      <c r="V300">
        <v>0.17</v>
      </c>
      <c r="W300">
        <v>0</v>
      </c>
    </row>
    <row r="301" spans="1:26" x14ac:dyDescent="0.25">
      <c r="A301" t="s">
        <v>79</v>
      </c>
      <c r="B301" t="s">
        <v>80</v>
      </c>
      <c r="C301">
        <v>10</v>
      </c>
      <c r="D301">
        <v>2</v>
      </c>
      <c r="E301">
        <f t="shared" si="71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f t="shared" si="80"/>
        <v>4.6263121354707657</v>
      </c>
      <c r="P301">
        <f t="shared" si="81"/>
        <v>22.795646113927745</v>
      </c>
      <c r="Q301">
        <f t="shared" si="89"/>
        <v>57.90094112937647</v>
      </c>
      <c r="R301">
        <f t="shared" si="82"/>
        <v>2098.4623814855918</v>
      </c>
      <c r="S301">
        <f t="shared" si="83"/>
        <v>5043.168424622907</v>
      </c>
      <c r="T301">
        <f t="shared" si="84"/>
        <v>13364.396325250704</v>
      </c>
      <c r="U301">
        <v>59.9</v>
      </c>
      <c r="V301">
        <v>0.17</v>
      </c>
      <c r="W301">
        <v>0</v>
      </c>
    </row>
    <row r="302" spans="1:26" x14ac:dyDescent="0.25">
      <c r="A302" t="s">
        <v>81</v>
      </c>
      <c r="B302" t="s">
        <v>82</v>
      </c>
      <c r="C302">
        <v>1</v>
      </c>
      <c r="D302">
        <v>2</v>
      </c>
      <c r="E302">
        <f t="shared" si="71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f t="shared" si="80"/>
        <v>0.9431020395102423</v>
      </c>
      <c r="P302">
        <f t="shared" si="81"/>
        <v>12.028482593371407</v>
      </c>
      <c r="Q302">
        <f t="shared" ref="Q302:Q311" si="90">106*(1-EXP(-0.17*(E302)))</f>
        <v>30.552345787163375</v>
      </c>
      <c r="R302">
        <f t="shared" si="82"/>
        <v>427.78439799613642</v>
      </c>
      <c r="S302">
        <f t="shared" si="83"/>
        <v>1028.0807450039329</v>
      </c>
      <c r="T302">
        <f t="shared" si="84"/>
        <v>2724.413974260422</v>
      </c>
      <c r="U302">
        <v>106</v>
      </c>
      <c r="V302">
        <v>0.17</v>
      </c>
      <c r="W302">
        <v>0</v>
      </c>
      <c r="Y302" t="s">
        <v>633</v>
      </c>
    </row>
    <row r="303" spans="1:26" x14ac:dyDescent="0.25">
      <c r="A303" t="s">
        <v>81</v>
      </c>
      <c r="B303" t="s">
        <v>82</v>
      </c>
      <c r="C303">
        <v>2</v>
      </c>
      <c r="D303">
        <v>2</v>
      </c>
      <c r="E303">
        <f t="shared" si="71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f t="shared" si="80"/>
        <v>4.7303705484569845</v>
      </c>
      <c r="P303">
        <f t="shared" si="81"/>
        <v>20.589999531199805</v>
      </c>
      <c r="Q303">
        <f t="shared" si="90"/>
        <v>52.298598809247508</v>
      </c>
      <c r="R303">
        <f t="shared" si="82"/>
        <v>2145.6625397832663</v>
      </c>
      <c r="S303">
        <f t="shared" si="83"/>
        <v>5156.6030756627415</v>
      </c>
      <c r="T303">
        <f t="shared" si="84"/>
        <v>13664.998150506264</v>
      </c>
      <c r="U303">
        <v>106</v>
      </c>
      <c r="V303">
        <v>0.17</v>
      </c>
      <c r="W303">
        <v>0</v>
      </c>
    </row>
    <row r="304" spans="1:26" x14ac:dyDescent="0.25">
      <c r="A304" t="s">
        <v>81</v>
      </c>
      <c r="B304" t="s">
        <v>82</v>
      </c>
      <c r="C304">
        <v>3</v>
      </c>
      <c r="D304">
        <v>2</v>
      </c>
      <c r="E304">
        <f t="shared" si="71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f t="shared" si="80"/>
        <v>10.296053813818979</v>
      </c>
      <c r="P304">
        <f t="shared" si="81"/>
        <v>26.683833205375471</v>
      </c>
      <c r="Q304">
        <f t="shared" si="90"/>
        <v>67.776936341653695</v>
      </c>
      <c r="R304">
        <f t="shared" si="82"/>
        <v>4670.2170051160647</v>
      </c>
      <c r="S304">
        <f t="shared" si="83"/>
        <v>11223.785160096286</v>
      </c>
      <c r="T304">
        <f t="shared" si="84"/>
        <v>29743.030674255155</v>
      </c>
      <c r="U304">
        <v>106</v>
      </c>
      <c r="V304">
        <v>0.17</v>
      </c>
      <c r="W304">
        <v>0</v>
      </c>
    </row>
    <row r="305" spans="1:25" x14ac:dyDescent="0.25">
      <c r="A305" t="s">
        <v>81</v>
      </c>
      <c r="B305" t="s">
        <v>82</v>
      </c>
      <c r="C305">
        <v>4</v>
      </c>
      <c r="D305">
        <v>2</v>
      </c>
      <c r="E305">
        <f t="shared" si="71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f t="shared" si="80"/>
        <v>16.177214573687809</v>
      </c>
      <c r="P305">
        <f t="shared" si="81"/>
        <v>31.021243166505155</v>
      </c>
      <c r="Q305">
        <f t="shared" si="90"/>
        <v>78.79395764292309</v>
      </c>
      <c r="R305">
        <f t="shared" si="82"/>
        <v>7337.8698250436855</v>
      </c>
      <c r="S305">
        <f t="shared" si="83"/>
        <v>17634.871004671197</v>
      </c>
      <c r="T305">
        <f t="shared" si="84"/>
        <v>46732.40816237867</v>
      </c>
      <c r="U305">
        <v>106</v>
      </c>
      <c r="V305">
        <v>0.17</v>
      </c>
      <c r="W305">
        <v>0</v>
      </c>
    </row>
    <row r="306" spans="1:25" x14ac:dyDescent="0.25">
      <c r="A306" t="s">
        <v>81</v>
      </c>
      <c r="B306" t="s">
        <v>82</v>
      </c>
      <c r="C306">
        <v>5</v>
      </c>
      <c r="D306">
        <v>2</v>
      </c>
      <c r="E306">
        <f t="shared" si="71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f t="shared" si="80"/>
        <v>21.503708248125271</v>
      </c>
      <c r="P306">
        <f t="shared" si="81"/>
        <v>34.108482854492181</v>
      </c>
      <c r="Q306">
        <f t="shared" si="90"/>
        <v>86.635546450410132</v>
      </c>
      <c r="R306">
        <f t="shared" si="82"/>
        <v>9753.9295879223046</v>
      </c>
      <c r="S306">
        <f t="shared" si="83"/>
        <v>23441.3111942377</v>
      </c>
      <c r="T306">
        <f t="shared" si="84"/>
        <v>62119.474664729903</v>
      </c>
      <c r="U306">
        <v>106</v>
      </c>
      <c r="V306">
        <v>0.17</v>
      </c>
      <c r="W306">
        <v>0</v>
      </c>
    </row>
    <row r="307" spans="1:25" x14ac:dyDescent="0.25">
      <c r="A307" t="s">
        <v>81</v>
      </c>
      <c r="B307" t="s">
        <v>82</v>
      </c>
      <c r="C307">
        <v>6</v>
      </c>
      <c r="D307">
        <v>2</v>
      </c>
      <c r="E307">
        <f t="shared" si="71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f t="shared" si="80"/>
        <v>25.93327458768583</v>
      </c>
      <c r="P307">
        <f t="shared" si="81"/>
        <v>36.305888443656244</v>
      </c>
      <c r="Q307">
        <f t="shared" si="90"/>
        <v>92.216956646886857</v>
      </c>
      <c r="R307">
        <f t="shared" si="82"/>
        <v>11763.149471421755</v>
      </c>
      <c r="S307">
        <f t="shared" si="83"/>
        <v>28270.005939489918</v>
      </c>
      <c r="T307">
        <f t="shared" si="84"/>
        <v>74915.515739648283</v>
      </c>
      <c r="U307">
        <v>106</v>
      </c>
      <c r="V307">
        <v>0.17</v>
      </c>
      <c r="W307">
        <v>0</v>
      </c>
    </row>
    <row r="308" spans="1:25" x14ac:dyDescent="0.25">
      <c r="A308" t="s">
        <v>81</v>
      </c>
      <c r="B308" t="s">
        <v>82</v>
      </c>
      <c r="C308">
        <v>7</v>
      </c>
      <c r="D308">
        <v>2</v>
      </c>
      <c r="E308">
        <f t="shared" si="71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f t="shared" si="80"/>
        <v>29.431329680530105</v>
      </c>
      <c r="P308">
        <f t="shared" si="81"/>
        <v>37.869936529095909</v>
      </c>
      <c r="Q308">
        <f t="shared" si="90"/>
        <v>96.189638783903618</v>
      </c>
      <c r="R308">
        <f t="shared" si="82"/>
        <v>13349.842458351146</v>
      </c>
      <c r="S308">
        <f t="shared" si="83"/>
        <v>32083.255127015491</v>
      </c>
      <c r="T308">
        <f t="shared" si="84"/>
        <v>85020.626086591044</v>
      </c>
      <c r="U308">
        <v>106</v>
      </c>
      <c r="V308">
        <v>0.17</v>
      </c>
      <c r="W308">
        <v>0</v>
      </c>
    </row>
    <row r="309" spans="1:25" x14ac:dyDescent="0.25">
      <c r="A309" t="s">
        <v>81</v>
      </c>
      <c r="B309" t="s">
        <v>82</v>
      </c>
      <c r="C309">
        <v>8</v>
      </c>
      <c r="D309">
        <v>2</v>
      </c>
      <c r="E309">
        <f t="shared" ref="E309:E372" si="91">C309*D309</f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f t="shared" si="80"/>
        <v>32.103909769764918</v>
      </c>
      <c r="P309">
        <f t="shared" si="81"/>
        <v>38.983179539685551</v>
      </c>
      <c r="Q309">
        <f t="shared" si="90"/>
        <v>99.017276030801298</v>
      </c>
      <c r="R309">
        <f t="shared" si="82"/>
        <v>14562.105836726927</v>
      </c>
      <c r="S309">
        <f t="shared" si="83"/>
        <v>34996.649451398531</v>
      </c>
      <c r="T309">
        <f t="shared" si="84"/>
        <v>92741.121046206099</v>
      </c>
      <c r="U309">
        <v>106</v>
      </c>
      <c r="V309">
        <v>0.17</v>
      </c>
      <c r="W309">
        <v>0</v>
      </c>
    </row>
    <row r="310" spans="1:25" x14ac:dyDescent="0.25">
      <c r="A310" t="s">
        <v>81</v>
      </c>
      <c r="B310" t="s">
        <v>82</v>
      </c>
      <c r="C310">
        <v>9</v>
      </c>
      <c r="D310">
        <v>2</v>
      </c>
      <c r="E310">
        <f t="shared" si="91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f t="shared" si="80"/>
        <v>34.101605570848228</v>
      </c>
      <c r="P310">
        <f t="shared" si="81"/>
        <v>39.775552876646145</v>
      </c>
      <c r="Q310">
        <f t="shared" si="90"/>
        <v>101.02990430668122</v>
      </c>
      <c r="R310">
        <f t="shared" si="82"/>
        <v>15468.246487307668</v>
      </c>
      <c r="S310">
        <f t="shared" si="83"/>
        <v>37174.3486837483</v>
      </c>
      <c r="T310">
        <f t="shared" si="84"/>
        <v>98512.024011932997</v>
      </c>
      <c r="U310">
        <v>106</v>
      </c>
      <c r="V310">
        <v>0.17</v>
      </c>
      <c r="W310">
        <v>0</v>
      </c>
    </row>
    <row r="311" spans="1:25" x14ac:dyDescent="0.25">
      <c r="A311" t="s">
        <v>81</v>
      </c>
      <c r="B311" t="s">
        <v>82</v>
      </c>
      <c r="C311">
        <v>10</v>
      </c>
      <c r="D311">
        <v>2</v>
      </c>
      <c r="E311">
        <f t="shared" si="91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f t="shared" si="80"/>
        <v>35.572877697979344</v>
      </c>
      <c r="P311">
        <f t="shared" si="81"/>
        <v>40.339540702443088</v>
      </c>
      <c r="Q311">
        <f t="shared" si="90"/>
        <v>102.46243338420544</v>
      </c>
      <c r="R311">
        <f t="shared" si="82"/>
        <v>16135.605092024631</v>
      </c>
      <c r="S311">
        <f t="shared" si="83"/>
        <v>38778.190560020739</v>
      </c>
      <c r="T311">
        <f t="shared" si="84"/>
        <v>102762.20498405496</v>
      </c>
      <c r="U311">
        <v>106</v>
      </c>
      <c r="V311">
        <v>0.17</v>
      </c>
      <c r="W311">
        <v>0</v>
      </c>
    </row>
    <row r="312" spans="1:25" x14ac:dyDescent="0.25">
      <c r="A312" t="s">
        <v>83</v>
      </c>
      <c r="B312" t="s">
        <v>84</v>
      </c>
      <c r="C312">
        <v>1</v>
      </c>
      <c r="D312">
        <v>7</v>
      </c>
      <c r="E312">
        <f t="shared" si="91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f t="shared" si="80"/>
        <v>44.926030931406785</v>
      </c>
      <c r="P312">
        <f t="shared" si="81"/>
        <v>61.294729535488813</v>
      </c>
      <c r="Q312">
        <f t="shared" ref="Q312:Q321" si="92">280*(1-EXP(-0.116*(E312)))</f>
        <v>155.68861302014159</v>
      </c>
      <c r="R312">
        <f t="shared" si="82"/>
        <v>20378.129079572347</v>
      </c>
      <c r="S312">
        <f t="shared" si="83"/>
        <v>48974.114586811695</v>
      </c>
      <c r="T312">
        <f t="shared" si="84"/>
        <v>129781.40365505099</v>
      </c>
      <c r="U312">
        <v>280</v>
      </c>
      <c r="V312">
        <v>0.11600000000000001</v>
      </c>
      <c r="W312">
        <v>0</v>
      </c>
      <c r="Y312" t="s">
        <v>634</v>
      </c>
    </row>
    <row r="313" spans="1:25" x14ac:dyDescent="0.25">
      <c r="A313" t="s">
        <v>83</v>
      </c>
      <c r="B313" t="s">
        <v>84</v>
      </c>
      <c r="C313">
        <v>2</v>
      </c>
      <c r="D313">
        <v>7</v>
      </c>
      <c r="E313">
        <f t="shared" si="91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f t="shared" si="80"/>
        <v>135.26077658038764</v>
      </c>
      <c r="P313">
        <f t="shared" si="81"/>
        <v>88.507703975174209</v>
      </c>
      <c r="Q313">
        <f t="shared" si="92"/>
        <v>224.80956809694248</v>
      </c>
      <c r="R313">
        <f t="shared" si="82"/>
        <v>61353.329181622066</v>
      </c>
      <c r="S313">
        <f t="shared" si="83"/>
        <v>147448.52002312441</v>
      </c>
      <c r="T313">
        <f t="shared" si="84"/>
        <v>390738.57806127967</v>
      </c>
      <c r="U313">
        <v>280</v>
      </c>
      <c r="V313">
        <v>0.11600000000000001</v>
      </c>
      <c r="W313">
        <v>0</v>
      </c>
    </row>
    <row r="314" spans="1:25" x14ac:dyDescent="0.25">
      <c r="A314" t="s">
        <v>83</v>
      </c>
      <c r="B314" t="s">
        <v>84</v>
      </c>
      <c r="C314">
        <v>3</v>
      </c>
      <c r="D314">
        <v>7</v>
      </c>
      <c r="E314">
        <f t="shared" si="91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f t="shared" si="80"/>
        <v>198.55721021722917</v>
      </c>
      <c r="P314">
        <f t="shared" si="81"/>
        <v>100.58942753390535</v>
      </c>
      <c r="Q314">
        <f t="shared" si="92"/>
        <v>255.49714593611961</v>
      </c>
      <c r="R314">
        <f t="shared" si="82"/>
        <v>90064.142671856898</v>
      </c>
      <c r="S314">
        <f t="shared" si="83"/>
        <v>216448.31211693559</v>
      </c>
      <c r="T314">
        <f t="shared" si="84"/>
        <v>573588.0271098793</v>
      </c>
      <c r="U314">
        <v>280</v>
      </c>
      <c r="V314">
        <v>0.11600000000000001</v>
      </c>
      <c r="W314">
        <v>0</v>
      </c>
    </row>
    <row r="315" spans="1:25" x14ac:dyDescent="0.25">
      <c r="A315" t="s">
        <v>83</v>
      </c>
      <c r="B315" t="s">
        <v>84</v>
      </c>
      <c r="C315">
        <v>4</v>
      </c>
      <c r="D315">
        <v>7</v>
      </c>
      <c r="E315">
        <f t="shared" si="91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f t="shared" si="80"/>
        <v>232.04521740618117</v>
      </c>
      <c r="P315">
        <f t="shared" si="81"/>
        <v>105.95334115066643</v>
      </c>
      <c r="Q315">
        <f t="shared" si="92"/>
        <v>269.12148652269275</v>
      </c>
      <c r="R315">
        <f t="shared" si="82"/>
        <v>105254.06528389525</v>
      </c>
      <c r="S315">
        <f t="shared" si="83"/>
        <v>252953.77381373526</v>
      </c>
      <c r="T315">
        <f t="shared" si="84"/>
        <v>670327.50060639845</v>
      </c>
      <c r="U315">
        <v>280</v>
      </c>
      <c r="V315">
        <v>0.11600000000000001</v>
      </c>
      <c r="W315">
        <v>0</v>
      </c>
    </row>
    <row r="316" spans="1:25" x14ac:dyDescent="0.25">
      <c r="A316" t="s">
        <v>83</v>
      </c>
      <c r="B316" t="s">
        <v>84</v>
      </c>
      <c r="C316">
        <v>5</v>
      </c>
      <c r="D316">
        <v>7</v>
      </c>
      <c r="E316">
        <f t="shared" si="91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f t="shared" si="80"/>
        <v>248.04590102666805</v>
      </c>
      <c r="P316">
        <f t="shared" si="81"/>
        <v>108.33475379830827</v>
      </c>
      <c r="Q316">
        <f t="shared" si="92"/>
        <v>275.17027464770302</v>
      </c>
      <c r="R316">
        <f t="shared" si="82"/>
        <v>112511.86192027108</v>
      </c>
      <c r="S316">
        <f t="shared" si="83"/>
        <v>270396.20745078364</v>
      </c>
      <c r="T316">
        <f t="shared" si="84"/>
        <v>716549.94974457659</v>
      </c>
      <c r="U316">
        <v>280</v>
      </c>
      <c r="V316">
        <v>0.11600000000000001</v>
      </c>
      <c r="W316">
        <v>0</v>
      </c>
    </row>
    <row r="317" spans="1:25" x14ac:dyDescent="0.25">
      <c r="A317" t="s">
        <v>83</v>
      </c>
      <c r="B317" t="s">
        <v>84</v>
      </c>
      <c r="C317">
        <v>6</v>
      </c>
      <c r="D317">
        <v>7</v>
      </c>
      <c r="E317">
        <f t="shared" si="91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f t="shared" si="80"/>
        <v>255.37928747878141</v>
      </c>
      <c r="P317">
        <f t="shared" si="81"/>
        <v>109.39202775973591</v>
      </c>
      <c r="Q317">
        <f t="shared" si="92"/>
        <v>277.85575050972921</v>
      </c>
      <c r="R317">
        <f t="shared" si="82"/>
        <v>115838.23401710109</v>
      </c>
      <c r="S317">
        <f t="shared" si="83"/>
        <v>278390.37254770752</v>
      </c>
      <c r="T317">
        <f t="shared" si="84"/>
        <v>737734.48725142493</v>
      </c>
      <c r="U317">
        <v>280</v>
      </c>
      <c r="V317">
        <v>0.11600000000000001</v>
      </c>
      <c r="W317">
        <v>0</v>
      </c>
    </row>
    <row r="318" spans="1:25" x14ac:dyDescent="0.25">
      <c r="A318" t="s">
        <v>83</v>
      </c>
      <c r="B318" t="s">
        <v>84</v>
      </c>
      <c r="C318">
        <v>7</v>
      </c>
      <c r="D318">
        <v>7</v>
      </c>
      <c r="E318">
        <f t="shared" si="91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f t="shared" si="80"/>
        <v>258.68088309191813</v>
      </c>
      <c r="P318">
        <f t="shared" si="81"/>
        <v>109.86142487603146</v>
      </c>
      <c r="Q318">
        <f t="shared" si="92"/>
        <v>279.04801918511993</v>
      </c>
      <c r="R318">
        <f t="shared" si="82"/>
        <v>117335.81437704373</v>
      </c>
      <c r="S318">
        <f t="shared" si="83"/>
        <v>281989.46017073718</v>
      </c>
      <c r="T318">
        <f t="shared" si="84"/>
        <v>747272.06945245352</v>
      </c>
      <c r="U318">
        <v>280</v>
      </c>
      <c r="V318">
        <v>0.11600000000000001</v>
      </c>
      <c r="W318">
        <v>0</v>
      </c>
    </row>
    <row r="319" spans="1:25" x14ac:dyDescent="0.25">
      <c r="A319" t="s">
        <v>83</v>
      </c>
      <c r="B319" t="s">
        <v>84</v>
      </c>
      <c r="C319">
        <v>8</v>
      </c>
      <c r="D319">
        <v>7</v>
      </c>
      <c r="E319">
        <f t="shared" si="91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f t="shared" si="80"/>
        <v>260.15576490301822</v>
      </c>
      <c r="P319">
        <f t="shared" si="81"/>
        <v>110.06982275664237</v>
      </c>
      <c r="Q319">
        <f t="shared" si="92"/>
        <v>279.57734980187161</v>
      </c>
      <c r="R319">
        <f t="shared" si="82"/>
        <v>118004.81030881433</v>
      </c>
      <c r="S319">
        <f t="shared" si="83"/>
        <v>283597.23698345188</v>
      </c>
      <c r="T319">
        <f t="shared" si="84"/>
        <v>751532.6780061475</v>
      </c>
      <c r="U319">
        <v>280</v>
      </c>
      <c r="V319">
        <v>0.11600000000000001</v>
      </c>
      <c r="W319">
        <v>0</v>
      </c>
    </row>
    <row r="320" spans="1:25" x14ac:dyDescent="0.25">
      <c r="A320" t="s">
        <v>83</v>
      </c>
      <c r="B320" t="s">
        <v>84</v>
      </c>
      <c r="C320">
        <v>9</v>
      </c>
      <c r="D320">
        <v>7</v>
      </c>
      <c r="E320">
        <f t="shared" si="91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f t="shared" si="80"/>
        <v>260.81235998792533</v>
      </c>
      <c r="P320">
        <f t="shared" si="81"/>
        <v>110.16234500515094</v>
      </c>
      <c r="Q320">
        <f t="shared" si="92"/>
        <v>279.8123563130834</v>
      </c>
      <c r="R320">
        <f t="shared" si="82"/>
        <v>118302.63718369848</v>
      </c>
      <c r="S320">
        <f t="shared" si="83"/>
        <v>284312.99491395935</v>
      </c>
      <c r="T320">
        <f t="shared" si="84"/>
        <v>753429.4365219922</v>
      </c>
      <c r="U320">
        <v>280</v>
      </c>
      <c r="V320">
        <v>0.11600000000000001</v>
      </c>
      <c r="W320">
        <v>0</v>
      </c>
    </row>
    <row r="321" spans="1:37" x14ac:dyDescent="0.25">
      <c r="A321" t="s">
        <v>83</v>
      </c>
      <c r="B321" t="s">
        <v>84</v>
      </c>
      <c r="C321">
        <v>10</v>
      </c>
      <c r="D321">
        <v>7</v>
      </c>
      <c r="E321">
        <f t="shared" si="91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f t="shared" si="80"/>
        <v>261.10422177632682</v>
      </c>
      <c r="P321">
        <f t="shared" si="81"/>
        <v>110.20342203743165</v>
      </c>
      <c r="Q321">
        <f t="shared" si="92"/>
        <v>279.91669197507639</v>
      </c>
      <c r="R321">
        <f t="shared" si="82"/>
        <v>118435.02362145261</v>
      </c>
      <c r="S321">
        <f t="shared" si="83"/>
        <v>284631.15506237105</v>
      </c>
      <c r="T321">
        <f t="shared" si="84"/>
        <v>754272.56091528328</v>
      </c>
      <c r="U321">
        <v>280</v>
      </c>
      <c r="V321">
        <v>0.11600000000000001</v>
      </c>
      <c r="W321">
        <v>0</v>
      </c>
      <c r="AK321" t="s">
        <v>453</v>
      </c>
    </row>
    <row r="322" spans="1:37" x14ac:dyDescent="0.25">
      <c r="A322" t="s">
        <v>85</v>
      </c>
      <c r="B322" t="s">
        <v>86</v>
      </c>
      <c r="C322">
        <v>1</v>
      </c>
      <c r="D322">
        <v>7</v>
      </c>
      <c r="E322">
        <f t="shared" si="91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>
        <f t="shared" ref="O322:O385" si="93">R322*0.00220462</f>
        <v>167.00697029103529</v>
      </c>
      <c r="P322">
        <f t="shared" ref="P322:P385" si="94">Q322/2.54</f>
        <v>74.940613492284385</v>
      </c>
      <c r="Q322" s="2">
        <f t="shared" ref="Q322:Q331" si="95">U322*(1-EXP(-V322*(E322-W322)))</f>
        <v>190.34915827040234</v>
      </c>
      <c r="R322" s="2">
        <f t="shared" ref="R322:R385" si="96">L322*(Q322^M322)</f>
        <v>75753.177550342138</v>
      </c>
      <c r="S322" s="2">
        <f t="shared" ref="S322:S385" si="97">R322/20/5.7/3.65*1000</f>
        <v>182055.22122168262</v>
      </c>
      <c r="T322" s="2">
        <f t="shared" ref="T322:T385" si="98">S322*2.65</f>
        <v>482446.33623745892</v>
      </c>
      <c r="U322">
        <f t="shared" ref="U322:U331" si="99">$AK$324</f>
        <v>309.24444444444441</v>
      </c>
      <c r="V322">
        <f t="shared" ref="V322:V331" si="100">$AK$325</f>
        <v>0.13655555555555554</v>
      </c>
      <c r="W322">
        <v>0</v>
      </c>
      <c r="Y322" t="s">
        <v>635</v>
      </c>
      <c r="Z322" t="s">
        <v>636</v>
      </c>
      <c r="AA322" t="s">
        <v>637</v>
      </c>
      <c r="AB322" t="s">
        <v>638</v>
      </c>
      <c r="AC322" t="s">
        <v>639</v>
      </c>
      <c r="AD322" t="s">
        <v>640</v>
      </c>
      <c r="AE322" t="s">
        <v>641</v>
      </c>
      <c r="AF322" t="s">
        <v>642</v>
      </c>
      <c r="AG322" t="s">
        <v>643</v>
      </c>
      <c r="AH322" t="s">
        <v>644</v>
      </c>
    </row>
    <row r="323" spans="1:37" x14ac:dyDescent="0.25">
      <c r="A323" t="s">
        <v>85</v>
      </c>
      <c r="B323" t="s">
        <v>86</v>
      </c>
      <c r="C323">
        <v>2</v>
      </c>
      <c r="D323">
        <v>7</v>
      </c>
      <c r="E323">
        <f t="shared" si="91"/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f t="shared" si="93"/>
        <v>427.99446653786288</v>
      </c>
      <c r="P323">
        <f t="shared" si="94"/>
        <v>101.11979332183873</v>
      </c>
      <c r="Q323" s="2">
        <f t="shared" si="95"/>
        <v>256.84427503747037</v>
      </c>
      <c r="R323" s="2">
        <f t="shared" si="96"/>
        <v>194135.25529926375</v>
      </c>
      <c r="S323" s="2">
        <f t="shared" si="97"/>
        <v>466559.13313930243</v>
      </c>
      <c r="T323" s="2">
        <f t="shared" si="98"/>
        <v>1236381.7028191513</v>
      </c>
      <c r="U323">
        <f t="shared" si="99"/>
        <v>309.24444444444441</v>
      </c>
      <c r="V323">
        <f t="shared" si="100"/>
        <v>0.13655555555555554</v>
      </c>
      <c r="W323">
        <v>1</v>
      </c>
      <c r="X323" t="s">
        <v>422</v>
      </c>
      <c r="Y323">
        <v>420</v>
      </c>
      <c r="Z323">
        <v>430</v>
      </c>
      <c r="AA323">
        <v>445</v>
      </c>
      <c r="AB323">
        <v>653</v>
      </c>
      <c r="AC323">
        <v>200</v>
      </c>
      <c r="AD323">
        <v>350</v>
      </c>
      <c r="AE323">
        <v>275</v>
      </c>
      <c r="AG323">
        <v>190</v>
      </c>
      <c r="AH323">
        <v>300</v>
      </c>
      <c r="AK323">
        <f>AVERAGE(Y323:AH323)</f>
        <v>362.55555555555554</v>
      </c>
    </row>
    <row r="324" spans="1:37" x14ac:dyDescent="0.25">
      <c r="A324" t="s">
        <v>85</v>
      </c>
      <c r="B324" t="s">
        <v>86</v>
      </c>
      <c r="C324">
        <v>3</v>
      </c>
      <c r="D324">
        <v>7</v>
      </c>
      <c r="E324">
        <f t="shared" si="91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f t="shared" si="93"/>
        <v>600.93530089230137</v>
      </c>
      <c r="P324">
        <f t="shared" si="94"/>
        <v>112.65762213025943</v>
      </c>
      <c r="Q324" s="2">
        <f t="shared" si="95"/>
        <v>286.15036021085893</v>
      </c>
      <c r="R324" s="2">
        <f t="shared" si="96"/>
        <v>272579.99151432054</v>
      </c>
      <c r="S324" s="2">
        <f t="shared" si="97"/>
        <v>655082.89236798976</v>
      </c>
      <c r="T324" s="2">
        <f t="shared" si="98"/>
        <v>1735969.6647751727</v>
      </c>
      <c r="U324">
        <f t="shared" si="99"/>
        <v>309.24444444444441</v>
      </c>
      <c r="V324">
        <f t="shared" si="100"/>
        <v>0.13655555555555554</v>
      </c>
      <c r="W324">
        <v>2</v>
      </c>
      <c r="X324" t="s">
        <v>18</v>
      </c>
      <c r="Y324">
        <v>373</v>
      </c>
      <c r="Z324">
        <v>329</v>
      </c>
      <c r="AA324">
        <v>321</v>
      </c>
      <c r="AB324">
        <v>660</v>
      </c>
      <c r="AC324">
        <v>124</v>
      </c>
      <c r="AD324">
        <v>304</v>
      </c>
      <c r="AE324">
        <v>179.2</v>
      </c>
      <c r="AF324">
        <v>337</v>
      </c>
      <c r="AG324">
        <v>156</v>
      </c>
      <c r="AK324">
        <f>AVERAGE(Y324:AH324)</f>
        <v>309.24444444444441</v>
      </c>
    </row>
    <row r="325" spans="1:37" x14ac:dyDescent="0.25">
      <c r="A325" t="s">
        <v>85</v>
      </c>
      <c r="B325" t="s">
        <v>86</v>
      </c>
      <c r="C325">
        <v>4</v>
      </c>
      <c r="D325">
        <v>7</v>
      </c>
      <c r="E325">
        <f t="shared" si="91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f t="shared" si="93"/>
        <v>690.32031978775092</v>
      </c>
      <c r="P325">
        <f t="shared" si="94"/>
        <v>117.74263604128112</v>
      </c>
      <c r="Q325" s="2">
        <f t="shared" si="95"/>
        <v>299.06629554485403</v>
      </c>
      <c r="R325" s="2">
        <f t="shared" si="96"/>
        <v>313124.40229506715</v>
      </c>
      <c r="S325" s="2">
        <f t="shared" si="97"/>
        <v>752521.99542193499</v>
      </c>
      <c r="T325" s="2">
        <f t="shared" si="98"/>
        <v>1994183.2878681277</v>
      </c>
      <c r="U325">
        <f t="shared" si="99"/>
        <v>309.24444444444441</v>
      </c>
      <c r="V325">
        <f t="shared" si="100"/>
        <v>0.13655555555555554</v>
      </c>
      <c r="W325">
        <v>3</v>
      </c>
      <c r="X325" t="s">
        <v>19</v>
      </c>
      <c r="Y325">
        <v>0.04</v>
      </c>
      <c r="Z325">
        <v>0.1</v>
      </c>
      <c r="AA325">
        <v>0.1</v>
      </c>
      <c r="AB325">
        <v>7.0999999999999994E-2</v>
      </c>
      <c r="AC325">
        <v>0.2</v>
      </c>
      <c r="AD325">
        <v>0.1</v>
      </c>
      <c r="AE325">
        <v>0.2</v>
      </c>
      <c r="AF325">
        <v>0.17799999999999999</v>
      </c>
      <c r="AG325">
        <v>0.24</v>
      </c>
      <c r="AK325">
        <f>AVERAGE(Y325:AH325)</f>
        <v>0.13655555555555554</v>
      </c>
    </row>
    <row r="326" spans="1:37" x14ac:dyDescent="0.25">
      <c r="A326" t="s">
        <v>85</v>
      </c>
      <c r="B326" t="s">
        <v>86</v>
      </c>
      <c r="C326">
        <v>5</v>
      </c>
      <c r="D326">
        <v>7</v>
      </c>
      <c r="E326">
        <f t="shared" si="91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f t="shared" si="93"/>
        <v>732.43834267098998</v>
      </c>
      <c r="P326">
        <f t="shared" si="94"/>
        <v>119.98373069649152</v>
      </c>
      <c r="Q326" s="2">
        <f t="shared" si="95"/>
        <v>304.75867596908847</v>
      </c>
      <c r="R326" s="2">
        <f t="shared" si="96"/>
        <v>332228.83883435238</v>
      </c>
      <c r="S326" s="2">
        <f t="shared" si="97"/>
        <v>798435.08491793415</v>
      </c>
      <c r="T326" s="2">
        <f t="shared" si="98"/>
        <v>2115852.9750325256</v>
      </c>
      <c r="U326">
        <f t="shared" si="99"/>
        <v>309.24444444444441</v>
      </c>
      <c r="V326">
        <f t="shared" si="100"/>
        <v>0.13655555555555554</v>
      </c>
      <c r="W326">
        <v>4</v>
      </c>
      <c r="X326" t="s">
        <v>477</v>
      </c>
    </row>
    <row r="327" spans="1:37" x14ac:dyDescent="0.25">
      <c r="A327" t="s">
        <v>85</v>
      </c>
      <c r="B327" t="s">
        <v>86</v>
      </c>
      <c r="C327">
        <v>6</v>
      </c>
      <c r="D327">
        <v>7</v>
      </c>
      <c r="E327">
        <f t="shared" si="91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f t="shared" si="93"/>
        <v>751.54422854031532</v>
      </c>
      <c r="P327">
        <f t="shared" si="94"/>
        <v>120.97143797546796</v>
      </c>
      <c r="Q327" s="2">
        <f t="shared" si="95"/>
        <v>307.26745245768865</v>
      </c>
      <c r="R327" s="2">
        <f t="shared" si="96"/>
        <v>340895.13319316495</v>
      </c>
      <c r="S327" s="2">
        <f t="shared" si="97"/>
        <v>819262.51668628922</v>
      </c>
      <c r="T327" s="2">
        <f t="shared" si="98"/>
        <v>2171045.6692186664</v>
      </c>
      <c r="U327">
        <f t="shared" si="99"/>
        <v>309.24444444444441</v>
      </c>
      <c r="V327">
        <f t="shared" si="100"/>
        <v>0.13655555555555554</v>
      </c>
      <c r="W327">
        <v>5</v>
      </c>
      <c r="X327" t="s">
        <v>423</v>
      </c>
      <c r="Y327" t="s">
        <v>428</v>
      </c>
      <c r="Z327" t="s">
        <v>428</v>
      </c>
      <c r="AA327" t="s">
        <v>428</v>
      </c>
      <c r="AB327" t="s">
        <v>428</v>
      </c>
      <c r="AC327" t="s">
        <v>428</v>
      </c>
      <c r="AD327" t="s">
        <v>428</v>
      </c>
      <c r="AE327" t="s">
        <v>428</v>
      </c>
      <c r="AF327" t="s">
        <v>645</v>
      </c>
      <c r="AG327" t="s">
        <v>646</v>
      </c>
    </row>
    <row r="328" spans="1:37" x14ac:dyDescent="0.25">
      <c r="A328" t="s">
        <v>85</v>
      </c>
      <c r="B328" t="s">
        <v>86</v>
      </c>
      <c r="C328">
        <v>7</v>
      </c>
      <c r="D328">
        <v>7</v>
      </c>
      <c r="E328">
        <f t="shared" si="91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f t="shared" si="93"/>
        <v>760.07145838135921</v>
      </c>
      <c r="P328">
        <f t="shared" si="94"/>
        <v>121.40674563490794</v>
      </c>
      <c r="Q328" s="2">
        <f t="shared" si="95"/>
        <v>308.37313391266616</v>
      </c>
      <c r="R328" s="2">
        <f t="shared" si="96"/>
        <v>344763.02418619045</v>
      </c>
      <c r="S328" s="2">
        <f t="shared" si="97"/>
        <v>828558.09705885698</v>
      </c>
      <c r="T328" s="2">
        <f t="shared" si="98"/>
        <v>2195678.9572059708</v>
      </c>
      <c r="U328">
        <f t="shared" si="99"/>
        <v>309.24444444444441</v>
      </c>
      <c r="V328">
        <f t="shared" si="100"/>
        <v>0.13655555555555554</v>
      </c>
      <c r="W328">
        <v>6</v>
      </c>
      <c r="X328" t="s">
        <v>434</v>
      </c>
      <c r="Y328" s="7" t="s">
        <v>647</v>
      </c>
      <c r="Z328" s="7" t="s">
        <v>648</v>
      </c>
      <c r="AA328" s="7" t="s">
        <v>649</v>
      </c>
      <c r="AB328" s="7" t="s">
        <v>650</v>
      </c>
      <c r="AC328" s="7" t="s">
        <v>651</v>
      </c>
      <c r="AD328" s="7" t="s">
        <v>652</v>
      </c>
      <c r="AE328" s="7" t="s">
        <v>653</v>
      </c>
      <c r="AF328" s="7" t="s">
        <v>654</v>
      </c>
      <c r="AG328" s="7" t="s">
        <v>655</v>
      </c>
      <c r="AH328" s="7" t="s">
        <v>656</v>
      </c>
    </row>
    <row r="329" spans="1:37" x14ac:dyDescent="0.25">
      <c r="A329" t="s">
        <v>85</v>
      </c>
      <c r="B329" t="s">
        <v>86</v>
      </c>
      <c r="C329">
        <v>8</v>
      </c>
      <c r="D329">
        <v>7</v>
      </c>
      <c r="E329">
        <f t="shared" si="91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f t="shared" si="93"/>
        <v>763.8504714776526</v>
      </c>
      <c r="P329">
        <f t="shared" si="94"/>
        <v>121.59859676570396</v>
      </c>
      <c r="Q329" s="2">
        <f t="shared" si="95"/>
        <v>308.86043578488807</v>
      </c>
      <c r="R329" s="2">
        <f t="shared" si="96"/>
        <v>346477.15773133357</v>
      </c>
      <c r="S329" s="2">
        <f t="shared" si="97"/>
        <v>832677.62011856178</v>
      </c>
      <c r="T329" s="2">
        <f t="shared" si="98"/>
        <v>2206595.6933141886</v>
      </c>
      <c r="U329">
        <f t="shared" si="99"/>
        <v>309.24444444444441</v>
      </c>
      <c r="V329">
        <f t="shared" si="100"/>
        <v>0.13655555555555554</v>
      </c>
      <c r="W329">
        <v>7</v>
      </c>
    </row>
    <row r="330" spans="1:37" x14ac:dyDescent="0.25">
      <c r="A330" t="s">
        <v>85</v>
      </c>
      <c r="B330" t="s">
        <v>86</v>
      </c>
      <c r="C330">
        <v>9</v>
      </c>
      <c r="D330">
        <v>7</v>
      </c>
      <c r="E330">
        <f t="shared" si="91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f t="shared" si="93"/>
        <v>765.52003667905785</v>
      </c>
      <c r="P330">
        <f t="shared" si="94"/>
        <v>121.68315042698129</v>
      </c>
      <c r="Q330" s="2">
        <f t="shared" si="95"/>
        <v>309.07520208453246</v>
      </c>
      <c r="R330" s="2">
        <f t="shared" si="96"/>
        <v>347234.46066853148</v>
      </c>
      <c r="S330" s="2">
        <f t="shared" si="97"/>
        <v>834497.62237089989</v>
      </c>
      <c r="T330" s="2">
        <f t="shared" si="98"/>
        <v>2211418.6992828846</v>
      </c>
      <c r="U330">
        <f t="shared" si="99"/>
        <v>309.24444444444441</v>
      </c>
      <c r="V330">
        <f t="shared" si="100"/>
        <v>0.13655555555555554</v>
      </c>
      <c r="W330">
        <v>8</v>
      </c>
    </row>
    <row r="331" spans="1:37" x14ac:dyDescent="0.25">
      <c r="A331" t="s">
        <v>85</v>
      </c>
      <c r="B331" t="s">
        <v>86</v>
      </c>
      <c r="C331">
        <v>10</v>
      </c>
      <c r="D331">
        <v>7</v>
      </c>
      <c r="E331">
        <f t="shared" si="91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>
        <f t="shared" si="93"/>
        <v>766.25664546814528</v>
      </c>
      <c r="P331">
        <f t="shared" si="94"/>
        <v>121.72041537092892</v>
      </c>
      <c r="Q331" s="2">
        <f t="shared" si="95"/>
        <v>309.16985504215944</v>
      </c>
      <c r="R331" s="2">
        <f t="shared" si="96"/>
        <v>347568.58119228948</v>
      </c>
      <c r="S331" s="2">
        <f t="shared" si="97"/>
        <v>835300.60368250287</v>
      </c>
      <c r="T331" s="2">
        <f t="shared" si="98"/>
        <v>2213546.5997586325</v>
      </c>
      <c r="U331">
        <f t="shared" si="99"/>
        <v>309.24444444444441</v>
      </c>
      <c r="V331">
        <f t="shared" si="100"/>
        <v>0.13655555555555554</v>
      </c>
      <c r="W331">
        <v>9</v>
      </c>
    </row>
    <row r="332" spans="1:37" x14ac:dyDescent="0.25">
      <c r="A332" t="s">
        <v>87</v>
      </c>
      <c r="B332" t="s">
        <v>88</v>
      </c>
      <c r="C332">
        <v>1</v>
      </c>
      <c r="D332">
        <v>2</v>
      </c>
      <c r="E332">
        <f t="shared" si="91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f t="shared" si="93"/>
        <v>3.7154641369323282E-2</v>
      </c>
      <c r="P332">
        <f t="shared" si="94"/>
        <v>5.1002879545015594</v>
      </c>
      <c r="Q332">
        <f t="shared" ref="Q332:Q341" si="101">31.4*(1-EXP(-0.19*(E332+0.8)))</f>
        <v>12.954731404433961</v>
      </c>
      <c r="R332">
        <f t="shared" si="96"/>
        <v>16.853081877749126</v>
      </c>
      <c r="S332">
        <f t="shared" si="97"/>
        <v>40.502479879233661</v>
      </c>
      <c r="T332">
        <f t="shared" si="98"/>
        <v>107.3315716799692</v>
      </c>
      <c r="U332">
        <v>31.4</v>
      </c>
      <c r="V332">
        <v>0.19</v>
      </c>
      <c r="W332">
        <v>-0.8</v>
      </c>
      <c r="Y332" t="s">
        <v>657</v>
      </c>
    </row>
    <row r="333" spans="1:37" x14ac:dyDescent="0.25">
      <c r="A333" t="s">
        <v>87</v>
      </c>
      <c r="B333" t="s">
        <v>88</v>
      </c>
      <c r="C333">
        <v>2</v>
      </c>
      <c r="D333">
        <v>2</v>
      </c>
      <c r="E333">
        <f t="shared" si="91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f t="shared" si="93"/>
        <v>0.1175901246129735</v>
      </c>
      <c r="P333">
        <f t="shared" si="94"/>
        <v>7.396060088557399</v>
      </c>
      <c r="Q333">
        <f t="shared" si="101"/>
        <v>18.785992624935794</v>
      </c>
      <c r="R333">
        <f t="shared" si="96"/>
        <v>53.338046744098072</v>
      </c>
      <c r="S333">
        <f t="shared" si="97"/>
        <v>128.18564466257646</v>
      </c>
      <c r="T333">
        <f t="shared" si="98"/>
        <v>339.69195835582764</v>
      </c>
      <c r="U333">
        <v>31.4</v>
      </c>
      <c r="V333">
        <v>0.19</v>
      </c>
      <c r="W333">
        <v>-0.8</v>
      </c>
    </row>
    <row r="334" spans="1:37" x14ac:dyDescent="0.25">
      <c r="A334" t="s">
        <v>87</v>
      </c>
      <c r="B334" t="s">
        <v>88</v>
      </c>
      <c r="C334">
        <v>3</v>
      </c>
      <c r="D334">
        <v>2</v>
      </c>
      <c r="E334">
        <f t="shared" si="91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f t="shared" si="93"/>
        <v>0.21356648904635128</v>
      </c>
      <c r="P334">
        <f t="shared" si="94"/>
        <v>8.9660500553832847</v>
      </c>
      <c r="Q334">
        <f t="shared" si="101"/>
        <v>22.773767140673542</v>
      </c>
      <c r="R334">
        <f t="shared" si="96"/>
        <v>96.872245124489154</v>
      </c>
      <c r="S334">
        <f t="shared" si="97"/>
        <v>232.81000991225466</v>
      </c>
      <c r="T334">
        <f t="shared" si="98"/>
        <v>616.94652626747484</v>
      </c>
      <c r="U334">
        <v>31.4</v>
      </c>
      <c r="V334">
        <v>0.19</v>
      </c>
      <c r="W334">
        <v>-0.8</v>
      </c>
    </row>
    <row r="335" spans="1:37" x14ac:dyDescent="0.25">
      <c r="A335" t="s">
        <v>87</v>
      </c>
      <c r="B335" t="s">
        <v>88</v>
      </c>
      <c r="C335">
        <v>4</v>
      </c>
      <c r="D335">
        <v>2</v>
      </c>
      <c r="E335">
        <f t="shared" si="91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f t="shared" si="93"/>
        <v>0.30325260995351433</v>
      </c>
      <c r="P335">
        <f t="shared" si="94"/>
        <v>10.039705606546095</v>
      </c>
      <c r="Q335">
        <f t="shared" si="101"/>
        <v>25.500852240627079</v>
      </c>
      <c r="R335">
        <f t="shared" si="96"/>
        <v>137.5532336427658</v>
      </c>
      <c r="S335">
        <f t="shared" si="97"/>
        <v>330.57734593310693</v>
      </c>
      <c r="T335">
        <f t="shared" si="98"/>
        <v>876.02996672273332</v>
      </c>
      <c r="U335">
        <v>31.4</v>
      </c>
      <c r="V335">
        <v>0.19</v>
      </c>
      <c r="W335">
        <v>-0.8</v>
      </c>
    </row>
    <row r="336" spans="1:37" x14ac:dyDescent="0.25">
      <c r="A336" t="s">
        <v>87</v>
      </c>
      <c r="B336" t="s">
        <v>88</v>
      </c>
      <c r="C336">
        <v>5</v>
      </c>
      <c r="D336">
        <v>2</v>
      </c>
      <c r="E336">
        <f t="shared" si="91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f t="shared" si="93"/>
        <v>0.37742466542347181</v>
      </c>
      <c r="P336">
        <f t="shared" si="94"/>
        <v>10.773937204772961</v>
      </c>
      <c r="Q336">
        <f t="shared" si="101"/>
        <v>27.365800500123324</v>
      </c>
      <c r="R336">
        <f t="shared" si="96"/>
        <v>171.19715208220546</v>
      </c>
      <c r="S336">
        <f t="shared" si="97"/>
        <v>411.43271348763631</v>
      </c>
      <c r="T336">
        <f t="shared" si="98"/>
        <v>1090.2966907422363</v>
      </c>
      <c r="U336">
        <v>31.4</v>
      </c>
      <c r="V336">
        <v>0.19</v>
      </c>
      <c r="W336">
        <v>-0.8</v>
      </c>
    </row>
    <row r="337" spans="1:31" x14ac:dyDescent="0.25">
      <c r="A337" t="s">
        <v>87</v>
      </c>
      <c r="B337" t="s">
        <v>88</v>
      </c>
      <c r="C337">
        <v>6</v>
      </c>
      <c r="D337">
        <v>2</v>
      </c>
      <c r="E337">
        <f t="shared" si="91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f t="shared" si="93"/>
        <v>0.43466650614466917</v>
      </c>
      <c r="P337">
        <f t="shared" si="94"/>
        <v>11.276049860224628</v>
      </c>
      <c r="Q337">
        <f t="shared" si="101"/>
        <v>28.641166644970554</v>
      </c>
      <c r="R337">
        <f t="shared" si="96"/>
        <v>197.16164515638485</v>
      </c>
      <c r="S337">
        <f t="shared" si="97"/>
        <v>473.83236038544783</v>
      </c>
      <c r="T337">
        <f t="shared" si="98"/>
        <v>1255.6557550214368</v>
      </c>
      <c r="U337">
        <v>31.4</v>
      </c>
      <c r="V337">
        <v>0.19</v>
      </c>
      <c r="W337">
        <v>-0.8</v>
      </c>
    </row>
    <row r="338" spans="1:31" x14ac:dyDescent="0.25">
      <c r="A338" t="s">
        <v>87</v>
      </c>
      <c r="B338" t="s">
        <v>88</v>
      </c>
      <c r="C338">
        <v>7</v>
      </c>
      <c r="D338">
        <v>2</v>
      </c>
      <c r="E338">
        <f t="shared" si="91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f t="shared" si="93"/>
        <v>0.47702586502980981</v>
      </c>
      <c r="P338">
        <f t="shared" si="94"/>
        <v>11.619425328365162</v>
      </c>
      <c r="Q338">
        <f t="shared" si="101"/>
        <v>29.513340334047513</v>
      </c>
      <c r="R338">
        <f t="shared" si="96"/>
        <v>216.3755499949242</v>
      </c>
      <c r="S338">
        <f t="shared" si="97"/>
        <v>520.00853159078156</v>
      </c>
      <c r="T338">
        <f t="shared" si="98"/>
        <v>1378.0226087155711</v>
      </c>
      <c r="U338">
        <v>31.4</v>
      </c>
      <c r="V338">
        <v>0.19</v>
      </c>
      <c r="W338">
        <v>-0.8</v>
      </c>
    </row>
    <row r="339" spans="1:31" x14ac:dyDescent="0.25">
      <c r="A339" t="s">
        <v>87</v>
      </c>
      <c r="B339" t="s">
        <v>88</v>
      </c>
      <c r="C339">
        <v>8</v>
      </c>
      <c r="D339">
        <v>2</v>
      </c>
      <c r="E339">
        <f t="shared" si="91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f t="shared" si="93"/>
        <v>0.50754993734567211</v>
      </c>
      <c r="P339">
        <f t="shared" si="94"/>
        <v>11.8542465598967</v>
      </c>
      <c r="Q339">
        <f t="shared" si="101"/>
        <v>30.109786262137618</v>
      </c>
      <c r="R339">
        <f t="shared" si="96"/>
        <v>230.22105276450003</v>
      </c>
      <c r="S339">
        <f t="shared" si="97"/>
        <v>553.28299150324449</v>
      </c>
      <c r="T339">
        <f t="shared" si="98"/>
        <v>1466.1999274835978</v>
      </c>
      <c r="U339">
        <v>31.4</v>
      </c>
      <c r="V339">
        <v>0.19</v>
      </c>
      <c r="W339">
        <v>-0.8</v>
      </c>
    </row>
    <row r="340" spans="1:31" x14ac:dyDescent="0.25">
      <c r="A340" t="s">
        <v>87</v>
      </c>
      <c r="B340" t="s">
        <v>88</v>
      </c>
      <c r="C340">
        <v>9</v>
      </c>
      <c r="D340">
        <v>2</v>
      </c>
      <c r="E340">
        <f t="shared" si="91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f t="shared" si="93"/>
        <v>0.52916896251648349</v>
      </c>
      <c r="P340">
        <f t="shared" si="94"/>
        <v>12.014831738204839</v>
      </c>
      <c r="Q340">
        <f t="shared" si="101"/>
        <v>30.51767261504029</v>
      </c>
      <c r="R340">
        <f t="shared" si="96"/>
        <v>240.02728929089074</v>
      </c>
      <c r="S340">
        <f t="shared" si="97"/>
        <v>576.85001031216234</v>
      </c>
      <c r="T340">
        <f t="shared" si="98"/>
        <v>1528.6525273272302</v>
      </c>
      <c r="U340">
        <v>31.4</v>
      </c>
      <c r="V340">
        <v>0.19</v>
      </c>
      <c r="W340">
        <v>-0.8</v>
      </c>
    </row>
    <row r="341" spans="1:31" x14ac:dyDescent="0.25">
      <c r="A341" t="s">
        <v>87</v>
      </c>
      <c r="B341" t="s">
        <v>88</v>
      </c>
      <c r="C341">
        <v>10</v>
      </c>
      <c r="D341">
        <v>2</v>
      </c>
      <c r="E341">
        <f t="shared" si="91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f t="shared" si="93"/>
        <v>0.54430715076474634</v>
      </c>
      <c r="P341">
        <f t="shared" si="94"/>
        <v>12.12464974454126</v>
      </c>
      <c r="Q341">
        <f t="shared" si="101"/>
        <v>30.796610351134802</v>
      </c>
      <c r="R341">
        <f t="shared" si="96"/>
        <v>246.89386414200465</v>
      </c>
      <c r="S341">
        <f t="shared" si="97"/>
        <v>593.35223297766072</v>
      </c>
      <c r="T341">
        <f t="shared" si="98"/>
        <v>1572.3834173908008</v>
      </c>
      <c r="U341">
        <v>31.4</v>
      </c>
      <c r="V341">
        <v>0.19</v>
      </c>
      <c r="W341">
        <v>-0.8</v>
      </c>
    </row>
    <row r="342" spans="1:31" x14ac:dyDescent="0.25">
      <c r="A342" t="s">
        <v>89</v>
      </c>
      <c r="B342" t="s">
        <v>90</v>
      </c>
      <c r="C342">
        <v>1</v>
      </c>
      <c r="D342">
        <v>8</v>
      </c>
      <c r="E342">
        <f t="shared" si="91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f t="shared" si="93"/>
        <v>192.77360905797298</v>
      </c>
      <c r="P342">
        <f t="shared" si="94"/>
        <v>35.157965087150338</v>
      </c>
      <c r="Q342">
        <f t="shared" ref="Q342:Q351" si="102">U342*(1-EXP(-V342*(E342+W342)))</f>
        <v>89.301231321361854</v>
      </c>
      <c r="R342">
        <f t="shared" si="96"/>
        <v>87440.742195014551</v>
      </c>
      <c r="S342">
        <f t="shared" si="97"/>
        <v>210143.57653211863</v>
      </c>
      <c r="T342">
        <f t="shared" si="98"/>
        <v>556880.47781011439</v>
      </c>
      <c r="U342">
        <f t="shared" ref="U342:U351" si="103">$AC$344*100</f>
        <v>114.3</v>
      </c>
      <c r="V342">
        <v>0.19</v>
      </c>
      <c r="W342">
        <v>0</v>
      </c>
      <c r="Y342" t="s">
        <v>658</v>
      </c>
      <c r="Z342" t="s">
        <v>659</v>
      </c>
      <c r="AA342" t="s">
        <v>660</v>
      </c>
      <c r="AB342" t="s">
        <v>661</v>
      </c>
      <c r="AC342" t="s">
        <v>662</v>
      </c>
    </row>
    <row r="343" spans="1:31" x14ac:dyDescent="0.25">
      <c r="A343" t="s">
        <v>89</v>
      </c>
      <c r="B343" t="s">
        <v>90</v>
      </c>
      <c r="C343">
        <v>2</v>
      </c>
      <c r="D343">
        <v>8</v>
      </c>
      <c r="E343">
        <f t="shared" si="91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f t="shared" si="93"/>
        <v>363.02031476427624</v>
      </c>
      <c r="P343">
        <f t="shared" si="94"/>
        <v>42.847429972761077</v>
      </c>
      <c r="Q343">
        <f t="shared" si="102"/>
        <v>108.83247213081313</v>
      </c>
      <c r="R343">
        <f t="shared" si="96"/>
        <v>164663.44075816977</v>
      </c>
      <c r="S343">
        <f t="shared" si="97"/>
        <v>395730.45123328472</v>
      </c>
      <c r="T343">
        <f t="shared" si="98"/>
        <v>1048685.6957682045</v>
      </c>
      <c r="U343">
        <f t="shared" si="103"/>
        <v>114.3</v>
      </c>
      <c r="V343">
        <v>0.19</v>
      </c>
      <c r="W343">
        <v>0</v>
      </c>
      <c r="X343" t="s">
        <v>459</v>
      </c>
      <c r="Y343">
        <f>325*0.453592</f>
        <v>147.41739999999999</v>
      </c>
      <c r="Z343">
        <f>100*0.453592</f>
        <v>45.359200000000001</v>
      </c>
      <c r="AA343">
        <f>2200*0.453592</f>
        <v>997.90239999999994</v>
      </c>
      <c r="AB343">
        <f>205*0.453592</f>
        <v>92.986360000000005</v>
      </c>
      <c r="AC343">
        <f>125*0.453592</f>
        <v>56.698999999999998</v>
      </c>
      <c r="AE343">
        <f>AVERAGE(Y343:AC343)</f>
        <v>268.07287200000002</v>
      </c>
    </row>
    <row r="344" spans="1:31" x14ac:dyDescent="0.25">
      <c r="A344" t="s">
        <v>89</v>
      </c>
      <c r="B344" t="s">
        <v>90</v>
      </c>
      <c r="C344">
        <v>3</v>
      </c>
      <c r="D344">
        <v>8</v>
      </c>
      <c r="E344">
        <f t="shared" si="91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f t="shared" si="93"/>
        <v>410.61567727717454</v>
      </c>
      <c r="P344">
        <f t="shared" si="94"/>
        <v>44.529207347545793</v>
      </c>
      <c r="Q344">
        <f t="shared" si="102"/>
        <v>113.10418666276631</v>
      </c>
      <c r="R344">
        <f t="shared" si="96"/>
        <v>186252.3597160393</v>
      </c>
      <c r="S344">
        <f t="shared" si="97"/>
        <v>447614.4189282367</v>
      </c>
      <c r="T344">
        <f t="shared" si="98"/>
        <v>1186178.2101598273</v>
      </c>
      <c r="U344">
        <f t="shared" si="103"/>
        <v>114.3</v>
      </c>
      <c r="V344">
        <v>0.19</v>
      </c>
      <c r="W344">
        <v>0</v>
      </c>
      <c r="X344" t="s">
        <v>460</v>
      </c>
      <c r="Y344">
        <f>3.5*0.3048</f>
        <v>1.0668</v>
      </c>
      <c r="Z344">
        <f>2.15*0.3048</f>
        <v>0.65532000000000001</v>
      </c>
      <c r="AA344">
        <f>5*0.3048</f>
        <v>1.524</v>
      </c>
      <c r="AB344">
        <f>3*0.3048</f>
        <v>0.9144000000000001</v>
      </c>
      <c r="AC344">
        <f>45/12*0.3048</f>
        <v>1.143</v>
      </c>
      <c r="AE344">
        <f>AVERAGE(Y344:AC344)</f>
        <v>1.0607039999999999</v>
      </c>
    </row>
    <row r="345" spans="1:31" x14ac:dyDescent="0.25">
      <c r="A345" t="s">
        <v>89</v>
      </c>
      <c r="B345" t="s">
        <v>90</v>
      </c>
      <c r="C345">
        <v>4</v>
      </c>
      <c r="D345">
        <v>8</v>
      </c>
      <c r="E345">
        <f t="shared" si="91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f t="shared" si="93"/>
        <v>421.56841489071059</v>
      </c>
      <c r="P345">
        <f t="shared" si="94"/>
        <v>44.897032050618499</v>
      </c>
      <c r="Q345">
        <f t="shared" si="102"/>
        <v>114.038461408571</v>
      </c>
      <c r="R345">
        <f t="shared" si="96"/>
        <v>191220.44383644828</v>
      </c>
      <c r="S345">
        <f t="shared" si="97"/>
        <v>459554.05872734508</v>
      </c>
      <c r="T345">
        <f t="shared" si="98"/>
        <v>1217818.2556274645</v>
      </c>
      <c r="U345">
        <f t="shared" si="103"/>
        <v>114.3</v>
      </c>
      <c r="V345">
        <v>0.19</v>
      </c>
      <c r="W345">
        <v>0</v>
      </c>
      <c r="X345" t="s">
        <v>461</v>
      </c>
      <c r="Y345">
        <v>60</v>
      </c>
    </row>
    <row r="346" spans="1:31" x14ac:dyDescent="0.25">
      <c r="A346" t="s">
        <v>89</v>
      </c>
      <c r="B346" t="s">
        <v>90</v>
      </c>
      <c r="C346">
        <v>5</v>
      </c>
      <c r="D346">
        <v>8</v>
      </c>
      <c r="E346">
        <f t="shared" si="91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f t="shared" si="93"/>
        <v>423.99038879103455</v>
      </c>
      <c r="P346">
        <f t="shared" si="94"/>
        <v>44.977479685495176</v>
      </c>
      <c r="Q346">
        <f t="shared" si="102"/>
        <v>114.24279840115774</v>
      </c>
      <c r="R346">
        <f t="shared" si="96"/>
        <v>192319.0340244734</v>
      </c>
      <c r="S346">
        <f t="shared" si="97"/>
        <v>462194.26586030622</v>
      </c>
      <c r="T346">
        <f t="shared" si="98"/>
        <v>1224814.8045298115</v>
      </c>
      <c r="U346">
        <f t="shared" si="103"/>
        <v>114.3</v>
      </c>
      <c r="V346">
        <v>0.19</v>
      </c>
      <c r="W346">
        <v>0</v>
      </c>
      <c r="X346" t="s">
        <v>470</v>
      </c>
    </row>
    <row r="347" spans="1:31" x14ac:dyDescent="0.25">
      <c r="A347" t="s">
        <v>89</v>
      </c>
      <c r="B347" t="s">
        <v>90</v>
      </c>
      <c r="C347">
        <v>6</v>
      </c>
      <c r="D347">
        <v>8</v>
      </c>
      <c r="E347">
        <f t="shared" si="91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f t="shared" si="93"/>
        <v>424.5213752100255</v>
      </c>
      <c r="P347">
        <f t="shared" si="94"/>
        <v>44.995074539519891</v>
      </c>
      <c r="Q347">
        <f t="shared" si="102"/>
        <v>114.28748933038052</v>
      </c>
      <c r="R347">
        <f t="shared" si="96"/>
        <v>192559.88569913432</v>
      </c>
      <c r="S347">
        <f t="shared" si="97"/>
        <v>462773.09708996472</v>
      </c>
      <c r="T347">
        <f t="shared" si="98"/>
        <v>1226348.7072884066</v>
      </c>
      <c r="U347">
        <f t="shared" si="103"/>
        <v>114.3</v>
      </c>
      <c r="V347">
        <v>0.19</v>
      </c>
      <c r="W347">
        <v>0</v>
      </c>
    </row>
    <row r="348" spans="1:31" x14ac:dyDescent="0.25">
      <c r="A348" t="s">
        <v>89</v>
      </c>
      <c r="B348" t="s">
        <v>90</v>
      </c>
      <c r="C348">
        <v>7</v>
      </c>
      <c r="D348">
        <v>8</v>
      </c>
      <c r="E348">
        <f t="shared" si="91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f t="shared" si="93"/>
        <v>424.63756914980235</v>
      </c>
      <c r="P348">
        <f t="shared" si="94"/>
        <v>44.998922743244279</v>
      </c>
      <c r="Q348">
        <f t="shared" si="102"/>
        <v>114.29726376784048</v>
      </c>
      <c r="R348">
        <f t="shared" si="96"/>
        <v>192612.59044633649</v>
      </c>
      <c r="S348">
        <f t="shared" si="97"/>
        <v>462899.76074582187</v>
      </c>
      <c r="T348">
        <f t="shared" si="98"/>
        <v>1226684.3659764279</v>
      </c>
      <c r="U348">
        <f t="shared" si="103"/>
        <v>114.3</v>
      </c>
      <c r="V348">
        <v>0.19</v>
      </c>
      <c r="W348">
        <v>0</v>
      </c>
      <c r="X348" t="s">
        <v>434</v>
      </c>
      <c r="Y348" s="7" t="s">
        <v>663</v>
      </c>
      <c r="Z348" s="7" t="s">
        <v>664</v>
      </c>
      <c r="AB348" s="7" t="s">
        <v>665</v>
      </c>
      <c r="AC348" t="s">
        <v>666</v>
      </c>
    </row>
    <row r="349" spans="1:31" x14ac:dyDescent="0.25">
      <c r="A349" t="s">
        <v>89</v>
      </c>
      <c r="B349" t="s">
        <v>90</v>
      </c>
      <c r="C349">
        <v>8</v>
      </c>
      <c r="D349">
        <v>8</v>
      </c>
      <c r="E349">
        <f t="shared" si="91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f t="shared" si="93"/>
        <v>424.66298505925596</v>
      </c>
      <c r="P349">
        <f t="shared" si="94"/>
        <v>44.999764391142229</v>
      </c>
      <c r="Q349">
        <f t="shared" si="102"/>
        <v>114.29940155350126</v>
      </c>
      <c r="R349">
        <f t="shared" si="96"/>
        <v>192624.11892265151</v>
      </c>
      <c r="S349">
        <f t="shared" si="97"/>
        <v>462927.46676916967</v>
      </c>
      <c r="T349">
        <f t="shared" si="98"/>
        <v>1226757.7869382997</v>
      </c>
      <c r="U349">
        <f t="shared" si="103"/>
        <v>114.3</v>
      </c>
      <c r="V349">
        <v>0.19</v>
      </c>
      <c r="W349">
        <v>0</v>
      </c>
    </row>
    <row r="350" spans="1:31" x14ac:dyDescent="0.25">
      <c r="A350" t="s">
        <v>89</v>
      </c>
      <c r="B350" t="s">
        <v>90</v>
      </c>
      <c r="C350">
        <v>9</v>
      </c>
      <c r="D350">
        <v>8</v>
      </c>
      <c r="E350">
        <f t="shared" si="91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f t="shared" si="93"/>
        <v>424.66854396014895</v>
      </c>
      <c r="P350">
        <f t="shared" si="94"/>
        <v>44.999948469542133</v>
      </c>
      <c r="Q350">
        <f t="shared" si="102"/>
        <v>114.29986911263701</v>
      </c>
      <c r="R350">
        <f t="shared" si="96"/>
        <v>192626.64040068083</v>
      </c>
      <c r="S350">
        <f t="shared" si="97"/>
        <v>462933.52655775257</v>
      </c>
      <c r="T350">
        <f t="shared" si="98"/>
        <v>1226773.8453780443</v>
      </c>
      <c r="U350">
        <f t="shared" si="103"/>
        <v>114.3</v>
      </c>
      <c r="V350">
        <v>0.19</v>
      </c>
      <c r="W350">
        <v>0</v>
      </c>
    </row>
    <row r="351" spans="1:31" x14ac:dyDescent="0.25">
      <c r="A351" t="s">
        <v>89</v>
      </c>
      <c r="B351" t="s">
        <v>90</v>
      </c>
      <c r="C351">
        <v>10</v>
      </c>
      <c r="D351">
        <v>8</v>
      </c>
      <c r="E351">
        <f t="shared" si="91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f t="shared" si="93"/>
        <v>424.6697597645209</v>
      </c>
      <c r="P351">
        <f t="shared" si="94"/>
        <v>44.999988729676325</v>
      </c>
      <c r="Q351">
        <f t="shared" si="102"/>
        <v>114.29997137337786</v>
      </c>
      <c r="R351">
        <f t="shared" si="96"/>
        <v>192627.1918809232</v>
      </c>
      <c r="S351">
        <f t="shared" si="97"/>
        <v>462934.85191281704</v>
      </c>
      <c r="T351">
        <f t="shared" si="98"/>
        <v>1226777.3575689651</v>
      </c>
      <c r="U351">
        <f t="shared" si="103"/>
        <v>114.3</v>
      </c>
      <c r="V351">
        <v>0.19</v>
      </c>
      <c r="W351">
        <v>0</v>
      </c>
    </row>
    <row r="352" spans="1:31" x14ac:dyDescent="0.25">
      <c r="A352" t="s">
        <v>91</v>
      </c>
      <c r="B352" t="s">
        <v>92</v>
      </c>
      <c r="C352">
        <v>1</v>
      </c>
      <c r="D352">
        <v>2</v>
      </c>
      <c r="E352">
        <f t="shared" si="91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f t="shared" si="93"/>
        <v>0.19756004126940679</v>
      </c>
      <c r="P352">
        <f t="shared" si="94"/>
        <v>7.4927335296914102</v>
      </c>
      <c r="Q352">
        <f t="shared" ref="Q352:Q361" si="104">60.2*(1-EXP(-0.19*(E352)))</f>
        <v>19.031543165416181</v>
      </c>
      <c r="R352">
        <f t="shared" si="96"/>
        <v>89.611833907615278</v>
      </c>
      <c r="S352">
        <f t="shared" si="97"/>
        <v>215.36129273639818</v>
      </c>
      <c r="T352">
        <f t="shared" si="98"/>
        <v>570.70742575145516</v>
      </c>
      <c r="U352">
        <v>60.2</v>
      </c>
      <c r="V352">
        <v>0.19</v>
      </c>
      <c r="W352">
        <v>0</v>
      </c>
      <c r="Y352" t="s">
        <v>667</v>
      </c>
    </row>
    <row r="353" spans="1:27" x14ac:dyDescent="0.25">
      <c r="A353" t="s">
        <v>91</v>
      </c>
      <c r="B353" t="s">
        <v>92</v>
      </c>
      <c r="C353">
        <v>2</v>
      </c>
      <c r="D353">
        <v>2</v>
      </c>
      <c r="E353">
        <f t="shared" si="91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f t="shared" si="93"/>
        <v>0.94323116095900128</v>
      </c>
      <c r="P353">
        <f t="shared" si="94"/>
        <v>12.616724840158845</v>
      </c>
      <c r="Q353">
        <f t="shared" si="104"/>
        <v>32.046481094003468</v>
      </c>
      <c r="R353">
        <f t="shared" si="96"/>
        <v>427.84296656974954</v>
      </c>
      <c r="S353">
        <f t="shared" si="97"/>
        <v>1028.2215010087707</v>
      </c>
      <c r="T353">
        <f t="shared" si="98"/>
        <v>2724.7869776732423</v>
      </c>
      <c r="U353">
        <v>60.2</v>
      </c>
      <c r="V353">
        <v>0.19</v>
      </c>
      <c r="W353">
        <v>0</v>
      </c>
    </row>
    <row r="354" spans="1:27" x14ac:dyDescent="0.25">
      <c r="A354" t="s">
        <v>91</v>
      </c>
      <c r="B354" t="s">
        <v>92</v>
      </c>
      <c r="C354">
        <v>3</v>
      </c>
      <c r="D354">
        <v>2</v>
      </c>
      <c r="E354">
        <f t="shared" si="91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f t="shared" si="93"/>
        <v>1.9676145080457663</v>
      </c>
      <c r="P354">
        <f t="shared" si="94"/>
        <v>16.120824758526972</v>
      </c>
      <c r="Q354">
        <f t="shared" si="104"/>
        <v>40.946894886658512</v>
      </c>
      <c r="R354">
        <f t="shared" si="96"/>
        <v>892.49598935225401</v>
      </c>
      <c r="S354">
        <f t="shared" si="97"/>
        <v>2144.9074485754722</v>
      </c>
      <c r="T354">
        <f t="shared" si="98"/>
        <v>5684.0047387250015</v>
      </c>
      <c r="U354">
        <v>60.2</v>
      </c>
      <c r="V354">
        <v>0.19</v>
      </c>
      <c r="W354">
        <v>0</v>
      </c>
    </row>
    <row r="355" spans="1:27" x14ac:dyDescent="0.25">
      <c r="A355" t="s">
        <v>91</v>
      </c>
      <c r="B355" t="s">
        <v>92</v>
      </c>
      <c r="C355">
        <v>4</v>
      </c>
      <c r="D355">
        <v>2</v>
      </c>
      <c r="E355">
        <f t="shared" si="91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f t="shared" si="93"/>
        <v>2.9819490538137954</v>
      </c>
      <c r="P355">
        <f t="shared" si="94"/>
        <v>18.517143466723102</v>
      </c>
      <c r="Q355">
        <f t="shared" si="104"/>
        <v>47.033544405476675</v>
      </c>
      <c r="R355">
        <f t="shared" si="96"/>
        <v>1352.5909471082523</v>
      </c>
      <c r="S355">
        <f t="shared" si="97"/>
        <v>3250.6391422933243</v>
      </c>
      <c r="T355">
        <f t="shared" si="98"/>
        <v>8614.1937270773087</v>
      </c>
      <c r="U355">
        <v>60.2</v>
      </c>
      <c r="V355">
        <v>0.19</v>
      </c>
      <c r="W355">
        <v>0</v>
      </c>
    </row>
    <row r="356" spans="1:27" x14ac:dyDescent="0.25">
      <c r="A356" t="s">
        <v>91</v>
      </c>
      <c r="B356" t="s">
        <v>92</v>
      </c>
      <c r="C356">
        <v>5</v>
      </c>
      <c r="D356">
        <v>2</v>
      </c>
      <c r="E356">
        <f t="shared" si="91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f t="shared" si="93"/>
        <v>3.8457796820652996</v>
      </c>
      <c r="P356">
        <f t="shared" si="94"/>
        <v>20.155893355432035</v>
      </c>
      <c r="Q356">
        <f t="shared" si="104"/>
        <v>51.195969122797372</v>
      </c>
      <c r="R356">
        <f t="shared" si="96"/>
        <v>1744.4183950364686</v>
      </c>
      <c r="S356">
        <f t="shared" si="97"/>
        <v>4192.3056838175162</v>
      </c>
      <c r="T356">
        <f t="shared" si="98"/>
        <v>11109.610062116417</v>
      </c>
      <c r="U356">
        <v>60.2</v>
      </c>
      <c r="V356">
        <v>0.19</v>
      </c>
      <c r="W356">
        <v>0</v>
      </c>
    </row>
    <row r="357" spans="1:27" x14ac:dyDescent="0.25">
      <c r="A357" t="s">
        <v>91</v>
      </c>
      <c r="B357" t="s">
        <v>92</v>
      </c>
      <c r="C357">
        <v>6</v>
      </c>
      <c r="D357">
        <v>2</v>
      </c>
      <c r="E357">
        <f t="shared" si="91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f t="shared" si="93"/>
        <v>4.5235892786819099</v>
      </c>
      <c r="P357">
        <f t="shared" si="94"/>
        <v>21.276571163671122</v>
      </c>
      <c r="Q357">
        <f t="shared" si="104"/>
        <v>54.04249075572465</v>
      </c>
      <c r="R357">
        <f t="shared" si="96"/>
        <v>2051.8680220091942</v>
      </c>
      <c r="S357">
        <f t="shared" si="97"/>
        <v>4931.1896707743199</v>
      </c>
      <c r="T357">
        <f t="shared" si="98"/>
        <v>13067.652627551948</v>
      </c>
      <c r="U357">
        <v>60.2</v>
      </c>
      <c r="V357">
        <v>0.19</v>
      </c>
      <c r="W357">
        <v>0</v>
      </c>
    </row>
    <row r="358" spans="1:27" x14ac:dyDescent="0.25">
      <c r="A358" t="s">
        <v>91</v>
      </c>
      <c r="B358" t="s">
        <v>92</v>
      </c>
      <c r="C358">
        <v>7</v>
      </c>
      <c r="D358">
        <v>2</v>
      </c>
      <c r="E358">
        <f t="shared" si="91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f t="shared" si="93"/>
        <v>5.0302312558060329</v>
      </c>
      <c r="P358">
        <f t="shared" si="94"/>
        <v>22.042959468886515</v>
      </c>
      <c r="Q358">
        <f t="shared" si="104"/>
        <v>55.98911705097175</v>
      </c>
      <c r="R358">
        <f t="shared" si="96"/>
        <v>2281.67723045515</v>
      </c>
      <c r="S358">
        <f t="shared" si="97"/>
        <v>5483.4828898225187</v>
      </c>
      <c r="T358">
        <f t="shared" si="98"/>
        <v>14531.229658029673</v>
      </c>
      <c r="U358">
        <v>60.2</v>
      </c>
      <c r="V358">
        <v>0.19</v>
      </c>
      <c r="W358">
        <v>0</v>
      </c>
    </row>
    <row r="359" spans="1:27" x14ac:dyDescent="0.25">
      <c r="A359" t="s">
        <v>91</v>
      </c>
      <c r="B359" t="s">
        <v>92</v>
      </c>
      <c r="C359">
        <v>8</v>
      </c>
      <c r="D359">
        <v>2</v>
      </c>
      <c r="E359">
        <f t="shared" si="91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f t="shared" si="93"/>
        <v>5.3976331040455872</v>
      </c>
      <c r="P359">
        <f t="shared" si="94"/>
        <v>22.567062855294985</v>
      </c>
      <c r="Q359">
        <f t="shared" si="104"/>
        <v>57.320339652449263</v>
      </c>
      <c r="R359">
        <f t="shared" si="96"/>
        <v>2448.3281037301608</v>
      </c>
      <c r="S359">
        <f t="shared" si="97"/>
        <v>5883.9896749102645</v>
      </c>
      <c r="T359">
        <f t="shared" si="98"/>
        <v>15592.5726385122</v>
      </c>
      <c r="U359">
        <v>60.2</v>
      </c>
      <c r="V359">
        <v>0.19</v>
      </c>
      <c r="W359">
        <v>0</v>
      </c>
    </row>
    <row r="360" spans="1:27" x14ac:dyDescent="0.25">
      <c r="A360" t="s">
        <v>91</v>
      </c>
      <c r="B360" t="s">
        <v>92</v>
      </c>
      <c r="C360">
        <v>9</v>
      </c>
      <c r="D360">
        <v>2</v>
      </c>
      <c r="E360">
        <f t="shared" si="91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f t="shared" si="93"/>
        <v>5.658917770664913</v>
      </c>
      <c r="P360">
        <f t="shared" si="94"/>
        <v>22.925476935697247</v>
      </c>
      <c r="Q360">
        <f t="shared" si="104"/>
        <v>58.230711416671014</v>
      </c>
      <c r="R360">
        <f t="shared" si="96"/>
        <v>2566.8449758529418</v>
      </c>
      <c r="S360">
        <f t="shared" si="97"/>
        <v>6168.8175338931551</v>
      </c>
      <c r="T360">
        <f t="shared" si="98"/>
        <v>16347.36646481686</v>
      </c>
      <c r="U360">
        <v>60.2</v>
      </c>
      <c r="V360">
        <v>0.19</v>
      </c>
      <c r="W360">
        <v>0</v>
      </c>
    </row>
    <row r="361" spans="1:27" x14ac:dyDescent="0.25">
      <c r="A361" t="s">
        <v>91</v>
      </c>
      <c r="B361" t="s">
        <v>92</v>
      </c>
      <c r="C361">
        <v>10</v>
      </c>
      <c r="D361">
        <v>2</v>
      </c>
      <c r="E361">
        <f t="shared" si="91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f t="shared" si="93"/>
        <v>5.8423705783111286</v>
      </c>
      <c r="P361">
        <f t="shared" si="94"/>
        <v>23.170582493802691</v>
      </c>
      <c r="Q361">
        <f t="shared" si="104"/>
        <v>58.853279534258832</v>
      </c>
      <c r="R361">
        <f t="shared" si="96"/>
        <v>2650.0578686173258</v>
      </c>
      <c r="S361">
        <f t="shared" si="97"/>
        <v>6368.8004532980667</v>
      </c>
      <c r="T361">
        <f t="shared" si="98"/>
        <v>16877.321201239876</v>
      </c>
      <c r="U361">
        <v>60.2</v>
      </c>
      <c r="V361">
        <v>0.19</v>
      </c>
      <c r="W361">
        <v>0</v>
      </c>
      <c r="Y361" t="s">
        <v>668</v>
      </c>
    </row>
    <row r="362" spans="1:27" x14ac:dyDescent="0.25">
      <c r="A362" t="s">
        <v>93</v>
      </c>
      <c r="B362" t="s">
        <v>94</v>
      </c>
      <c r="C362">
        <v>1</v>
      </c>
      <c r="D362">
        <v>9</v>
      </c>
      <c r="E362">
        <f t="shared" si="91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f t="shared" si="93"/>
        <v>106837.91257608611</v>
      </c>
      <c r="P362">
        <f t="shared" si="94"/>
        <v>558.23088387339669</v>
      </c>
      <c r="Q362" s="2">
        <f t="shared" ref="Q362:Q371" si="105">U362*(1-EXP(-V362*(E362)))</f>
        <v>1417.9064450384276</v>
      </c>
      <c r="R362" s="2">
        <f t="shared" si="96"/>
        <v>48460919.603417419</v>
      </c>
      <c r="S362" s="2">
        <f t="shared" si="97"/>
        <v>116464598.9027095</v>
      </c>
      <c r="T362" s="2">
        <f t="shared" si="98"/>
        <v>308631187.09218013</v>
      </c>
      <c r="U362">
        <f t="shared" ref="U362:U371" si="106">$Y$363*100</f>
        <v>1584.96</v>
      </c>
      <c r="V362" s="2">
        <v>0.25</v>
      </c>
      <c r="W362">
        <v>0</v>
      </c>
      <c r="X362" t="s">
        <v>459</v>
      </c>
      <c r="Y362">
        <f>70*907.185</f>
        <v>63502.95</v>
      </c>
      <c r="Z362">
        <f>Y362*0.001</f>
        <v>63.502949999999998</v>
      </c>
      <c r="AA362">
        <f>R362*0.000001</f>
        <v>48.460919603417416</v>
      </c>
    </row>
    <row r="363" spans="1:27" x14ac:dyDescent="0.25">
      <c r="A363" t="s">
        <v>93</v>
      </c>
      <c r="B363" t="s">
        <v>94</v>
      </c>
      <c r="C363">
        <v>2</v>
      </c>
      <c r="D363">
        <v>9</v>
      </c>
      <c r="E363">
        <f t="shared" si="91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f t="shared" si="93"/>
        <v>144305.4923315148</v>
      </c>
      <c r="P363">
        <f t="shared" si="94"/>
        <v>617.0679861601368</v>
      </c>
      <c r="Q363" s="2">
        <f t="shared" si="105"/>
        <v>1567.3526848467475</v>
      </c>
      <c r="R363" s="2">
        <f t="shared" si="96"/>
        <v>65455948.114194192</v>
      </c>
      <c r="S363" s="2">
        <f t="shared" si="97"/>
        <v>157308214.64598462</v>
      </c>
      <c r="T363" s="2">
        <f t="shared" si="98"/>
        <v>416866768.81185925</v>
      </c>
      <c r="U363">
        <f t="shared" si="106"/>
        <v>1584.96</v>
      </c>
      <c r="V363" s="2">
        <v>0.25</v>
      </c>
      <c r="W363">
        <v>0</v>
      </c>
      <c r="X363" t="s">
        <v>460</v>
      </c>
      <c r="Y363">
        <f>52*0.3048</f>
        <v>15.849600000000001</v>
      </c>
      <c r="AA363">
        <f>R363*0.000001</f>
        <v>65.455948114194186</v>
      </c>
    </row>
    <row r="364" spans="1:27" x14ac:dyDescent="0.25">
      <c r="A364" t="s">
        <v>93</v>
      </c>
      <c r="B364" t="s">
        <v>94</v>
      </c>
      <c r="C364">
        <v>3</v>
      </c>
      <c r="D364">
        <v>9</v>
      </c>
      <c r="E364">
        <f t="shared" si="91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f t="shared" si="93"/>
        <v>148700.06890493253</v>
      </c>
      <c r="P364">
        <f t="shared" si="94"/>
        <v>623.2693711166263</v>
      </c>
      <c r="Q364" s="2">
        <f t="shared" si="105"/>
        <v>1583.1042026362309</v>
      </c>
      <c r="R364" s="2">
        <f t="shared" si="96"/>
        <v>67449296.887868449</v>
      </c>
      <c r="S364" s="2">
        <f t="shared" si="97"/>
        <v>162098766.85380542</v>
      </c>
      <c r="T364" s="2">
        <f t="shared" si="98"/>
        <v>429561732.16258436</v>
      </c>
      <c r="U364">
        <f t="shared" si="106"/>
        <v>1584.96</v>
      </c>
      <c r="V364" s="2">
        <v>0.25</v>
      </c>
      <c r="W364">
        <v>0</v>
      </c>
      <c r="X364" t="s">
        <v>461</v>
      </c>
      <c r="Y364">
        <v>70</v>
      </c>
      <c r="AA364">
        <f>R364*0.000001</f>
        <v>67.449296887868442</v>
      </c>
    </row>
    <row r="365" spans="1:27" x14ac:dyDescent="0.25">
      <c r="A365" t="s">
        <v>93</v>
      </c>
      <c r="B365" t="s">
        <v>94</v>
      </c>
      <c r="C365">
        <v>4</v>
      </c>
      <c r="D365">
        <v>9</v>
      </c>
      <c r="E365">
        <f t="shared" si="91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f t="shared" si="93"/>
        <v>149168.38395033302</v>
      </c>
      <c r="P365">
        <f t="shared" si="94"/>
        <v>623.92299228224999</v>
      </c>
      <c r="Q365" s="2">
        <f t="shared" si="105"/>
        <v>1584.7644003969149</v>
      </c>
      <c r="R365" s="2">
        <f t="shared" si="96"/>
        <v>67661721.271844134</v>
      </c>
      <c r="S365" s="2">
        <f t="shared" si="97"/>
        <v>162609279.6727809</v>
      </c>
      <c r="T365" s="2">
        <f t="shared" si="98"/>
        <v>430914591.13286936</v>
      </c>
      <c r="U365">
        <f t="shared" si="106"/>
        <v>1584.96</v>
      </c>
      <c r="V365" s="2">
        <v>0.25</v>
      </c>
      <c r="W365">
        <v>0</v>
      </c>
      <c r="X365" t="s">
        <v>462</v>
      </c>
      <c r="Y365">
        <f>(AVERAGE(4000,6000))*0.453592</f>
        <v>2267.96</v>
      </c>
      <c r="AA365">
        <f>R365*0.000001</f>
        <v>67.661721271844129</v>
      </c>
    </row>
    <row r="366" spans="1:27" x14ac:dyDescent="0.25">
      <c r="A366" t="s">
        <v>93</v>
      </c>
      <c r="B366" t="s">
        <v>94</v>
      </c>
      <c r="C366">
        <v>5</v>
      </c>
      <c r="D366">
        <v>9</v>
      </c>
      <c r="E366">
        <f t="shared" si="91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f t="shared" si="93"/>
        <v>149217.80119469736</v>
      </c>
      <c r="P366">
        <f t="shared" si="94"/>
        <v>623.99188344626384</v>
      </c>
      <c r="Q366" s="2">
        <f t="shared" si="105"/>
        <v>1584.9393839535103</v>
      </c>
      <c r="R366" s="2">
        <f t="shared" si="96"/>
        <v>67684136.583491653</v>
      </c>
      <c r="S366" s="2">
        <f t="shared" si="97"/>
        <v>162663149.68395016</v>
      </c>
      <c r="T366" s="2">
        <f t="shared" si="98"/>
        <v>431057346.6624679</v>
      </c>
      <c r="U366">
        <f t="shared" si="106"/>
        <v>1584.96</v>
      </c>
      <c r="V366" s="2">
        <v>0.25</v>
      </c>
      <c r="W366">
        <v>0</v>
      </c>
      <c r="X366" t="s">
        <v>463</v>
      </c>
      <c r="Y366">
        <f>14*0.3048</f>
        <v>4.2671999999999999</v>
      </c>
    </row>
    <row r="367" spans="1:27" x14ac:dyDescent="0.25">
      <c r="A367" t="s">
        <v>93</v>
      </c>
      <c r="B367" t="s">
        <v>94</v>
      </c>
      <c r="C367">
        <v>6</v>
      </c>
      <c r="D367">
        <v>9</v>
      </c>
      <c r="E367">
        <f t="shared" si="91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f t="shared" si="93"/>
        <v>149223.01036963495</v>
      </c>
      <c r="P367">
        <f t="shared" si="94"/>
        <v>623.99914452153007</v>
      </c>
      <c r="Q367" s="2">
        <f t="shared" si="105"/>
        <v>1584.9578270846864</v>
      </c>
      <c r="R367" s="2">
        <f t="shared" si="96"/>
        <v>67686499.428307354</v>
      </c>
      <c r="S367" s="2">
        <f t="shared" si="97"/>
        <v>162668828.23433635</v>
      </c>
      <c r="T367" s="2">
        <f t="shared" si="98"/>
        <v>431072394.82099128</v>
      </c>
      <c r="U367">
        <f t="shared" si="106"/>
        <v>1584.96</v>
      </c>
      <c r="V367" s="2">
        <v>0.25</v>
      </c>
      <c r="W367">
        <v>0</v>
      </c>
      <c r="X367" t="s">
        <v>464</v>
      </c>
      <c r="Y367">
        <f>4000*0.453592</f>
        <v>1814.3679999999999</v>
      </c>
    </row>
    <row r="368" spans="1:27" x14ac:dyDescent="0.25">
      <c r="A368" t="s">
        <v>93</v>
      </c>
      <c r="B368" t="s">
        <v>94</v>
      </c>
      <c r="C368">
        <v>7</v>
      </c>
      <c r="D368">
        <v>9</v>
      </c>
      <c r="E368">
        <f t="shared" si="91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f t="shared" si="93"/>
        <v>149223.55941969628</v>
      </c>
      <c r="P368">
        <f t="shared" si="94"/>
        <v>623.99990983323266</v>
      </c>
      <c r="Q368" s="2">
        <f t="shared" si="105"/>
        <v>1584.9597709764109</v>
      </c>
      <c r="R368" s="2">
        <f t="shared" si="96"/>
        <v>67686748.473522097</v>
      </c>
      <c r="S368" s="2">
        <f t="shared" si="97"/>
        <v>162669426.75684234</v>
      </c>
      <c r="T368" s="2">
        <f t="shared" si="98"/>
        <v>431073980.9056322</v>
      </c>
      <c r="U368">
        <f t="shared" si="106"/>
        <v>1584.96</v>
      </c>
      <c r="V368" s="2">
        <v>0.25</v>
      </c>
      <c r="W368">
        <v>0</v>
      </c>
      <c r="X368" t="s">
        <v>434</v>
      </c>
      <c r="Y368" s="7" t="s">
        <v>669</v>
      </c>
    </row>
    <row r="369" spans="1:34" x14ac:dyDescent="0.25">
      <c r="A369" t="s">
        <v>93</v>
      </c>
      <c r="B369" t="s">
        <v>94</v>
      </c>
      <c r="C369">
        <v>8</v>
      </c>
      <c r="D369">
        <v>9</v>
      </c>
      <c r="E369">
        <f t="shared" si="91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>
        <f t="shared" si="93"/>
        <v>149223.61728922545</v>
      </c>
      <c r="P369">
        <f t="shared" si="94"/>
        <v>623.99999049649261</v>
      </c>
      <c r="Q369" s="2">
        <f t="shared" si="105"/>
        <v>1584.9599758610914</v>
      </c>
      <c r="R369" s="2">
        <f t="shared" si="96"/>
        <v>67686774.722730204</v>
      </c>
      <c r="S369" s="2">
        <f t="shared" si="97"/>
        <v>162669489.84073585</v>
      </c>
      <c r="T369" s="2">
        <f t="shared" si="98"/>
        <v>431074148.07795</v>
      </c>
      <c r="U369">
        <f t="shared" si="106"/>
        <v>1584.96</v>
      </c>
      <c r="V369" s="2">
        <v>0.25</v>
      </c>
      <c r="W369">
        <v>0</v>
      </c>
      <c r="X369" t="s">
        <v>469</v>
      </c>
      <c r="Y369">
        <v>12</v>
      </c>
    </row>
    <row r="370" spans="1:34" x14ac:dyDescent="0.25">
      <c r="A370" t="s">
        <v>93</v>
      </c>
      <c r="B370" t="s">
        <v>94</v>
      </c>
      <c r="C370">
        <v>9</v>
      </c>
      <c r="D370">
        <v>9</v>
      </c>
      <c r="E370">
        <f t="shared" si="91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>
        <f t="shared" si="93"/>
        <v>149223.62338862984</v>
      </c>
      <c r="P370">
        <f t="shared" si="94"/>
        <v>623.99999899833767</v>
      </c>
      <c r="Q370" s="2">
        <f t="shared" si="105"/>
        <v>1584.9599974557777</v>
      </c>
      <c r="R370" s="2">
        <f t="shared" si="96"/>
        <v>67686777.489376783</v>
      </c>
      <c r="S370" s="2">
        <f t="shared" si="97"/>
        <v>162669496.48973033</v>
      </c>
      <c r="T370" s="2">
        <f t="shared" si="98"/>
        <v>431074165.69778538</v>
      </c>
      <c r="U370">
        <f t="shared" si="106"/>
        <v>1584.96</v>
      </c>
      <c r="V370" s="2">
        <v>0.25</v>
      </c>
      <c r="W370">
        <v>0</v>
      </c>
      <c r="X370" t="s">
        <v>470</v>
      </c>
      <c r="Y370">
        <v>10</v>
      </c>
    </row>
    <row r="371" spans="1:34" x14ac:dyDescent="0.25">
      <c r="A371" t="s">
        <v>93</v>
      </c>
      <c r="B371" t="s">
        <v>94</v>
      </c>
      <c r="C371">
        <v>10</v>
      </c>
      <c r="D371">
        <v>9</v>
      </c>
      <c r="E371">
        <f t="shared" si="91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>
        <f t="shared" si="93"/>
        <v>149223.62403150235</v>
      </c>
      <c r="P371">
        <f t="shared" si="94"/>
        <v>623.99999989442563</v>
      </c>
      <c r="Q371" s="2">
        <f t="shared" si="105"/>
        <v>1584.959999731841</v>
      </c>
      <c r="R371" s="2">
        <f t="shared" si="96"/>
        <v>67686777.780979186</v>
      </c>
      <c r="S371" s="2">
        <f t="shared" si="97"/>
        <v>162669497.19052917</v>
      </c>
      <c r="T371" s="2">
        <f t="shared" si="98"/>
        <v>431074167.55490226</v>
      </c>
      <c r="U371">
        <f t="shared" si="106"/>
        <v>1584.96</v>
      </c>
      <c r="V371" s="2">
        <v>0.25</v>
      </c>
      <c r="W371">
        <v>0</v>
      </c>
      <c r="X371" t="s">
        <v>471</v>
      </c>
    </row>
    <row r="372" spans="1:34" x14ac:dyDescent="0.25">
      <c r="A372" t="s">
        <v>95</v>
      </c>
      <c r="B372" s="2" t="s">
        <v>96</v>
      </c>
      <c r="C372">
        <v>1</v>
      </c>
      <c r="D372">
        <v>2</v>
      </c>
      <c r="E372">
        <f t="shared" si="91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f t="shared" si="93"/>
        <v>1.987138284806963</v>
      </c>
      <c r="P372">
        <f t="shared" si="94"/>
        <v>17.652155015414586</v>
      </c>
      <c r="Q372">
        <f t="shared" ref="Q372:Q381" si="107">136*(1-EXP(-0.2*(E372)))</f>
        <v>44.83647373915305</v>
      </c>
      <c r="R372">
        <f t="shared" si="96"/>
        <v>901.35183605653719</v>
      </c>
      <c r="S372">
        <f t="shared" si="97"/>
        <v>2166.1904255143891</v>
      </c>
      <c r="T372">
        <f t="shared" si="98"/>
        <v>5740.4046276131312</v>
      </c>
      <c r="U372">
        <v>136</v>
      </c>
      <c r="V372">
        <v>0.2</v>
      </c>
      <c r="W372">
        <v>0</v>
      </c>
    </row>
    <row r="373" spans="1:34" x14ac:dyDescent="0.25">
      <c r="A373" t="s">
        <v>95</v>
      </c>
      <c r="B373" s="2" t="s">
        <v>96</v>
      </c>
      <c r="C373">
        <v>2</v>
      </c>
      <c r="D373">
        <v>2</v>
      </c>
      <c r="E373">
        <f t="shared" ref="E373:E436" si="108">C373*D373</f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f t="shared" si="93"/>
        <v>9.2603450753228778</v>
      </c>
      <c r="P373">
        <f t="shared" si="94"/>
        <v>29.484748377975539</v>
      </c>
      <c r="Q373">
        <f t="shared" si="107"/>
        <v>74.891260880057871</v>
      </c>
      <c r="R373">
        <f t="shared" si="96"/>
        <v>4200.426865093702</v>
      </c>
      <c r="S373">
        <f t="shared" si="97"/>
        <v>10094.75334076833</v>
      </c>
      <c r="T373">
        <f t="shared" si="98"/>
        <v>26751.096353036071</v>
      </c>
      <c r="U373">
        <v>136</v>
      </c>
      <c r="V373">
        <v>0.2</v>
      </c>
      <c r="W373">
        <v>0</v>
      </c>
    </row>
    <row r="374" spans="1:34" x14ac:dyDescent="0.25">
      <c r="A374" t="s">
        <v>95</v>
      </c>
      <c r="B374" s="2" t="s">
        <v>96</v>
      </c>
      <c r="C374">
        <v>3</v>
      </c>
      <c r="D374">
        <v>2</v>
      </c>
      <c r="E374">
        <f t="shared" si="108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f t="shared" si="93"/>
        <v>18.924305423223942</v>
      </c>
      <c r="P374">
        <f t="shared" si="94"/>
        <v>37.416372905488394</v>
      </c>
      <c r="Q374">
        <f t="shared" si="107"/>
        <v>95.03758717994053</v>
      </c>
      <c r="R374">
        <f t="shared" si="96"/>
        <v>8583.9307559688023</v>
      </c>
      <c r="S374">
        <f t="shared" si="97"/>
        <v>20629.489920617165</v>
      </c>
      <c r="T374">
        <f t="shared" si="98"/>
        <v>54668.148289635486</v>
      </c>
      <c r="U374">
        <v>136</v>
      </c>
      <c r="V374">
        <v>0.2</v>
      </c>
      <c r="W374">
        <v>0</v>
      </c>
    </row>
    <row r="375" spans="1:34" x14ac:dyDescent="0.25">
      <c r="A375" t="s">
        <v>95</v>
      </c>
      <c r="B375" s="2" t="s">
        <v>96</v>
      </c>
      <c r="C375">
        <v>4</v>
      </c>
      <c r="D375">
        <v>2</v>
      </c>
      <c r="E375">
        <f t="shared" si="108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f t="shared" si="93"/>
        <v>28.192142685908323</v>
      </c>
      <c r="P375">
        <f t="shared" si="94"/>
        <v>42.733099823908219</v>
      </c>
      <c r="Q375">
        <f t="shared" si="107"/>
        <v>108.54207355272688</v>
      </c>
      <c r="R375">
        <f t="shared" si="96"/>
        <v>12787.756024125845</v>
      </c>
      <c r="S375">
        <f t="shared" si="97"/>
        <v>30732.410536231298</v>
      </c>
      <c r="T375">
        <f t="shared" si="98"/>
        <v>81440.887921012938</v>
      </c>
      <c r="U375">
        <v>136</v>
      </c>
      <c r="V375">
        <v>0.2</v>
      </c>
      <c r="W375">
        <v>0</v>
      </c>
    </row>
    <row r="376" spans="1:34" x14ac:dyDescent="0.25">
      <c r="A376" t="s">
        <v>95</v>
      </c>
      <c r="B376" s="2" t="s">
        <v>96</v>
      </c>
      <c r="C376">
        <v>5</v>
      </c>
      <c r="D376">
        <v>2</v>
      </c>
      <c r="E376">
        <f t="shared" si="108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f t="shared" si="93"/>
        <v>35.850373201594643</v>
      </c>
      <c r="P376">
        <f t="shared" si="94"/>
        <v>46.297008456622315</v>
      </c>
      <c r="Q376">
        <f t="shared" si="107"/>
        <v>117.59440147982068</v>
      </c>
      <c r="R376">
        <f t="shared" si="96"/>
        <v>16261.475084864802</v>
      </c>
      <c r="S376">
        <f t="shared" si="97"/>
        <v>39080.689941996628</v>
      </c>
      <c r="T376">
        <f t="shared" si="98"/>
        <v>103563.82834629106</v>
      </c>
      <c r="U376">
        <v>136</v>
      </c>
      <c r="V376">
        <v>0.2</v>
      </c>
      <c r="W376">
        <v>0</v>
      </c>
    </row>
    <row r="377" spans="1:34" x14ac:dyDescent="0.25">
      <c r="A377" t="s">
        <v>95</v>
      </c>
      <c r="B377" s="2" t="s">
        <v>96</v>
      </c>
      <c r="C377">
        <v>6</v>
      </c>
      <c r="D377">
        <v>2</v>
      </c>
      <c r="E377">
        <f t="shared" si="108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f t="shared" si="93"/>
        <v>41.691384432172946</v>
      </c>
      <c r="P377">
        <f t="shared" si="94"/>
        <v>48.685967855370038</v>
      </c>
      <c r="Q377">
        <f t="shared" si="107"/>
        <v>123.6623583526399</v>
      </c>
      <c r="R377">
        <f t="shared" si="96"/>
        <v>18910.916362989061</v>
      </c>
      <c r="S377">
        <f t="shared" si="97"/>
        <v>45448.008562819181</v>
      </c>
      <c r="T377">
        <f t="shared" si="98"/>
        <v>120437.22269147083</v>
      </c>
      <c r="U377">
        <v>136</v>
      </c>
      <c r="V377">
        <v>0.2</v>
      </c>
      <c r="W377">
        <v>0</v>
      </c>
    </row>
    <row r="378" spans="1:34" x14ac:dyDescent="0.25">
      <c r="A378" t="s">
        <v>95</v>
      </c>
      <c r="B378" s="2" t="s">
        <v>96</v>
      </c>
      <c r="C378">
        <v>7</v>
      </c>
      <c r="D378">
        <v>2</v>
      </c>
      <c r="E378">
        <f t="shared" si="108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f t="shared" si="93"/>
        <v>45.942091301172816</v>
      </c>
      <c r="P378">
        <f t="shared" si="94"/>
        <v>50.28733522951589</v>
      </c>
      <c r="Q378">
        <f t="shared" si="107"/>
        <v>127.72983148297035</v>
      </c>
      <c r="R378">
        <f t="shared" si="96"/>
        <v>20839.00685885677</v>
      </c>
      <c r="S378">
        <f t="shared" si="97"/>
        <v>50081.727610806942</v>
      </c>
      <c r="T378">
        <f t="shared" si="98"/>
        <v>132716.5781686384</v>
      </c>
      <c r="U378">
        <v>136</v>
      </c>
      <c r="V378">
        <v>0.2</v>
      </c>
      <c r="W378">
        <v>0</v>
      </c>
    </row>
    <row r="379" spans="1:34" x14ac:dyDescent="0.25">
      <c r="A379" t="s">
        <v>95</v>
      </c>
      <c r="B379" s="2" t="s">
        <v>96</v>
      </c>
      <c r="C379">
        <v>8</v>
      </c>
      <c r="D379">
        <v>2</v>
      </c>
      <c r="E379">
        <f t="shared" si="108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f t="shared" si="93"/>
        <v>48.947364830513955</v>
      </c>
      <c r="P379">
        <f t="shared" si="94"/>
        <v>51.360763881473304</v>
      </c>
      <c r="Q379">
        <f t="shared" si="107"/>
        <v>130.45634025894219</v>
      </c>
      <c r="R379">
        <f t="shared" si="96"/>
        <v>22202.17762268053</v>
      </c>
      <c r="S379">
        <f t="shared" si="97"/>
        <v>53357.792892767437</v>
      </c>
      <c r="T379">
        <f t="shared" si="98"/>
        <v>141398.1511658337</v>
      </c>
      <c r="U379">
        <v>136</v>
      </c>
      <c r="V379">
        <v>0.2</v>
      </c>
      <c r="W379">
        <v>0</v>
      </c>
      <c r="AA379" s="2" t="s">
        <v>670</v>
      </c>
    </row>
    <row r="380" spans="1:34" x14ac:dyDescent="0.25">
      <c r="A380" t="s">
        <v>95</v>
      </c>
      <c r="B380" s="2" t="s">
        <v>96</v>
      </c>
      <c r="C380">
        <v>9</v>
      </c>
      <c r="D380">
        <v>2</v>
      </c>
      <c r="E380">
        <f t="shared" si="108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f t="shared" si="93"/>
        <v>51.03351009969122</v>
      </c>
      <c r="P380">
        <f t="shared" si="94"/>
        <v>52.08030462486937</v>
      </c>
      <c r="Q380">
        <f t="shared" si="107"/>
        <v>132.2839737471682</v>
      </c>
      <c r="R380">
        <f t="shared" si="96"/>
        <v>23148.438324832045</v>
      </c>
      <c r="S380">
        <f t="shared" si="97"/>
        <v>55631.911379072444</v>
      </c>
      <c r="T380">
        <f t="shared" si="98"/>
        <v>147424.56515454198</v>
      </c>
      <c r="U380">
        <v>136</v>
      </c>
      <c r="V380">
        <v>0.2</v>
      </c>
      <c r="W380">
        <v>0</v>
      </c>
      <c r="Z380" t="s">
        <v>671</v>
      </c>
      <c r="AA380" s="8">
        <v>0.05</v>
      </c>
      <c r="AB380" s="8">
        <v>0.17</v>
      </c>
      <c r="AC380" s="8">
        <v>0.1</v>
      </c>
      <c r="AD380" s="8">
        <v>7.0000000000000007E-2</v>
      </c>
      <c r="AE380" s="8">
        <v>0.6</v>
      </c>
      <c r="AF380" s="8"/>
      <c r="AH380" s="8">
        <f>SUM(AA380:AF380)</f>
        <v>0.99</v>
      </c>
    </row>
    <row r="381" spans="1:34" x14ac:dyDescent="0.25">
      <c r="A381" t="s">
        <v>95</v>
      </c>
      <c r="B381" s="2" t="s">
        <v>96</v>
      </c>
      <c r="C381">
        <v>10</v>
      </c>
      <c r="D381">
        <v>2</v>
      </c>
      <c r="E381">
        <f t="shared" si="108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f t="shared" si="93"/>
        <v>52.464566095090916</v>
      </c>
      <c r="P381">
        <f t="shared" si="94"/>
        <v>52.562627209107148</v>
      </c>
      <c r="Q381">
        <f t="shared" si="107"/>
        <v>133.50907311113215</v>
      </c>
      <c r="R381">
        <f t="shared" si="96"/>
        <v>23797.555177350707</v>
      </c>
      <c r="S381">
        <f t="shared" si="97"/>
        <v>57191.913427903637</v>
      </c>
      <c r="T381">
        <f t="shared" si="98"/>
        <v>151558.57058394465</v>
      </c>
      <c r="U381">
        <v>136</v>
      </c>
      <c r="V381">
        <v>0.2</v>
      </c>
      <c r="W381">
        <v>0</v>
      </c>
      <c r="Y381" t="s">
        <v>672</v>
      </c>
      <c r="Z381" t="s">
        <v>673</v>
      </c>
      <c r="AA381" t="s">
        <v>674</v>
      </c>
      <c r="AB381" t="s">
        <v>675</v>
      </c>
      <c r="AC381" t="s">
        <v>676</v>
      </c>
      <c r="AD381" t="s">
        <v>677</v>
      </c>
      <c r="AE381" t="s">
        <v>678</v>
      </c>
      <c r="AF381" t="s">
        <v>679</v>
      </c>
    </row>
    <row r="382" spans="1:34" x14ac:dyDescent="0.25">
      <c r="A382" t="s">
        <v>97</v>
      </c>
      <c r="B382" t="s">
        <v>98</v>
      </c>
      <c r="C382">
        <v>1</v>
      </c>
      <c r="D382">
        <v>2</v>
      </c>
      <c r="E382">
        <f t="shared" si="108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f t="shared" si="93"/>
        <v>0.88313661779726171</v>
      </c>
      <c r="P382">
        <f t="shared" si="94"/>
        <v>7.2181607167311244</v>
      </c>
      <c r="Q382">
        <f t="shared" ref="Q382:Q391" si="109">U382*(1-EXP(-V382*(E382)))</f>
        <v>18.334128220497057</v>
      </c>
      <c r="R382">
        <f t="shared" si="96"/>
        <v>400.58450789581048</v>
      </c>
      <c r="S382">
        <f t="shared" si="97"/>
        <v>962.7121074160309</v>
      </c>
      <c r="T382">
        <f t="shared" si="98"/>
        <v>2551.1870846524816</v>
      </c>
      <c r="U382">
        <v>23.6</v>
      </c>
      <c r="V382">
        <v>0.75</v>
      </c>
      <c r="W382">
        <v>0</v>
      </c>
      <c r="X382" t="s">
        <v>680</v>
      </c>
      <c r="Y382">
        <v>3200</v>
      </c>
      <c r="Z382">
        <f>4*0.453592*1000</f>
        <v>1814.3679999999999</v>
      </c>
      <c r="AA382">
        <f>453.5</f>
        <v>453.5</v>
      </c>
      <c r="AB382">
        <f>8*28.35</f>
        <v>226.8</v>
      </c>
      <c r="AC382">
        <f>2*0.453592*1000</f>
        <v>907.18399999999997</v>
      </c>
      <c r="AD382">
        <f>4.5*0.453952*1000</f>
        <v>2042.7840000000001</v>
      </c>
      <c r="AE382">
        <f>2*0.453592*1000</f>
        <v>907.18399999999997</v>
      </c>
    </row>
    <row r="383" spans="1:34" x14ac:dyDescent="0.25">
      <c r="A383" t="s">
        <v>97</v>
      </c>
      <c r="B383" t="s">
        <v>98</v>
      </c>
      <c r="C383">
        <v>2</v>
      </c>
      <c r="D383">
        <v>2</v>
      </c>
      <c r="E383">
        <f t="shared" si="108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f t="shared" si="93"/>
        <v>1.6160169738186125</v>
      </c>
      <c r="P383">
        <f t="shared" si="94"/>
        <v>8.8287500734324453</v>
      </c>
      <c r="Q383">
        <f t="shared" si="109"/>
        <v>22.425025186518411</v>
      </c>
      <c r="R383">
        <f t="shared" si="96"/>
        <v>733.01384085176244</v>
      </c>
      <c r="S383">
        <f t="shared" si="97"/>
        <v>1761.6290335298302</v>
      </c>
      <c r="T383">
        <f t="shared" si="98"/>
        <v>4668.31693885405</v>
      </c>
      <c r="U383">
        <v>23.6</v>
      </c>
      <c r="V383">
        <v>0.75</v>
      </c>
      <c r="W383">
        <v>0</v>
      </c>
      <c r="X383" t="s">
        <v>681</v>
      </c>
      <c r="Y383">
        <v>180</v>
      </c>
    </row>
    <row r="384" spans="1:34" x14ac:dyDescent="0.25">
      <c r="A384" t="s">
        <v>97</v>
      </c>
      <c r="B384" t="s">
        <v>98</v>
      </c>
      <c r="C384">
        <v>3</v>
      </c>
      <c r="D384">
        <v>2</v>
      </c>
      <c r="E384">
        <f t="shared" si="108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f t="shared" si="93"/>
        <v>1.8214966888823141</v>
      </c>
      <c r="P384">
        <f t="shared" si="94"/>
        <v>9.1881211345265683</v>
      </c>
      <c r="Q384">
        <f t="shared" si="109"/>
        <v>23.337827681697483</v>
      </c>
      <c r="R384">
        <f t="shared" si="96"/>
        <v>826.21798263751305</v>
      </c>
      <c r="S384">
        <f t="shared" si="97"/>
        <v>1985.6236064347825</v>
      </c>
      <c r="T384">
        <f t="shared" si="98"/>
        <v>5261.9025570521735</v>
      </c>
      <c r="U384">
        <v>23.6</v>
      </c>
      <c r="V384">
        <v>0.75</v>
      </c>
      <c r="W384">
        <v>0</v>
      </c>
      <c r="X384" t="s">
        <v>461</v>
      </c>
      <c r="Z384">
        <v>26</v>
      </c>
    </row>
    <row r="385" spans="1:33" x14ac:dyDescent="0.25">
      <c r="A385" t="s">
        <v>97</v>
      </c>
      <c r="B385" t="s">
        <v>98</v>
      </c>
      <c r="C385">
        <v>4</v>
      </c>
      <c r="D385">
        <v>2</v>
      </c>
      <c r="E385">
        <f t="shared" si="108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f t="shared" si="93"/>
        <v>1.8696037656083082</v>
      </c>
      <c r="P385">
        <f t="shared" si="94"/>
        <v>9.2683076569412108</v>
      </c>
      <c r="Q385">
        <f t="shared" si="109"/>
        <v>23.541501448630676</v>
      </c>
      <c r="R385">
        <f t="shared" si="96"/>
        <v>848.03901153410027</v>
      </c>
      <c r="S385">
        <f t="shared" si="97"/>
        <v>2038.0653966212451</v>
      </c>
      <c r="T385">
        <f t="shared" si="98"/>
        <v>5400.8733010462993</v>
      </c>
      <c r="U385">
        <v>23.6</v>
      </c>
      <c r="V385">
        <v>0.75</v>
      </c>
      <c r="W385">
        <v>0</v>
      </c>
      <c r="X385" s="7" t="s">
        <v>682</v>
      </c>
      <c r="Z385" s="7" t="s">
        <v>683</v>
      </c>
      <c r="AG385" t="s">
        <v>684</v>
      </c>
    </row>
    <row r="386" spans="1:33" x14ac:dyDescent="0.25">
      <c r="A386" t="s">
        <v>97</v>
      </c>
      <c r="B386" t="s">
        <v>98</v>
      </c>
      <c r="C386">
        <v>5</v>
      </c>
      <c r="D386">
        <v>2</v>
      </c>
      <c r="E386">
        <f t="shared" si="108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f t="shared" ref="O386:O449" si="110">R386*0.00220462</f>
        <v>1.8804522272772768</v>
      </c>
      <c r="P386">
        <f t="shared" ref="P386:P449" si="111">Q386/2.54</f>
        <v>9.2861996885293365</v>
      </c>
      <c r="Q386">
        <f t="shared" si="109"/>
        <v>23.586947208864515</v>
      </c>
      <c r="R386">
        <f t="shared" ref="R386:R449" si="112">L386*(Q386^M386)</f>
        <v>852.95979682542873</v>
      </c>
      <c r="S386">
        <f t="shared" ref="S386:S449" si="113">R386/20/5.7/3.65*1000</f>
        <v>2049.8913646369351</v>
      </c>
      <c r="T386">
        <f t="shared" ref="T386:T449" si="114">S386*2.65</f>
        <v>5432.2121162878775</v>
      </c>
      <c r="U386">
        <v>23.6</v>
      </c>
      <c r="V386">
        <v>0.75</v>
      </c>
      <c r="W386">
        <v>0</v>
      </c>
      <c r="AA386" s="8">
        <f>AA382*AA380</f>
        <v>22.675000000000001</v>
      </c>
      <c r="AB386" s="8">
        <f>AB382*AB380</f>
        <v>38.556000000000004</v>
      </c>
      <c r="AC386" s="8">
        <f>AC382*AC380</f>
        <v>90.718400000000003</v>
      </c>
      <c r="AD386" s="8">
        <f>AD382*AD380</f>
        <v>142.99488000000002</v>
      </c>
      <c r="AE386" s="8">
        <f>AE382*AE380</f>
        <v>544.31039999999996</v>
      </c>
      <c r="AF386" s="8"/>
      <c r="AG386" s="9">
        <f>SUM(AA386:AE386)</f>
        <v>839.25468000000001</v>
      </c>
    </row>
    <row r="387" spans="1:33" x14ac:dyDescent="0.25">
      <c r="A387" t="s">
        <v>97</v>
      </c>
      <c r="B387" t="s">
        <v>98</v>
      </c>
      <c r="C387">
        <v>6</v>
      </c>
      <c r="D387">
        <v>2</v>
      </c>
      <c r="E387">
        <f t="shared" si="108"/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f t="shared" si="110"/>
        <v>1.8828785589619494</v>
      </c>
      <c r="P387">
        <f t="shared" si="111"/>
        <v>9.2901919404029751</v>
      </c>
      <c r="Q387">
        <f t="shared" si="109"/>
        <v>23.597087528623558</v>
      </c>
      <c r="R387">
        <f t="shared" si="112"/>
        <v>854.06036367353533</v>
      </c>
      <c r="S387">
        <f t="shared" si="113"/>
        <v>2052.5363222146971</v>
      </c>
      <c r="T387">
        <f t="shared" si="114"/>
        <v>5439.2212538689473</v>
      </c>
      <c r="U387">
        <v>23.6</v>
      </c>
      <c r="V387">
        <v>0.75</v>
      </c>
      <c r="W387">
        <v>0</v>
      </c>
      <c r="Y387">
        <f>180/2.54</f>
        <v>70.866141732283467</v>
      </c>
    </row>
    <row r="388" spans="1:33" x14ac:dyDescent="0.25">
      <c r="A388" t="s">
        <v>97</v>
      </c>
      <c r="B388" t="s">
        <v>98</v>
      </c>
      <c r="C388">
        <v>7</v>
      </c>
      <c r="D388">
        <v>2</v>
      </c>
      <c r="E388">
        <f t="shared" si="108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f t="shared" si="110"/>
        <v>1.8834202313903003</v>
      </c>
      <c r="P388">
        <f t="shared" si="111"/>
        <v>9.2910827322028933</v>
      </c>
      <c r="Q388">
        <f t="shared" si="109"/>
        <v>23.599350139795348</v>
      </c>
      <c r="R388">
        <f t="shared" si="112"/>
        <v>854.30606244627211</v>
      </c>
      <c r="S388">
        <f t="shared" si="113"/>
        <v>2053.126802322211</v>
      </c>
      <c r="T388">
        <f t="shared" si="114"/>
        <v>5440.786026153859</v>
      </c>
      <c r="U388">
        <v>23.6</v>
      </c>
      <c r="V388">
        <v>0.75</v>
      </c>
      <c r="W388">
        <v>0</v>
      </c>
      <c r="Y388">
        <f>AG386/Y382</f>
        <v>0.2622670875</v>
      </c>
    </row>
    <row r="389" spans="1:33" x14ac:dyDescent="0.25">
      <c r="A389" t="s">
        <v>97</v>
      </c>
      <c r="B389" t="s">
        <v>98</v>
      </c>
      <c r="C389">
        <v>8</v>
      </c>
      <c r="D389">
        <v>2</v>
      </c>
      <c r="E389">
        <f t="shared" si="108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f t="shared" si="110"/>
        <v>1.8835411090205088</v>
      </c>
      <c r="P389">
        <f t="shared" si="111"/>
        <v>9.2912814947198665</v>
      </c>
      <c r="Q389">
        <f t="shared" si="109"/>
        <v>23.599854996588462</v>
      </c>
      <c r="R389">
        <f t="shared" si="112"/>
        <v>854.36089168224396</v>
      </c>
      <c r="S389">
        <f t="shared" si="113"/>
        <v>2053.2585716948906</v>
      </c>
      <c r="T389">
        <f t="shared" si="114"/>
        <v>5441.1352149914601</v>
      </c>
      <c r="U389">
        <v>23.6</v>
      </c>
      <c r="V389">
        <v>0.75</v>
      </c>
      <c r="W389">
        <v>0</v>
      </c>
      <c r="Y389">
        <f>Y387*Y388</f>
        <v>18.585856594488188</v>
      </c>
    </row>
    <row r="390" spans="1:33" x14ac:dyDescent="0.25">
      <c r="A390" t="s">
        <v>97</v>
      </c>
      <c r="B390" t="s">
        <v>98</v>
      </c>
      <c r="C390">
        <v>9</v>
      </c>
      <c r="D390">
        <v>2</v>
      </c>
      <c r="E390">
        <f t="shared" si="108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f t="shared" si="110"/>
        <v>1.8835680811712319</v>
      </c>
      <c r="P390">
        <f t="shared" si="111"/>
        <v>9.2913258446321105</v>
      </c>
      <c r="Q390">
        <f t="shared" si="109"/>
        <v>23.599967645365563</v>
      </c>
      <c r="R390">
        <f t="shared" si="112"/>
        <v>854.37312605856425</v>
      </c>
      <c r="S390">
        <f t="shared" si="113"/>
        <v>2053.2879741854463</v>
      </c>
      <c r="T390">
        <f t="shared" si="114"/>
        <v>5441.2131315914321</v>
      </c>
      <c r="U390">
        <v>23.6</v>
      </c>
      <c r="V390">
        <v>0.75</v>
      </c>
      <c r="W390">
        <v>0</v>
      </c>
      <c r="Y390" s="2">
        <f>Y389/2*2.54</f>
        <v>23.604037875</v>
      </c>
      <c r="Z390" s="2" t="s">
        <v>685</v>
      </c>
    </row>
    <row r="391" spans="1:33" x14ac:dyDescent="0.25">
      <c r="A391" t="s">
        <v>97</v>
      </c>
      <c r="B391" t="s">
        <v>98</v>
      </c>
      <c r="C391">
        <v>10</v>
      </c>
      <c r="D391">
        <v>2</v>
      </c>
      <c r="E391">
        <f t="shared" si="108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f t="shared" si="110"/>
        <v>1.8835740995066796</v>
      </c>
      <c r="P391">
        <f t="shared" si="111"/>
        <v>9.2913357404351338</v>
      </c>
      <c r="Q391">
        <f t="shared" si="109"/>
        <v>23.599992780705239</v>
      </c>
      <c r="R391">
        <f t="shared" si="112"/>
        <v>854.37585593284996</v>
      </c>
      <c r="S391">
        <f t="shared" si="113"/>
        <v>2053.2945348061762</v>
      </c>
      <c r="T391">
        <f t="shared" si="114"/>
        <v>5441.2305172363667</v>
      </c>
      <c r="U391">
        <v>23.6</v>
      </c>
      <c r="V391">
        <v>0.75</v>
      </c>
      <c r="W391">
        <v>0</v>
      </c>
    </row>
    <row r="392" spans="1:33" x14ac:dyDescent="0.25">
      <c r="A392" t="s">
        <v>99</v>
      </c>
      <c r="B392" t="s">
        <v>100</v>
      </c>
      <c r="C392">
        <v>1</v>
      </c>
      <c r="D392">
        <v>2</v>
      </c>
      <c r="E392">
        <f t="shared" si="108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f t="shared" si="110"/>
        <v>7.7526309958411796E-2</v>
      </c>
      <c r="P392">
        <f t="shared" si="111"/>
        <v>4.8113930373485632</v>
      </c>
      <c r="Q392">
        <f t="shared" ref="Q392:Q401" si="115">42.4*(1-EXP(-0.17*(E392)))</f>
        <v>12.22093831486535</v>
      </c>
      <c r="R392">
        <f t="shared" si="112"/>
        <v>35.165384491845217</v>
      </c>
      <c r="S392">
        <f t="shared" si="113"/>
        <v>84.511858908544141</v>
      </c>
      <c r="T392">
        <f t="shared" si="114"/>
        <v>223.95642610764196</v>
      </c>
      <c r="U392">
        <v>42.4</v>
      </c>
      <c r="V392">
        <v>0.17</v>
      </c>
      <c r="W392">
        <v>0</v>
      </c>
      <c r="Y392" t="s">
        <v>667</v>
      </c>
    </row>
    <row r="393" spans="1:33" x14ac:dyDescent="0.25">
      <c r="A393" t="s">
        <v>99</v>
      </c>
      <c r="B393" t="s">
        <v>100</v>
      </c>
      <c r="C393">
        <v>2</v>
      </c>
      <c r="D393">
        <v>2</v>
      </c>
      <c r="E393">
        <f t="shared" si="108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f t="shared" si="110"/>
        <v>0.41032704300266931</v>
      </c>
      <c r="P393">
        <f t="shared" si="111"/>
        <v>8.2359998124799212</v>
      </c>
      <c r="Q393">
        <f t="shared" si="115"/>
        <v>20.919439523699001</v>
      </c>
      <c r="R393">
        <f t="shared" si="112"/>
        <v>186.12143725570363</v>
      </c>
      <c r="S393">
        <f t="shared" si="113"/>
        <v>447.29977711055909</v>
      </c>
      <c r="T393">
        <f t="shared" si="114"/>
        <v>1185.3444093429816</v>
      </c>
      <c r="U393">
        <v>42.4</v>
      </c>
      <c r="V393">
        <v>0.17</v>
      </c>
      <c r="W393">
        <v>0</v>
      </c>
    </row>
    <row r="394" spans="1:33" x14ac:dyDescent="0.25">
      <c r="A394" t="s">
        <v>99</v>
      </c>
      <c r="B394" t="s">
        <v>100</v>
      </c>
      <c r="C394">
        <v>3</v>
      </c>
      <c r="D394">
        <v>2</v>
      </c>
      <c r="E394">
        <f t="shared" si="108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f t="shared" si="110"/>
        <v>0.9165685900879792</v>
      </c>
      <c r="P394">
        <f t="shared" si="111"/>
        <v>10.673533282150188</v>
      </c>
      <c r="Q394">
        <f t="shared" si="115"/>
        <v>27.110774536661477</v>
      </c>
      <c r="R394">
        <f t="shared" si="112"/>
        <v>415.7490134753287</v>
      </c>
      <c r="S394">
        <f t="shared" si="113"/>
        <v>999.1564851606073</v>
      </c>
      <c r="T394">
        <f t="shared" si="114"/>
        <v>2647.7646856756091</v>
      </c>
      <c r="U394">
        <v>42.4</v>
      </c>
      <c r="V394">
        <v>0.17</v>
      </c>
      <c r="W394">
        <v>0</v>
      </c>
    </row>
    <row r="395" spans="1:33" x14ac:dyDescent="0.25">
      <c r="A395" t="s">
        <v>99</v>
      </c>
      <c r="B395" t="s">
        <v>100</v>
      </c>
      <c r="C395">
        <v>4</v>
      </c>
      <c r="D395">
        <v>2</v>
      </c>
      <c r="E395">
        <f t="shared" si="108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f t="shared" si="110"/>
        <v>1.4619718504402728</v>
      </c>
      <c r="P395">
        <f t="shared" si="111"/>
        <v>12.40849726660206</v>
      </c>
      <c r="Q395">
        <f t="shared" si="115"/>
        <v>31.517583057169233</v>
      </c>
      <c r="R395">
        <f t="shared" si="112"/>
        <v>663.1400651542092</v>
      </c>
      <c r="S395">
        <f t="shared" si="113"/>
        <v>1593.7035932569313</v>
      </c>
      <c r="T395">
        <f t="shared" si="114"/>
        <v>4223.3145221308678</v>
      </c>
      <c r="U395">
        <v>42.4</v>
      </c>
      <c r="V395">
        <v>0.17</v>
      </c>
      <c r="W395">
        <v>0</v>
      </c>
    </row>
    <row r="396" spans="1:33" x14ac:dyDescent="0.25">
      <c r="A396" t="s">
        <v>99</v>
      </c>
      <c r="B396" t="s">
        <v>100</v>
      </c>
      <c r="C396">
        <v>5</v>
      </c>
      <c r="D396">
        <v>2</v>
      </c>
      <c r="E396">
        <f t="shared" si="108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f t="shared" si="110"/>
        <v>1.9618642084198317</v>
      </c>
      <c r="P396">
        <f t="shared" si="111"/>
        <v>13.643393141796873</v>
      </c>
      <c r="Q396">
        <f t="shared" si="115"/>
        <v>34.654218580164056</v>
      </c>
      <c r="R396">
        <f t="shared" si="112"/>
        <v>889.88769421479969</v>
      </c>
      <c r="S396">
        <f t="shared" si="113"/>
        <v>2138.6390151761589</v>
      </c>
      <c r="T396">
        <f t="shared" si="114"/>
        <v>5667.393390216821</v>
      </c>
      <c r="U396">
        <v>42.4</v>
      </c>
      <c r="V396">
        <v>0.17</v>
      </c>
      <c r="W396">
        <v>0</v>
      </c>
    </row>
    <row r="397" spans="1:33" x14ac:dyDescent="0.25">
      <c r="A397" t="s">
        <v>99</v>
      </c>
      <c r="B397" t="s">
        <v>100</v>
      </c>
      <c r="C397">
        <v>6</v>
      </c>
      <c r="D397">
        <v>2</v>
      </c>
      <c r="E397">
        <f t="shared" si="108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f t="shared" si="110"/>
        <v>2.3808082026159325</v>
      </c>
      <c r="P397">
        <f t="shared" si="111"/>
        <v>14.522355377462496</v>
      </c>
      <c r="Q397">
        <f t="shared" si="115"/>
        <v>36.88678265875474</v>
      </c>
      <c r="R397">
        <f t="shared" si="112"/>
        <v>1079.9177194327967</v>
      </c>
      <c r="S397">
        <f t="shared" si="113"/>
        <v>2595.3321784013383</v>
      </c>
      <c r="T397">
        <f t="shared" si="114"/>
        <v>6877.6302727635466</v>
      </c>
      <c r="U397">
        <v>42.4</v>
      </c>
      <c r="V397">
        <v>0.17</v>
      </c>
      <c r="W397">
        <v>0</v>
      </c>
    </row>
    <row r="398" spans="1:33" x14ac:dyDescent="0.25">
      <c r="A398" t="s">
        <v>99</v>
      </c>
      <c r="B398" t="s">
        <v>100</v>
      </c>
      <c r="C398">
        <v>7</v>
      </c>
      <c r="D398">
        <v>2</v>
      </c>
      <c r="E398">
        <f t="shared" si="108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f t="shared" si="110"/>
        <v>2.7133679201056804</v>
      </c>
      <c r="P398">
        <f t="shared" si="111"/>
        <v>15.147974611638366</v>
      </c>
      <c r="Q398">
        <f t="shared" si="115"/>
        <v>38.475855513561449</v>
      </c>
      <c r="R398">
        <f t="shared" si="112"/>
        <v>1230.764449250066</v>
      </c>
      <c r="S398">
        <f t="shared" si="113"/>
        <v>2957.8573642154915</v>
      </c>
      <c r="T398">
        <f t="shared" si="114"/>
        <v>7838.322015171052</v>
      </c>
      <c r="U398">
        <v>42.4</v>
      </c>
      <c r="V398">
        <v>0.17</v>
      </c>
      <c r="W398">
        <v>0</v>
      </c>
    </row>
    <row r="399" spans="1:33" x14ac:dyDescent="0.25">
      <c r="A399" t="s">
        <v>99</v>
      </c>
      <c r="B399" t="s">
        <v>100</v>
      </c>
      <c r="C399">
        <v>8</v>
      </c>
      <c r="D399">
        <v>2</v>
      </c>
      <c r="E399">
        <f t="shared" si="108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f t="shared" si="110"/>
        <v>2.9683492422888915</v>
      </c>
      <c r="P399">
        <f t="shared" si="111"/>
        <v>15.593271815874219</v>
      </c>
      <c r="Q399">
        <f t="shared" si="115"/>
        <v>39.606910412320516</v>
      </c>
      <c r="R399">
        <f t="shared" si="112"/>
        <v>1346.4221690308948</v>
      </c>
      <c r="S399">
        <f t="shared" si="113"/>
        <v>3235.8139125952775</v>
      </c>
      <c r="T399">
        <f t="shared" si="114"/>
        <v>8574.9068683774858</v>
      </c>
      <c r="U399">
        <v>42.4</v>
      </c>
      <c r="V399">
        <v>0.17</v>
      </c>
      <c r="W399">
        <v>0</v>
      </c>
    </row>
    <row r="400" spans="1:33" x14ac:dyDescent="0.25">
      <c r="A400" t="s">
        <v>99</v>
      </c>
      <c r="B400" t="s">
        <v>100</v>
      </c>
      <c r="C400">
        <v>9</v>
      </c>
      <c r="D400">
        <v>2</v>
      </c>
      <c r="E400">
        <f t="shared" si="108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f t="shared" si="110"/>
        <v>3.1594085870510749</v>
      </c>
      <c r="P400">
        <f t="shared" si="111"/>
        <v>15.91022115065846</v>
      </c>
      <c r="Q400">
        <f t="shared" si="115"/>
        <v>40.411961722672487</v>
      </c>
      <c r="R400">
        <f t="shared" si="112"/>
        <v>1433.0853330964405</v>
      </c>
      <c r="S400">
        <f t="shared" si="113"/>
        <v>3444.088760145255</v>
      </c>
      <c r="T400">
        <f t="shared" si="114"/>
        <v>9126.8352143849261</v>
      </c>
      <c r="U400">
        <v>42.4</v>
      </c>
      <c r="V400">
        <v>0.17</v>
      </c>
      <c r="W400">
        <v>0</v>
      </c>
    </row>
    <row r="401" spans="1:34" x14ac:dyDescent="0.25">
      <c r="A401" t="s">
        <v>99</v>
      </c>
      <c r="B401" t="s">
        <v>100</v>
      </c>
      <c r="C401">
        <v>10</v>
      </c>
      <c r="D401">
        <v>2</v>
      </c>
      <c r="E401">
        <f t="shared" si="108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f t="shared" si="110"/>
        <v>3.3003609426445943</v>
      </c>
      <c r="P401">
        <f t="shared" si="111"/>
        <v>16.135816280977231</v>
      </c>
      <c r="Q401">
        <f t="shared" si="115"/>
        <v>40.984973353682172</v>
      </c>
      <c r="R401">
        <f t="shared" si="112"/>
        <v>1497.020322161912</v>
      </c>
      <c r="S401">
        <f t="shared" si="113"/>
        <v>3597.7417019031764</v>
      </c>
      <c r="T401">
        <f t="shared" si="114"/>
        <v>9534.0155100434167</v>
      </c>
      <c r="U401">
        <v>42.4</v>
      </c>
      <c r="V401">
        <v>0.17</v>
      </c>
      <c r="W401">
        <v>0</v>
      </c>
    </row>
    <row r="402" spans="1:34" x14ac:dyDescent="0.25">
      <c r="A402" t="s">
        <v>101</v>
      </c>
      <c r="B402" t="s">
        <v>102</v>
      </c>
      <c r="C402">
        <v>1</v>
      </c>
      <c r="D402">
        <v>2</v>
      </c>
      <c r="E402">
        <f t="shared" si="108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f t="shared" si="110"/>
        <v>1.048811704075304</v>
      </c>
      <c r="P402">
        <f t="shared" si="111"/>
        <v>11.979838750679438</v>
      </c>
      <c r="Q402" s="2">
        <f t="shared" ref="Q402:Q411" si="116">U402*(1-EXP(-V402*(E402-W402)))</f>
        <v>30.428790426725772</v>
      </c>
      <c r="R402" s="2">
        <f t="shared" si="112"/>
        <v>475.73355230166828</v>
      </c>
      <c r="S402" s="2">
        <f t="shared" si="113"/>
        <v>1143.3154345149444</v>
      </c>
      <c r="T402" s="2">
        <f t="shared" si="114"/>
        <v>3029.7859014646024</v>
      </c>
      <c r="U402">
        <f t="shared" ref="U402:U411" si="117">$AH$404</f>
        <v>150.03333333333333</v>
      </c>
      <c r="V402">
        <f t="shared" ref="V402:V411" si="118">$AH$405</f>
        <v>0.11333333333333334</v>
      </c>
      <c r="W402">
        <v>0</v>
      </c>
      <c r="Y402" t="s">
        <v>686</v>
      </c>
      <c r="Z402" t="s">
        <v>687</v>
      </c>
      <c r="AA402" t="s">
        <v>688</v>
      </c>
      <c r="AB402" t="s">
        <v>689</v>
      </c>
      <c r="AC402" t="s">
        <v>690</v>
      </c>
      <c r="AD402" t="s">
        <v>691</v>
      </c>
      <c r="AE402" t="s">
        <v>692</v>
      </c>
      <c r="AF402" t="s">
        <v>693</v>
      </c>
    </row>
    <row r="403" spans="1:34" x14ac:dyDescent="0.25">
      <c r="A403" t="s">
        <v>101</v>
      </c>
      <c r="B403" t="s">
        <v>102</v>
      </c>
      <c r="C403">
        <v>2</v>
      </c>
      <c r="D403">
        <v>2</v>
      </c>
      <c r="E403">
        <f t="shared" si="108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>
        <f t="shared" si="110"/>
        <v>3.1180781451313928</v>
      </c>
      <c r="P403">
        <f t="shared" si="111"/>
        <v>17.025220173825382</v>
      </c>
      <c r="Q403" s="2">
        <f t="shared" si="116"/>
        <v>43.244059241516467</v>
      </c>
      <c r="R403" s="2">
        <f t="shared" si="112"/>
        <v>1414.3381376978314</v>
      </c>
      <c r="S403" s="2">
        <f t="shared" si="113"/>
        <v>3399.0342170099289</v>
      </c>
      <c r="T403" s="2">
        <f t="shared" si="114"/>
        <v>9007.4406750763119</v>
      </c>
      <c r="U403">
        <f t="shared" si="117"/>
        <v>150.03333333333333</v>
      </c>
      <c r="V403">
        <f t="shared" si="118"/>
        <v>0.11333333333333334</v>
      </c>
      <c r="W403">
        <v>1</v>
      </c>
      <c r="X403" t="s">
        <v>422</v>
      </c>
      <c r="Y403">
        <v>230</v>
      </c>
      <c r="AB403">
        <v>152</v>
      </c>
      <c r="AC403">
        <v>403</v>
      </c>
      <c r="AE403">
        <v>143</v>
      </c>
      <c r="AF403">
        <v>100</v>
      </c>
      <c r="AH403">
        <f>AVERAGE(Y403:AF403)</f>
        <v>205.6</v>
      </c>
    </row>
    <row r="404" spans="1:34" x14ac:dyDescent="0.25">
      <c r="A404" t="s">
        <v>101</v>
      </c>
      <c r="B404" t="s">
        <v>102</v>
      </c>
      <c r="C404">
        <v>3</v>
      </c>
      <c r="D404">
        <v>2</v>
      </c>
      <c r="E404">
        <f t="shared" si="108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f t="shared" si="110"/>
        <v>6.4555947235383959</v>
      </c>
      <c r="P404">
        <f t="shared" si="111"/>
        <v>21.530004077517109</v>
      </c>
      <c r="Q404" s="2">
        <f t="shared" si="116"/>
        <v>54.686210356893454</v>
      </c>
      <c r="R404" s="2">
        <f t="shared" si="112"/>
        <v>2928.2119927871449</v>
      </c>
      <c r="S404" s="2">
        <f t="shared" si="113"/>
        <v>7037.2794827857379</v>
      </c>
      <c r="T404" s="2">
        <f t="shared" si="114"/>
        <v>18648.790629382205</v>
      </c>
      <c r="U404">
        <f t="shared" si="117"/>
        <v>150.03333333333333</v>
      </c>
      <c r="V404">
        <f t="shared" si="118"/>
        <v>0.11333333333333334</v>
      </c>
      <c r="W404">
        <v>2</v>
      </c>
      <c r="X404" t="s">
        <v>18</v>
      </c>
      <c r="AC404">
        <v>236</v>
      </c>
      <c r="AE404">
        <v>144</v>
      </c>
      <c r="AF404">
        <v>70.099999999999994</v>
      </c>
      <c r="AH404">
        <f>AVERAGE(Y404:AF404)</f>
        <v>150.03333333333333</v>
      </c>
    </row>
    <row r="405" spans="1:34" x14ac:dyDescent="0.25">
      <c r="A405" t="s">
        <v>101</v>
      </c>
      <c r="B405" t="s">
        <v>102</v>
      </c>
      <c r="C405">
        <v>4</v>
      </c>
      <c r="D405">
        <v>2</v>
      </c>
      <c r="E405">
        <f t="shared" si="108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f t="shared" si="110"/>
        <v>10.977986601158317</v>
      </c>
      <c r="P405">
        <f t="shared" si="111"/>
        <v>25.552113868040497</v>
      </c>
      <c r="Q405" s="2">
        <f t="shared" si="116"/>
        <v>64.902369224822863</v>
      </c>
      <c r="R405" s="2">
        <f t="shared" si="112"/>
        <v>4979.5368821648708</v>
      </c>
      <c r="S405" s="2">
        <f t="shared" si="113"/>
        <v>11967.163860045352</v>
      </c>
      <c r="T405" s="2">
        <f t="shared" si="114"/>
        <v>31712.984229120182</v>
      </c>
      <c r="U405">
        <f t="shared" si="117"/>
        <v>150.03333333333333</v>
      </c>
      <c r="V405">
        <f t="shared" si="118"/>
        <v>0.11333333333333334</v>
      </c>
      <c r="W405">
        <v>3</v>
      </c>
      <c r="X405" t="s">
        <v>19</v>
      </c>
      <c r="AC405">
        <v>0.1</v>
      </c>
      <c r="AE405">
        <v>0.04</v>
      </c>
      <c r="AF405">
        <v>0.2</v>
      </c>
      <c r="AH405">
        <f>AVERAGE(Y405:AF405)</f>
        <v>0.11333333333333334</v>
      </c>
    </row>
    <row r="406" spans="1:34" x14ac:dyDescent="0.25">
      <c r="A406" t="s">
        <v>101</v>
      </c>
      <c r="B406" t="s">
        <v>102</v>
      </c>
      <c r="C406">
        <v>5</v>
      </c>
      <c r="D406">
        <v>2</v>
      </c>
      <c r="E406">
        <f t="shared" si="108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>
        <f t="shared" si="110"/>
        <v>16.503194668098537</v>
      </c>
      <c r="P406">
        <f t="shared" si="111"/>
        <v>29.143266632053564</v>
      </c>
      <c r="Q406" s="2">
        <f t="shared" si="116"/>
        <v>74.023897245416052</v>
      </c>
      <c r="R406" s="2">
        <f t="shared" si="112"/>
        <v>7485.7320844855512</v>
      </c>
      <c r="S406" s="2">
        <f t="shared" si="113"/>
        <v>17990.223707006851</v>
      </c>
      <c r="T406" s="2">
        <f t="shared" si="114"/>
        <v>47674.092823568157</v>
      </c>
      <c r="U406">
        <f t="shared" si="117"/>
        <v>150.03333333333333</v>
      </c>
      <c r="V406">
        <f t="shared" si="118"/>
        <v>0.11333333333333334</v>
      </c>
      <c r="W406">
        <v>4</v>
      </c>
      <c r="X406" t="s">
        <v>477</v>
      </c>
    </row>
    <row r="407" spans="1:34" x14ac:dyDescent="0.25">
      <c r="A407" t="s">
        <v>101</v>
      </c>
      <c r="B407" t="s">
        <v>102</v>
      </c>
      <c r="C407">
        <v>6</v>
      </c>
      <c r="D407">
        <v>2</v>
      </c>
      <c r="E407">
        <f t="shared" si="108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f t="shared" si="110"/>
        <v>22.808395431515205</v>
      </c>
      <c r="P407">
        <f t="shared" si="111"/>
        <v>32.349638125160034</v>
      </c>
      <c r="Q407" s="2">
        <f t="shared" si="116"/>
        <v>82.168080837906487</v>
      </c>
      <c r="R407" s="2">
        <f t="shared" si="112"/>
        <v>10345.726443339534</v>
      </c>
      <c r="S407" s="2">
        <f t="shared" si="113"/>
        <v>24863.557902762637</v>
      </c>
      <c r="T407" s="2">
        <f t="shared" si="114"/>
        <v>65888.42844232099</v>
      </c>
      <c r="U407">
        <f t="shared" si="117"/>
        <v>150.03333333333333</v>
      </c>
      <c r="V407">
        <f t="shared" si="118"/>
        <v>0.11333333333333334</v>
      </c>
      <c r="W407">
        <v>5</v>
      </c>
      <c r="X407" t="s">
        <v>423</v>
      </c>
      <c r="AC407" t="s">
        <v>428</v>
      </c>
      <c r="AE407" t="s">
        <v>694</v>
      </c>
      <c r="AF407" t="s">
        <v>428</v>
      </c>
    </row>
    <row r="408" spans="1:34" x14ac:dyDescent="0.25">
      <c r="A408" t="s">
        <v>101</v>
      </c>
      <c r="B408" t="s">
        <v>102</v>
      </c>
      <c r="C408">
        <v>7</v>
      </c>
      <c r="D408">
        <v>2</v>
      </c>
      <c r="E408">
        <f t="shared" si="108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f t="shared" si="110"/>
        <v>29.665939975959152</v>
      </c>
      <c r="P408">
        <f t="shared" si="111"/>
        <v>35.212456508947518</v>
      </c>
      <c r="Q408" s="2">
        <f t="shared" si="116"/>
        <v>89.439639532726702</v>
      </c>
      <c r="R408" s="2">
        <f t="shared" si="112"/>
        <v>13456.260024838362</v>
      </c>
      <c r="S408" s="2">
        <f t="shared" si="113"/>
        <v>32339.005106556982</v>
      </c>
      <c r="T408" s="2">
        <f t="shared" si="114"/>
        <v>85698.363532375995</v>
      </c>
      <c r="U408">
        <f t="shared" si="117"/>
        <v>150.03333333333333</v>
      </c>
      <c r="V408">
        <f t="shared" si="118"/>
        <v>0.11333333333333334</v>
      </c>
      <c r="W408">
        <v>6</v>
      </c>
      <c r="X408" t="s">
        <v>434</v>
      </c>
      <c r="Y408" s="7" t="s">
        <v>695</v>
      </c>
      <c r="AB408" s="7" t="s">
        <v>696</v>
      </c>
      <c r="AC408" s="7" t="s">
        <v>697</v>
      </c>
      <c r="AE408" s="7" t="s">
        <v>698</v>
      </c>
      <c r="AF408" s="7" t="s">
        <v>699</v>
      </c>
    </row>
    <row r="409" spans="1:34" x14ac:dyDescent="0.25">
      <c r="A409" t="s">
        <v>101</v>
      </c>
      <c r="B409" t="s">
        <v>102</v>
      </c>
      <c r="C409">
        <v>8</v>
      </c>
      <c r="D409">
        <v>2</v>
      </c>
      <c r="E409">
        <f t="shared" si="108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f t="shared" si="110"/>
        <v>36.864033523591324</v>
      </c>
      <c r="P409">
        <f t="shared" si="111"/>
        <v>37.768532470878924</v>
      </c>
      <c r="Q409" s="2">
        <f t="shared" si="116"/>
        <v>95.932072476032474</v>
      </c>
      <c r="R409" s="2">
        <f t="shared" si="112"/>
        <v>16721.264219498746</v>
      </c>
      <c r="S409" s="2">
        <f t="shared" si="113"/>
        <v>40185.686660655476</v>
      </c>
      <c r="T409" s="2">
        <f t="shared" si="114"/>
        <v>106492.069650737</v>
      </c>
      <c r="U409">
        <f t="shared" si="117"/>
        <v>150.03333333333333</v>
      </c>
      <c r="V409">
        <f t="shared" si="118"/>
        <v>0.11333333333333334</v>
      </c>
      <c r="W409">
        <v>7</v>
      </c>
    </row>
    <row r="410" spans="1:34" x14ac:dyDescent="0.25">
      <c r="A410" t="s">
        <v>101</v>
      </c>
      <c r="B410" t="s">
        <v>102</v>
      </c>
      <c r="C410">
        <v>9</v>
      </c>
      <c r="D410">
        <v>2</v>
      </c>
      <c r="E410">
        <f t="shared" si="108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f t="shared" si="110"/>
        <v>44.217272357953462</v>
      </c>
      <c r="P410">
        <f t="shared" si="111"/>
        <v>40.050732543424154</v>
      </c>
      <c r="Q410" s="2">
        <f t="shared" si="116"/>
        <v>101.72886066029736</v>
      </c>
      <c r="R410" s="2">
        <f t="shared" si="112"/>
        <v>20056.641216152198</v>
      </c>
      <c r="S410" s="2">
        <f t="shared" si="113"/>
        <v>48201.49294917615</v>
      </c>
      <c r="T410" s="2">
        <f t="shared" si="114"/>
        <v>127733.9563153168</v>
      </c>
      <c r="U410">
        <f t="shared" si="117"/>
        <v>150.03333333333333</v>
      </c>
      <c r="V410">
        <f t="shared" si="118"/>
        <v>0.11333333333333334</v>
      </c>
      <c r="W410">
        <v>8</v>
      </c>
    </row>
    <row r="411" spans="1:34" x14ac:dyDescent="0.25">
      <c r="A411" t="s">
        <v>101</v>
      </c>
      <c r="B411" t="s">
        <v>102</v>
      </c>
      <c r="C411">
        <v>10</v>
      </c>
      <c r="D411">
        <v>2</v>
      </c>
      <c r="E411">
        <f t="shared" si="108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f t="shared" si="110"/>
        <v>51.570703466293651</v>
      </c>
      <c r="P411">
        <f t="shared" si="111"/>
        <v>42.088401708463309</v>
      </c>
      <c r="Q411" s="2">
        <f t="shared" si="116"/>
        <v>106.9045403394968</v>
      </c>
      <c r="R411" s="2">
        <f t="shared" si="112"/>
        <v>23392.105426918766</v>
      </c>
      <c r="S411" s="2">
        <f t="shared" si="113"/>
        <v>56217.508836622837</v>
      </c>
      <c r="T411" s="2">
        <f t="shared" si="114"/>
        <v>148976.39841705051</v>
      </c>
      <c r="U411">
        <f t="shared" si="117"/>
        <v>150.03333333333333</v>
      </c>
      <c r="V411">
        <f t="shared" si="118"/>
        <v>0.11333333333333334</v>
      </c>
      <c r="W411">
        <v>9</v>
      </c>
    </row>
    <row r="412" spans="1:34" x14ac:dyDescent="0.25">
      <c r="A412" t="s">
        <v>103</v>
      </c>
      <c r="B412" t="s">
        <v>104</v>
      </c>
      <c r="C412">
        <v>1</v>
      </c>
      <c r="D412">
        <v>1</v>
      </c>
      <c r="E412">
        <f t="shared" si="108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f t="shared" si="110"/>
        <v>2.2277004139224565E-2</v>
      </c>
      <c r="P412">
        <f t="shared" si="111"/>
        <v>4.2414677849223663</v>
      </c>
      <c r="Q412">
        <f t="shared" ref="Q412:Q421" si="119">65.4*(1-EXP(-0.18*(E412)))</f>
        <v>10.773328173702811</v>
      </c>
      <c r="R412">
        <f t="shared" si="112"/>
        <v>10.104691121020659</v>
      </c>
      <c r="S412">
        <f t="shared" si="113"/>
        <v>24.28428531848272</v>
      </c>
      <c r="T412">
        <f t="shared" si="114"/>
        <v>64.353356093979201</v>
      </c>
      <c r="U412">
        <v>65.400000000000006</v>
      </c>
      <c r="V412">
        <v>0.18</v>
      </c>
      <c r="W412">
        <v>0</v>
      </c>
      <c r="Y412" t="s">
        <v>667</v>
      </c>
    </row>
    <row r="413" spans="1:34" x14ac:dyDescent="0.25">
      <c r="A413" t="s">
        <v>103</v>
      </c>
      <c r="B413" t="s">
        <v>104</v>
      </c>
      <c r="C413">
        <v>2</v>
      </c>
      <c r="D413">
        <v>1</v>
      </c>
      <c r="E413">
        <f t="shared" si="108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f t="shared" si="110"/>
        <v>0.12195983527165984</v>
      </c>
      <c r="P413">
        <f t="shared" si="111"/>
        <v>7.7842394783285727</v>
      </c>
      <c r="Q413">
        <f t="shared" si="119"/>
        <v>19.771968274954574</v>
      </c>
      <c r="R413">
        <f t="shared" si="112"/>
        <v>55.320116515163534</v>
      </c>
      <c r="S413">
        <f t="shared" si="113"/>
        <v>132.94909039933557</v>
      </c>
      <c r="T413">
        <f t="shared" si="114"/>
        <v>352.31508955823926</v>
      </c>
      <c r="U413">
        <v>65.400000000000006</v>
      </c>
      <c r="V413">
        <v>0.18</v>
      </c>
      <c r="W413">
        <v>0</v>
      </c>
    </row>
    <row r="414" spans="1:34" x14ac:dyDescent="0.25">
      <c r="A414" t="s">
        <v>103</v>
      </c>
      <c r="B414" t="s">
        <v>104</v>
      </c>
      <c r="C414">
        <v>3</v>
      </c>
      <c r="D414">
        <v>1</v>
      </c>
      <c r="E414">
        <f t="shared" si="108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f t="shared" si="110"/>
        <v>0.30061431036597802</v>
      </c>
      <c r="P414">
        <f t="shared" si="111"/>
        <v>10.743411139661841</v>
      </c>
      <c r="Q414">
        <f t="shared" si="119"/>
        <v>27.288264294741079</v>
      </c>
      <c r="R414">
        <f t="shared" si="112"/>
        <v>136.35651965689235</v>
      </c>
      <c r="S414">
        <f t="shared" si="113"/>
        <v>327.70132097306498</v>
      </c>
      <c r="T414">
        <f t="shared" si="114"/>
        <v>868.40850057862212</v>
      </c>
      <c r="U414">
        <v>65.400000000000006</v>
      </c>
      <c r="V414">
        <v>0.18</v>
      </c>
      <c r="W414">
        <v>0</v>
      </c>
    </row>
    <row r="415" spans="1:34" x14ac:dyDescent="0.25">
      <c r="A415" t="s">
        <v>103</v>
      </c>
      <c r="B415" t="s">
        <v>104</v>
      </c>
      <c r="C415">
        <v>4</v>
      </c>
      <c r="D415">
        <v>1</v>
      </c>
      <c r="E415">
        <f t="shared" si="108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f t="shared" si="110"/>
        <v>0.53679755384626038</v>
      </c>
      <c r="P415">
        <f t="shared" si="111"/>
        <v>13.215119078825925</v>
      </c>
      <c r="Q415">
        <f t="shared" si="119"/>
        <v>33.566402460217851</v>
      </c>
      <c r="R415">
        <f t="shared" si="112"/>
        <v>243.48756422705969</v>
      </c>
      <c r="S415">
        <f t="shared" si="113"/>
        <v>585.16597987757677</v>
      </c>
      <c r="T415">
        <f t="shared" si="114"/>
        <v>1550.6898466755783</v>
      </c>
      <c r="U415">
        <v>65.400000000000006</v>
      </c>
      <c r="V415">
        <v>0.18</v>
      </c>
      <c r="W415">
        <v>0</v>
      </c>
    </row>
    <row r="416" spans="1:34" x14ac:dyDescent="0.25">
      <c r="A416" t="s">
        <v>103</v>
      </c>
      <c r="B416" t="s">
        <v>104</v>
      </c>
      <c r="C416">
        <v>5</v>
      </c>
      <c r="D416">
        <v>1</v>
      </c>
      <c r="E416">
        <f t="shared" si="108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f t="shared" si="110"/>
        <v>0.80599079389768036</v>
      </c>
      <c r="P416">
        <f t="shared" si="111"/>
        <v>15.279663091718431</v>
      </c>
      <c r="Q416">
        <f t="shared" si="119"/>
        <v>38.810344252964818</v>
      </c>
      <c r="R416">
        <f t="shared" si="112"/>
        <v>365.59170918238988</v>
      </c>
      <c r="S416">
        <f t="shared" si="113"/>
        <v>878.61501846284534</v>
      </c>
      <c r="T416">
        <f t="shared" si="114"/>
        <v>2328.3297989265402</v>
      </c>
      <c r="U416">
        <v>65.400000000000006</v>
      </c>
      <c r="V416">
        <v>0.18</v>
      </c>
      <c r="W416">
        <v>0</v>
      </c>
    </row>
    <row r="417" spans="1:34" x14ac:dyDescent="0.25">
      <c r="A417" t="s">
        <v>103</v>
      </c>
      <c r="B417" t="s">
        <v>104</v>
      </c>
      <c r="C417">
        <v>6</v>
      </c>
      <c r="D417">
        <v>1</v>
      </c>
      <c r="E417">
        <f t="shared" si="108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f t="shared" si="110"/>
        <v>1.0873336043395747</v>
      </c>
      <c r="P417">
        <f t="shared" si="111"/>
        <v>17.004115205835031</v>
      </c>
      <c r="Q417">
        <f t="shared" si="119"/>
        <v>43.190452622820985</v>
      </c>
      <c r="R417">
        <f t="shared" si="112"/>
        <v>493.20681311952842</v>
      </c>
      <c r="S417">
        <f t="shared" si="113"/>
        <v>1185.3083708712531</v>
      </c>
      <c r="T417">
        <f t="shared" si="114"/>
        <v>3141.0671828088207</v>
      </c>
      <c r="U417">
        <v>65.400000000000006</v>
      </c>
      <c r="V417">
        <v>0.18</v>
      </c>
      <c r="W417">
        <v>0</v>
      </c>
    </row>
    <row r="418" spans="1:34" x14ac:dyDescent="0.25">
      <c r="A418" t="s">
        <v>103</v>
      </c>
      <c r="B418" t="s">
        <v>104</v>
      </c>
      <c r="C418">
        <v>7</v>
      </c>
      <c r="D418">
        <v>1</v>
      </c>
      <c r="E418">
        <f t="shared" si="108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f t="shared" si="110"/>
        <v>1.3653333485326657</v>
      </c>
      <c r="P418">
        <f t="shared" si="111"/>
        <v>18.444498687761818</v>
      </c>
      <c r="Q418">
        <f t="shared" si="119"/>
        <v>46.849026666915016</v>
      </c>
      <c r="R418">
        <f t="shared" si="112"/>
        <v>619.30552591043613</v>
      </c>
      <c r="S418">
        <f t="shared" si="113"/>
        <v>1488.3574282875177</v>
      </c>
      <c r="T418">
        <f t="shared" si="114"/>
        <v>3944.1471849619215</v>
      </c>
      <c r="U418">
        <v>65.400000000000006</v>
      </c>
      <c r="V418">
        <v>0.18</v>
      </c>
      <c r="W418">
        <v>0</v>
      </c>
    </row>
    <row r="419" spans="1:34" x14ac:dyDescent="0.25">
      <c r="A419" t="s">
        <v>103</v>
      </c>
      <c r="B419" t="s">
        <v>104</v>
      </c>
      <c r="C419">
        <v>8</v>
      </c>
      <c r="D419">
        <v>1</v>
      </c>
      <c r="E419">
        <f t="shared" si="108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f t="shared" si="110"/>
        <v>1.629591029664694</v>
      </c>
      <c r="P419">
        <f t="shared" si="111"/>
        <v>19.647608103224108</v>
      </c>
      <c r="Q419">
        <f t="shared" si="119"/>
        <v>49.904924582189238</v>
      </c>
      <c r="R419">
        <f t="shared" si="112"/>
        <v>739.1709363358284</v>
      </c>
      <c r="S419">
        <f t="shared" si="113"/>
        <v>1776.4261868200635</v>
      </c>
      <c r="T419">
        <f t="shared" si="114"/>
        <v>4707.5293950731684</v>
      </c>
      <c r="U419">
        <v>65.400000000000006</v>
      </c>
      <c r="V419">
        <v>0.18</v>
      </c>
      <c r="W419">
        <v>0</v>
      </c>
    </row>
    <row r="420" spans="1:34" x14ac:dyDescent="0.25">
      <c r="A420" t="s">
        <v>103</v>
      </c>
      <c r="B420" t="s">
        <v>104</v>
      </c>
      <c r="C420">
        <v>9</v>
      </c>
      <c r="D420">
        <v>1</v>
      </c>
      <c r="E420">
        <f t="shared" si="108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f t="shared" si="110"/>
        <v>1.8738577039644053</v>
      </c>
      <c r="P420">
        <f t="shared" si="111"/>
        <v>20.652529559028189</v>
      </c>
      <c r="Q420">
        <f t="shared" si="119"/>
        <v>52.457425079931603</v>
      </c>
      <c r="R420">
        <f t="shared" si="112"/>
        <v>849.96856780960229</v>
      </c>
      <c r="S420">
        <f t="shared" si="113"/>
        <v>2042.7026383311756</v>
      </c>
      <c r="T420">
        <f t="shared" si="114"/>
        <v>5413.1619915776155</v>
      </c>
      <c r="U420">
        <v>65.400000000000006</v>
      </c>
      <c r="V420">
        <v>0.18</v>
      </c>
      <c r="W420">
        <v>0</v>
      </c>
    </row>
    <row r="421" spans="1:34" x14ac:dyDescent="0.25">
      <c r="A421" t="s">
        <v>103</v>
      </c>
      <c r="B421" t="s">
        <v>104</v>
      </c>
      <c r="C421">
        <v>10</v>
      </c>
      <c r="D421">
        <v>1</v>
      </c>
      <c r="E421">
        <f t="shared" si="108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f t="shared" si="110"/>
        <v>2.0949881368275705</v>
      </c>
      <c r="P421">
        <f t="shared" si="111"/>
        <v>21.491910515869385</v>
      </c>
      <c r="Q421">
        <f t="shared" si="119"/>
        <v>54.589452710308244</v>
      </c>
      <c r="R421">
        <f t="shared" si="112"/>
        <v>950.27176421676768</v>
      </c>
      <c r="S421">
        <f t="shared" si="113"/>
        <v>2283.7581451977112</v>
      </c>
      <c r="T421">
        <f t="shared" si="114"/>
        <v>6051.9590847739346</v>
      </c>
      <c r="U421">
        <v>65.400000000000006</v>
      </c>
      <c r="V421">
        <v>0.18</v>
      </c>
      <c r="W421">
        <v>0</v>
      </c>
    </row>
    <row r="422" spans="1:34" x14ac:dyDescent="0.25">
      <c r="A422" s="2" t="s">
        <v>105</v>
      </c>
      <c r="B422" t="s">
        <v>700</v>
      </c>
      <c r="C422">
        <v>1</v>
      </c>
      <c r="D422">
        <v>3</v>
      </c>
      <c r="E422">
        <f t="shared" si="108"/>
        <v>3</v>
      </c>
      <c r="F422">
        <v>350</v>
      </c>
      <c r="G422">
        <v>927.5</v>
      </c>
      <c r="H422">
        <f t="shared" ref="H422:H431" si="120">F422*3.65*5.7*20/1000</f>
        <v>145.63499999999999</v>
      </c>
      <c r="I422">
        <f t="shared" ref="I422:J431" si="121">H422/1000</f>
        <v>0.14563499999999999</v>
      </c>
      <c r="J422">
        <f t="shared" si="121"/>
        <v>1.45635E-4</v>
      </c>
      <c r="K422">
        <f t="shared" ref="K422:K431" si="122">I422*2.204</f>
        <v>0.32097954000000001</v>
      </c>
      <c r="L422" s="3">
        <v>1.2699999999999999E-2</v>
      </c>
      <c r="M422" s="3">
        <v>3.1</v>
      </c>
      <c r="N422">
        <f t="shared" ref="N422:N431" si="123">(H422/L422)^(1/M422)</f>
        <v>20.39406896596369</v>
      </c>
      <c r="O422">
        <f t="shared" si="110"/>
        <v>5.3066126739263684</v>
      </c>
      <c r="P422">
        <f t="shared" si="111"/>
        <v>19.844660747601765</v>
      </c>
      <c r="Q422" s="2">
        <f t="shared" ref="Q422:Q431" si="124">U422*(1-EXP(-V422*(E422-W422)))</f>
        <v>50.405438298908479</v>
      </c>
      <c r="R422" s="2">
        <f t="shared" si="112"/>
        <v>2407.0418820143009</v>
      </c>
      <c r="S422" s="2">
        <f t="shared" si="113"/>
        <v>5784.7678010437421</v>
      </c>
      <c r="T422" s="2">
        <f t="shared" si="114"/>
        <v>15329.634672765917</v>
      </c>
      <c r="U422">
        <f t="shared" ref="U422:U431" si="125">$AH$424</f>
        <v>109.97499999999999</v>
      </c>
      <c r="V422">
        <f t="shared" ref="V422:V431" si="126">$AH$425</f>
        <v>0.14750000000000002</v>
      </c>
      <c r="W422">
        <f t="shared" ref="W422:W431" si="127">$AH$426</f>
        <v>-1.1566666666666667</v>
      </c>
      <c r="Y422" t="s">
        <v>701</v>
      </c>
      <c r="Z422" t="s">
        <v>702</v>
      </c>
      <c r="AA422" t="s">
        <v>703</v>
      </c>
      <c r="AB422" t="s">
        <v>704</v>
      </c>
      <c r="AC422" t="s">
        <v>705</v>
      </c>
      <c r="AD422" t="s">
        <v>706</v>
      </c>
      <c r="AE422" t="s">
        <v>707</v>
      </c>
      <c r="AF422" t="s">
        <v>708</v>
      </c>
      <c r="AH422" t="s">
        <v>453</v>
      </c>
    </row>
    <row r="423" spans="1:34" x14ac:dyDescent="0.25">
      <c r="A423" s="2" t="s">
        <v>105</v>
      </c>
      <c r="B423" t="s">
        <v>700</v>
      </c>
      <c r="C423">
        <v>2</v>
      </c>
      <c r="D423">
        <v>3</v>
      </c>
      <c r="E423">
        <f t="shared" si="108"/>
        <v>6</v>
      </c>
      <c r="F423">
        <v>1200</v>
      </c>
      <c r="G423">
        <v>3180</v>
      </c>
      <c r="H423">
        <f t="shared" si="120"/>
        <v>499.32</v>
      </c>
      <c r="I423">
        <f t="shared" si="121"/>
        <v>0.49931999999999999</v>
      </c>
      <c r="J423">
        <f t="shared" si="121"/>
        <v>4.9932000000000004E-4</v>
      </c>
      <c r="K423">
        <f t="shared" si="122"/>
        <v>1.10050128</v>
      </c>
      <c r="L423" s="3">
        <v>1.2699999999999999E-2</v>
      </c>
      <c r="M423" s="3">
        <v>3.1</v>
      </c>
      <c r="N423">
        <f t="shared" si="123"/>
        <v>30.347369004339537</v>
      </c>
      <c r="O423">
        <f t="shared" si="110"/>
        <v>15.825455677808614</v>
      </c>
      <c r="P423">
        <f t="shared" si="111"/>
        <v>28.23063988353141</v>
      </c>
      <c r="Q423" s="2">
        <f t="shared" si="124"/>
        <v>71.705825304169778</v>
      </c>
      <c r="R423" s="2">
        <f t="shared" si="112"/>
        <v>7178.3144840419727</v>
      </c>
      <c r="S423" s="2">
        <f t="shared" si="113"/>
        <v>17251.416688396956</v>
      </c>
      <c r="T423" s="2">
        <f t="shared" si="114"/>
        <v>45716.254224251934</v>
      </c>
      <c r="U423">
        <f t="shared" si="125"/>
        <v>109.97499999999999</v>
      </c>
      <c r="V423">
        <f t="shared" si="126"/>
        <v>0.14750000000000002</v>
      </c>
      <c r="W423">
        <f t="shared" si="127"/>
        <v>-1.1566666666666667</v>
      </c>
      <c r="X423" t="s">
        <v>422</v>
      </c>
      <c r="AA423">
        <v>180</v>
      </c>
      <c r="AB423">
        <v>152</v>
      </c>
      <c r="AC423">
        <v>84</v>
      </c>
      <c r="AD423">
        <v>26</v>
      </c>
      <c r="AE423">
        <v>75.400000000000006</v>
      </c>
      <c r="AF423">
        <v>127</v>
      </c>
      <c r="AH423">
        <f>AVERAGE(AB423:AF423)</f>
        <v>92.88</v>
      </c>
    </row>
    <row r="424" spans="1:34" x14ac:dyDescent="0.25">
      <c r="A424" s="2" t="s">
        <v>105</v>
      </c>
      <c r="B424" t="s">
        <v>700</v>
      </c>
      <c r="C424">
        <v>3</v>
      </c>
      <c r="D424">
        <v>3</v>
      </c>
      <c r="E424">
        <f t="shared" si="108"/>
        <v>9</v>
      </c>
      <c r="F424">
        <v>1800</v>
      </c>
      <c r="G424">
        <v>4770</v>
      </c>
      <c r="H424">
        <f t="shared" si="120"/>
        <v>748.98</v>
      </c>
      <c r="I424">
        <f t="shared" si="121"/>
        <v>0.74897999999999998</v>
      </c>
      <c r="J424">
        <f t="shared" si="121"/>
        <v>7.4898E-4</v>
      </c>
      <c r="K424">
        <f t="shared" si="122"/>
        <v>1.65075192</v>
      </c>
      <c r="L424" s="3">
        <v>1.2699999999999999E-2</v>
      </c>
      <c r="M424" s="3">
        <v>3.1</v>
      </c>
      <c r="N424">
        <f t="shared" si="123"/>
        <v>34.587938444619454</v>
      </c>
      <c r="O424">
        <f t="shared" si="110"/>
        <v>27.19543529522754</v>
      </c>
      <c r="P424">
        <f t="shared" si="111"/>
        <v>33.618030547219952</v>
      </c>
      <c r="Q424" s="2">
        <f t="shared" si="124"/>
        <v>85.389797589938681</v>
      </c>
      <c r="R424" s="2">
        <f t="shared" si="112"/>
        <v>12335.656618930945</v>
      </c>
      <c r="S424" s="2">
        <f t="shared" si="113"/>
        <v>29645.894301684559</v>
      </c>
      <c r="T424" s="2">
        <f t="shared" si="114"/>
        <v>78561.619899464073</v>
      </c>
      <c r="U424">
        <f t="shared" si="125"/>
        <v>109.97499999999999</v>
      </c>
      <c r="V424">
        <f t="shared" si="126"/>
        <v>0.14750000000000002</v>
      </c>
      <c r="W424">
        <f t="shared" si="127"/>
        <v>-1.1566666666666667</v>
      </c>
      <c r="X424" t="s">
        <v>18</v>
      </c>
      <c r="AB424">
        <v>166</v>
      </c>
      <c r="AC424">
        <v>78.5</v>
      </c>
      <c r="AE424">
        <v>75.400000000000006</v>
      </c>
      <c r="AF424">
        <v>120</v>
      </c>
      <c r="AH424">
        <f>AVERAGE(AB424:AF424)</f>
        <v>109.97499999999999</v>
      </c>
    </row>
    <row r="425" spans="1:34" x14ac:dyDescent="0.25">
      <c r="A425" s="2" t="s">
        <v>105</v>
      </c>
      <c r="B425" t="s">
        <v>700</v>
      </c>
      <c r="C425">
        <v>4</v>
      </c>
      <c r="D425">
        <v>3</v>
      </c>
      <c r="E425">
        <f t="shared" si="108"/>
        <v>12</v>
      </c>
      <c r="F425">
        <v>3129.99</v>
      </c>
      <c r="G425">
        <v>8294.48</v>
      </c>
      <c r="H425">
        <f t="shared" si="120"/>
        <v>1302.388839</v>
      </c>
      <c r="I425">
        <f t="shared" si="121"/>
        <v>1.302388839</v>
      </c>
      <c r="J425">
        <f t="shared" si="121"/>
        <v>1.3023888389999999E-3</v>
      </c>
      <c r="K425">
        <f t="shared" si="122"/>
        <v>2.8704650011560005</v>
      </c>
      <c r="L425" s="3">
        <v>1.2699999999999999E-2</v>
      </c>
      <c r="M425" s="3">
        <v>3.1</v>
      </c>
      <c r="N425">
        <f t="shared" si="123"/>
        <v>41.345787911509852</v>
      </c>
      <c r="O425">
        <f t="shared" si="110"/>
        <v>36.848548617520372</v>
      </c>
      <c r="P425">
        <f t="shared" si="111"/>
        <v>37.07904299344051</v>
      </c>
      <c r="Q425" s="2">
        <f t="shared" si="124"/>
        <v>94.180769203338897</v>
      </c>
      <c r="R425" s="2">
        <f t="shared" si="112"/>
        <v>16714.240375901685</v>
      </c>
      <c r="S425" s="2">
        <f t="shared" si="113"/>
        <v>40168.80647897545</v>
      </c>
      <c r="T425" s="2">
        <f t="shared" si="114"/>
        <v>106447.33716928493</v>
      </c>
      <c r="U425">
        <f t="shared" si="125"/>
        <v>109.97499999999999</v>
      </c>
      <c r="V425">
        <f t="shared" si="126"/>
        <v>0.14750000000000002</v>
      </c>
      <c r="W425">
        <f t="shared" si="127"/>
        <v>-1.1566666666666667</v>
      </c>
      <c r="X425" t="s">
        <v>19</v>
      </c>
      <c r="AB425">
        <v>0.14000000000000001</v>
      </c>
      <c r="AC425">
        <v>0.2</v>
      </c>
      <c r="AE425">
        <v>0.12</v>
      </c>
      <c r="AF425">
        <v>0.13</v>
      </c>
      <c r="AH425">
        <f>AVERAGE(AB425:AF425)</f>
        <v>0.14750000000000002</v>
      </c>
    </row>
    <row r="426" spans="1:34" x14ac:dyDescent="0.25">
      <c r="A426" s="2" t="s">
        <v>105</v>
      </c>
      <c r="B426" t="s">
        <v>700</v>
      </c>
      <c r="C426">
        <v>5</v>
      </c>
      <c r="D426">
        <v>3</v>
      </c>
      <c r="E426">
        <f t="shared" si="108"/>
        <v>15</v>
      </c>
      <c r="F426">
        <v>7000</v>
      </c>
      <c r="G426">
        <v>18550</v>
      </c>
      <c r="H426">
        <f t="shared" si="120"/>
        <v>2912.7</v>
      </c>
      <c r="I426">
        <f t="shared" si="121"/>
        <v>2.9126999999999996</v>
      </c>
      <c r="J426">
        <f t="shared" si="121"/>
        <v>2.9126999999999998E-3</v>
      </c>
      <c r="K426">
        <f t="shared" si="122"/>
        <v>6.4195907999999999</v>
      </c>
      <c r="L426" s="3">
        <v>1.2699999999999999E-2</v>
      </c>
      <c r="M426" s="3">
        <v>3.1</v>
      </c>
      <c r="N426">
        <f t="shared" si="123"/>
        <v>53.603232342129658</v>
      </c>
      <c r="O426">
        <f t="shared" si="110"/>
        <v>44.13919184127549</v>
      </c>
      <c r="P426">
        <f t="shared" si="111"/>
        <v>39.302495477335995</v>
      </c>
      <c r="Q426" s="2">
        <f t="shared" si="124"/>
        <v>99.828338512433433</v>
      </c>
      <c r="R426" s="2">
        <f t="shared" si="112"/>
        <v>20021.224447421999</v>
      </c>
      <c r="S426" s="2">
        <f t="shared" si="113"/>
        <v>48116.376946459983</v>
      </c>
      <c r="T426" s="2">
        <f t="shared" si="114"/>
        <v>127508.39890811895</v>
      </c>
      <c r="U426">
        <f t="shared" si="125"/>
        <v>109.97499999999999</v>
      </c>
      <c r="V426">
        <f t="shared" si="126"/>
        <v>0.14750000000000002</v>
      </c>
      <c r="W426">
        <f t="shared" si="127"/>
        <v>-1.1566666666666667</v>
      </c>
      <c r="X426" t="s">
        <v>477</v>
      </c>
      <c r="AB426">
        <v>-1.29</v>
      </c>
      <c r="AC426">
        <v>-1.78</v>
      </c>
      <c r="AF426">
        <v>-0.4</v>
      </c>
      <c r="AH426">
        <f>AVERAGE(AB426:AF426)</f>
        <v>-1.1566666666666667</v>
      </c>
    </row>
    <row r="427" spans="1:34" x14ac:dyDescent="0.25">
      <c r="A427" s="2" t="s">
        <v>105</v>
      </c>
      <c r="B427" t="s">
        <v>700</v>
      </c>
      <c r="C427">
        <v>6</v>
      </c>
      <c r="D427">
        <v>3</v>
      </c>
      <c r="E427">
        <f t="shared" si="108"/>
        <v>18</v>
      </c>
      <c r="F427">
        <v>9000</v>
      </c>
      <c r="G427">
        <v>23850</v>
      </c>
      <c r="H427">
        <f t="shared" si="120"/>
        <v>3744.9</v>
      </c>
      <c r="I427">
        <f t="shared" si="121"/>
        <v>3.7448999999999999</v>
      </c>
      <c r="J427">
        <f t="shared" si="121"/>
        <v>3.7448999999999998E-3</v>
      </c>
      <c r="K427">
        <f t="shared" si="122"/>
        <v>8.2537596000000004</v>
      </c>
      <c r="L427" s="3">
        <v>1.2699999999999999E-2</v>
      </c>
      <c r="M427" s="3">
        <v>3.1</v>
      </c>
      <c r="N427">
        <f t="shared" si="123"/>
        <v>58.129805837341053</v>
      </c>
      <c r="O427">
        <f t="shared" si="110"/>
        <v>49.304498967765248</v>
      </c>
      <c r="P427">
        <f t="shared" si="111"/>
        <v>40.730904367786422</v>
      </c>
      <c r="Q427" s="2">
        <f t="shared" si="124"/>
        <v>103.45649709417751</v>
      </c>
      <c r="R427" s="2">
        <f t="shared" si="112"/>
        <v>22364.171135055134</v>
      </c>
      <c r="S427" s="2">
        <f t="shared" si="113"/>
        <v>53747.106789365862</v>
      </c>
      <c r="T427" s="2">
        <f t="shared" si="114"/>
        <v>142429.83299181954</v>
      </c>
      <c r="U427">
        <f t="shared" si="125"/>
        <v>109.97499999999999</v>
      </c>
      <c r="V427">
        <f t="shared" si="126"/>
        <v>0.14750000000000002</v>
      </c>
      <c r="W427">
        <f t="shared" si="127"/>
        <v>-1.1566666666666667</v>
      </c>
      <c r="X427" t="s">
        <v>423</v>
      </c>
      <c r="AB427" t="s">
        <v>709</v>
      </c>
      <c r="AC427" t="s">
        <v>710</v>
      </c>
      <c r="AE427" t="s">
        <v>711</v>
      </c>
      <c r="AF427" t="s">
        <v>711</v>
      </c>
    </row>
    <row r="428" spans="1:34" x14ac:dyDescent="0.25">
      <c r="A428" s="2" t="s">
        <v>105</v>
      </c>
      <c r="B428" t="s">
        <v>700</v>
      </c>
      <c r="C428">
        <v>7</v>
      </c>
      <c r="D428">
        <v>3</v>
      </c>
      <c r="E428">
        <f t="shared" si="108"/>
        <v>21</v>
      </c>
      <c r="F428">
        <v>13000</v>
      </c>
      <c r="G428">
        <v>34450</v>
      </c>
      <c r="H428">
        <f t="shared" si="120"/>
        <v>5409.3</v>
      </c>
      <c r="I428">
        <f t="shared" si="121"/>
        <v>5.4093</v>
      </c>
      <c r="J428">
        <f t="shared" si="121"/>
        <v>5.4092999999999997E-3</v>
      </c>
      <c r="K428">
        <f t="shared" si="122"/>
        <v>11.922097200000001</v>
      </c>
      <c r="L428" s="3">
        <v>1.2699999999999999E-2</v>
      </c>
      <c r="M428" s="3">
        <v>3.1</v>
      </c>
      <c r="N428">
        <f t="shared" si="123"/>
        <v>65.450847322550857</v>
      </c>
      <c r="O428">
        <f t="shared" si="110"/>
        <v>52.830142802289309</v>
      </c>
      <c r="P428">
        <f t="shared" si="111"/>
        <v>41.648554721502599</v>
      </c>
      <c r="Q428" s="2">
        <f t="shared" si="124"/>
        <v>105.78732899261659</v>
      </c>
      <c r="R428" s="2">
        <f t="shared" si="112"/>
        <v>23963.378179590727</v>
      </c>
      <c r="S428" s="2">
        <f t="shared" si="113"/>
        <v>57590.430616656398</v>
      </c>
      <c r="T428" s="2">
        <f t="shared" si="114"/>
        <v>152614.64113413944</v>
      </c>
      <c r="U428">
        <f t="shared" si="125"/>
        <v>109.97499999999999</v>
      </c>
      <c r="V428">
        <f t="shared" si="126"/>
        <v>0.14750000000000002</v>
      </c>
      <c r="W428">
        <f t="shared" si="127"/>
        <v>-1.1566666666666667</v>
      </c>
      <c r="X428" t="s">
        <v>434</v>
      </c>
      <c r="AA428" s="7" t="s">
        <v>712</v>
      </c>
      <c r="AB428" s="7" t="s">
        <v>713</v>
      </c>
      <c r="AC428" s="7" t="s">
        <v>714</v>
      </c>
      <c r="AD428" s="7" t="s">
        <v>715</v>
      </c>
      <c r="AE428" s="7" t="s">
        <v>716</v>
      </c>
      <c r="AF428" s="7" t="s">
        <v>717</v>
      </c>
    </row>
    <row r="429" spans="1:34" x14ac:dyDescent="0.25">
      <c r="A429" s="2" t="s">
        <v>105</v>
      </c>
      <c r="B429" t="s">
        <v>700</v>
      </c>
      <c r="C429">
        <v>8</v>
      </c>
      <c r="D429">
        <v>3</v>
      </c>
      <c r="E429">
        <f t="shared" si="108"/>
        <v>24</v>
      </c>
      <c r="F429">
        <v>18000</v>
      </c>
      <c r="G429">
        <v>40770</v>
      </c>
      <c r="H429">
        <f t="shared" si="120"/>
        <v>7489.8</v>
      </c>
      <c r="I429">
        <f t="shared" si="121"/>
        <v>7.4897999999999998</v>
      </c>
      <c r="J429">
        <f t="shared" si="121"/>
        <v>7.4897999999999996E-3</v>
      </c>
      <c r="K429">
        <f t="shared" si="122"/>
        <v>16.507519200000001</v>
      </c>
      <c r="L429" s="3">
        <v>1.2699999999999999E-2</v>
      </c>
      <c r="M429" s="3">
        <v>3.1</v>
      </c>
      <c r="N429">
        <f t="shared" si="123"/>
        <v>72.695130842069446</v>
      </c>
      <c r="O429">
        <f t="shared" si="110"/>
        <v>55.18294646876253</v>
      </c>
      <c r="P429">
        <f t="shared" si="111"/>
        <v>42.238079315829289</v>
      </c>
      <c r="Q429" s="2">
        <f t="shared" si="124"/>
        <v>107.28472146220639</v>
      </c>
      <c r="R429" s="2">
        <f t="shared" si="112"/>
        <v>25030.593239997157</v>
      </c>
      <c r="S429" s="2">
        <f t="shared" si="113"/>
        <v>60155.234895450987</v>
      </c>
      <c r="T429" s="2">
        <f t="shared" si="114"/>
        <v>159411.37247294511</v>
      </c>
      <c r="U429">
        <f t="shared" si="125"/>
        <v>109.97499999999999</v>
      </c>
      <c r="V429">
        <f t="shared" si="126"/>
        <v>0.14750000000000002</v>
      </c>
      <c r="W429">
        <f t="shared" si="127"/>
        <v>-1.1566666666666667</v>
      </c>
    </row>
    <row r="430" spans="1:34" x14ac:dyDescent="0.25">
      <c r="A430" s="2" t="s">
        <v>105</v>
      </c>
      <c r="B430" t="s">
        <v>700</v>
      </c>
      <c r="C430">
        <v>9</v>
      </c>
      <c r="D430">
        <v>3</v>
      </c>
      <c r="E430">
        <f t="shared" si="108"/>
        <v>27</v>
      </c>
      <c r="F430">
        <v>30000</v>
      </c>
      <c r="G430">
        <v>79500</v>
      </c>
      <c r="H430">
        <f t="shared" si="120"/>
        <v>12483</v>
      </c>
      <c r="I430">
        <f t="shared" si="121"/>
        <v>12.483000000000001</v>
      </c>
      <c r="J430">
        <f t="shared" si="121"/>
        <v>1.2483000000000001E-2</v>
      </c>
      <c r="K430">
        <f t="shared" si="122"/>
        <v>27.512532000000004</v>
      </c>
      <c r="L430" s="3">
        <v>1.2699999999999999E-2</v>
      </c>
      <c r="M430" s="3">
        <v>3.1</v>
      </c>
      <c r="N430">
        <f t="shared" si="123"/>
        <v>85.717488006455042</v>
      </c>
      <c r="O430">
        <f t="shared" si="110"/>
        <v>56.73130678646951</v>
      </c>
      <c r="P430">
        <f t="shared" si="111"/>
        <v>42.616806622922482</v>
      </c>
      <c r="Q430" s="2">
        <f t="shared" si="124"/>
        <v>108.24668882222311</v>
      </c>
      <c r="R430" s="2">
        <f t="shared" si="112"/>
        <v>25732.918501360557</v>
      </c>
      <c r="S430" s="2">
        <f t="shared" si="113"/>
        <v>61843.11103427194</v>
      </c>
      <c r="T430" s="2">
        <f t="shared" si="114"/>
        <v>163884.24424082064</v>
      </c>
      <c r="U430">
        <f t="shared" si="125"/>
        <v>109.97499999999999</v>
      </c>
      <c r="V430">
        <f t="shared" si="126"/>
        <v>0.14750000000000002</v>
      </c>
      <c r="W430">
        <f t="shared" si="127"/>
        <v>-1.1566666666666667</v>
      </c>
    </row>
    <row r="431" spans="1:34" x14ac:dyDescent="0.25">
      <c r="A431" s="2" t="s">
        <v>105</v>
      </c>
      <c r="B431" t="s">
        <v>700</v>
      </c>
      <c r="C431">
        <v>10</v>
      </c>
      <c r="D431">
        <v>3</v>
      </c>
      <c r="E431">
        <f t="shared" si="108"/>
        <v>30</v>
      </c>
      <c r="F431">
        <v>32000</v>
      </c>
      <c r="G431">
        <v>85500</v>
      </c>
      <c r="H431">
        <f t="shared" si="120"/>
        <v>13315.2</v>
      </c>
      <c r="I431">
        <f t="shared" si="121"/>
        <v>13.315200000000001</v>
      </c>
      <c r="J431">
        <f t="shared" si="121"/>
        <v>1.3315200000000001E-2</v>
      </c>
      <c r="K431">
        <f t="shared" si="122"/>
        <v>29.346700800000004</v>
      </c>
      <c r="L431" s="3">
        <v>1.2699999999999999E-2</v>
      </c>
      <c r="M431" s="3">
        <v>3.1</v>
      </c>
      <c r="N431">
        <f t="shared" si="123"/>
        <v>87.52073557813911</v>
      </c>
      <c r="O431">
        <f t="shared" si="110"/>
        <v>57.741387209130806</v>
      </c>
      <c r="P431">
        <f t="shared" si="111"/>
        <v>42.860111778497689</v>
      </c>
      <c r="Q431" s="2">
        <f t="shared" si="124"/>
        <v>108.86468391738413</v>
      </c>
      <c r="R431" s="2">
        <f t="shared" si="112"/>
        <v>26191.083819039475</v>
      </c>
      <c r="S431" s="2">
        <f t="shared" si="113"/>
        <v>62944.205284882177</v>
      </c>
      <c r="T431" s="2">
        <f t="shared" si="114"/>
        <v>166802.14400493776</v>
      </c>
      <c r="U431">
        <f t="shared" si="125"/>
        <v>109.97499999999999</v>
      </c>
      <c r="V431">
        <f t="shared" si="126"/>
        <v>0.14750000000000002</v>
      </c>
      <c r="W431">
        <f t="shared" si="127"/>
        <v>-1.1566666666666667</v>
      </c>
    </row>
    <row r="432" spans="1:34" x14ac:dyDescent="0.25">
      <c r="A432" t="s">
        <v>107</v>
      </c>
      <c r="B432" t="s">
        <v>108</v>
      </c>
      <c r="C432">
        <v>1</v>
      </c>
      <c r="D432">
        <v>5</v>
      </c>
      <c r="E432">
        <f t="shared" si="108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f t="shared" si="110"/>
        <v>1.1205783030791518</v>
      </c>
      <c r="P432">
        <f t="shared" si="111"/>
        <v>20.500680246486095</v>
      </c>
      <c r="Q432">
        <f t="shared" ref="Q432:Q441" si="128">150*(1-EXP(-0.041*(E432+5.4)))</f>
        <v>52.071727826074678</v>
      </c>
      <c r="R432">
        <f t="shared" si="112"/>
        <v>508.28637274412449</v>
      </c>
      <c r="S432">
        <f t="shared" si="113"/>
        <v>1221.5486006828276</v>
      </c>
      <c r="T432">
        <f t="shared" si="114"/>
        <v>3237.103791809493</v>
      </c>
      <c r="U432">
        <v>150</v>
      </c>
      <c r="V432">
        <v>4.1000000000000002E-2</v>
      </c>
      <c r="W432">
        <v>-5.4</v>
      </c>
      <c r="Y432" t="s">
        <v>718</v>
      </c>
    </row>
    <row r="433" spans="1:25" x14ac:dyDescent="0.25">
      <c r="A433" t="s">
        <v>107</v>
      </c>
      <c r="B433" t="s">
        <v>108</v>
      </c>
      <c r="C433">
        <v>2</v>
      </c>
      <c r="D433">
        <v>5</v>
      </c>
      <c r="E433">
        <f t="shared" si="108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f t="shared" si="110"/>
        <v>2.7483643357371621</v>
      </c>
      <c r="P433">
        <f t="shared" si="111"/>
        <v>27.646848768781553</v>
      </c>
      <c r="Q433">
        <f t="shared" si="128"/>
        <v>70.222995872705141</v>
      </c>
      <c r="R433">
        <f t="shared" si="112"/>
        <v>1246.6385752361687</v>
      </c>
      <c r="S433">
        <f t="shared" si="113"/>
        <v>2996.007150291201</v>
      </c>
      <c r="T433">
        <f t="shared" si="114"/>
        <v>7939.418948271682</v>
      </c>
      <c r="U433">
        <v>150</v>
      </c>
      <c r="V433">
        <v>4.1000000000000002E-2</v>
      </c>
      <c r="W433">
        <v>-5.4</v>
      </c>
    </row>
    <row r="434" spans="1:25" x14ac:dyDescent="0.25">
      <c r="A434" t="s">
        <v>107</v>
      </c>
      <c r="B434" t="s">
        <v>108</v>
      </c>
      <c r="C434">
        <v>3</v>
      </c>
      <c r="D434">
        <v>5</v>
      </c>
      <c r="E434">
        <f t="shared" si="108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f t="shared" si="110"/>
        <v>4.8757835465487558</v>
      </c>
      <c r="P434">
        <f t="shared" si="111"/>
        <v>33.468455778093265</v>
      </c>
      <c r="Q434">
        <f t="shared" si="128"/>
        <v>85.009877676356894</v>
      </c>
      <c r="R434">
        <f t="shared" si="112"/>
        <v>2211.6208446574719</v>
      </c>
      <c r="S434">
        <f t="shared" si="113"/>
        <v>5315.1185884582355</v>
      </c>
      <c r="T434">
        <f t="shared" si="114"/>
        <v>14085.064259414323</v>
      </c>
      <c r="U434">
        <v>150</v>
      </c>
      <c r="V434">
        <v>4.1000000000000002E-2</v>
      </c>
      <c r="W434">
        <v>-5.4</v>
      </c>
    </row>
    <row r="435" spans="1:25" x14ac:dyDescent="0.25">
      <c r="A435" t="s">
        <v>107</v>
      </c>
      <c r="B435" t="s">
        <v>108</v>
      </c>
      <c r="C435">
        <v>4</v>
      </c>
      <c r="D435">
        <v>5</v>
      </c>
      <c r="E435">
        <f t="shared" si="108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f t="shared" si="110"/>
        <v>7.2560960640290855</v>
      </c>
      <c r="P435">
        <f t="shared" si="111"/>
        <v>38.211012305430934</v>
      </c>
      <c r="Q435">
        <f t="shared" si="128"/>
        <v>97.055971255794574</v>
      </c>
      <c r="R435">
        <f t="shared" si="112"/>
        <v>3291.3137248274465</v>
      </c>
      <c r="S435">
        <f t="shared" si="113"/>
        <v>7909.9104177540185</v>
      </c>
      <c r="T435">
        <f t="shared" si="114"/>
        <v>20961.262607048149</v>
      </c>
      <c r="U435">
        <v>150</v>
      </c>
      <c r="V435">
        <v>4.1000000000000002E-2</v>
      </c>
      <c r="W435">
        <v>-5.4</v>
      </c>
    </row>
    <row r="436" spans="1:25" x14ac:dyDescent="0.25">
      <c r="A436" t="s">
        <v>107</v>
      </c>
      <c r="B436" t="s">
        <v>108</v>
      </c>
      <c r="C436">
        <v>5</v>
      </c>
      <c r="D436">
        <v>5</v>
      </c>
      <c r="E436">
        <f t="shared" si="108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f t="shared" si="110"/>
        <v>9.6871272492554823</v>
      </c>
      <c r="P436">
        <f t="shared" si="111"/>
        <v>42.074523253356006</v>
      </c>
      <c r="Q436">
        <f t="shared" si="128"/>
        <v>106.86928906352426</v>
      </c>
      <c r="R436">
        <f t="shared" si="112"/>
        <v>4394.0122330630593</v>
      </c>
      <c r="S436">
        <f t="shared" si="113"/>
        <v>10559.990947039316</v>
      </c>
      <c r="T436">
        <f t="shared" si="114"/>
        <v>27983.976009654187</v>
      </c>
      <c r="U436">
        <v>150</v>
      </c>
      <c r="V436">
        <v>4.1000000000000002E-2</v>
      </c>
      <c r="W436">
        <v>-5.4</v>
      </c>
    </row>
    <row r="437" spans="1:25" x14ac:dyDescent="0.25">
      <c r="A437" t="s">
        <v>107</v>
      </c>
      <c r="B437" t="s">
        <v>108</v>
      </c>
      <c r="C437">
        <v>6</v>
      </c>
      <c r="D437">
        <v>5</v>
      </c>
      <c r="E437">
        <f t="shared" ref="E437:E500" si="129">C437*D437</f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f t="shared" si="110"/>
        <v>12.02775146730365</v>
      </c>
      <c r="P437">
        <f t="shared" si="111"/>
        <v>45.221922079009289</v>
      </c>
      <c r="Q437">
        <f t="shared" si="128"/>
        <v>114.86368208068359</v>
      </c>
      <c r="R437">
        <f t="shared" si="112"/>
        <v>5455.7027820230469</v>
      </c>
      <c r="S437">
        <f t="shared" si="113"/>
        <v>13111.518341800162</v>
      </c>
      <c r="T437">
        <f t="shared" si="114"/>
        <v>34745.523605770424</v>
      </c>
      <c r="U437">
        <v>150</v>
      </c>
      <c r="V437">
        <v>4.1000000000000002E-2</v>
      </c>
      <c r="W437">
        <v>-5.4</v>
      </c>
    </row>
    <row r="438" spans="1:25" x14ac:dyDescent="0.25">
      <c r="A438" t="s">
        <v>107</v>
      </c>
      <c r="B438" t="s">
        <v>108</v>
      </c>
      <c r="C438">
        <v>7</v>
      </c>
      <c r="D438">
        <v>5</v>
      </c>
      <c r="E438">
        <f t="shared" si="129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f t="shared" si="110"/>
        <v>14.191812047174052</v>
      </c>
      <c r="P438">
        <f t="shared" si="111"/>
        <v>47.785942086004169</v>
      </c>
      <c r="Q438">
        <f t="shared" si="128"/>
        <v>121.37629289845059</v>
      </c>
      <c r="R438">
        <f t="shared" si="112"/>
        <v>6437.3053166414402</v>
      </c>
      <c r="S438">
        <f t="shared" si="113"/>
        <v>15470.57273886431</v>
      </c>
      <c r="T438">
        <f t="shared" si="114"/>
        <v>40997.017757990419</v>
      </c>
      <c r="U438">
        <v>150</v>
      </c>
      <c r="V438">
        <v>4.1000000000000002E-2</v>
      </c>
      <c r="W438">
        <v>-5.4</v>
      </c>
    </row>
    <row r="439" spans="1:25" x14ac:dyDescent="0.25">
      <c r="A439" t="s">
        <v>107</v>
      </c>
      <c r="B439" t="s">
        <v>108</v>
      </c>
      <c r="C439">
        <v>8</v>
      </c>
      <c r="D439">
        <v>5</v>
      </c>
      <c r="E439">
        <f t="shared" si="129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f t="shared" si="110"/>
        <v>16.135359691176202</v>
      </c>
      <c r="P439">
        <f t="shared" si="111"/>
        <v>49.87471410392773</v>
      </c>
      <c r="Q439">
        <f t="shared" si="128"/>
        <v>126.68177382397643</v>
      </c>
      <c r="R439">
        <f t="shared" si="112"/>
        <v>7318.8847471111585</v>
      </c>
      <c r="S439">
        <f t="shared" si="113"/>
        <v>17589.244765948468</v>
      </c>
      <c r="T439">
        <f t="shared" si="114"/>
        <v>46611.498629763439</v>
      </c>
      <c r="U439">
        <v>150</v>
      </c>
      <c r="V439">
        <v>4.1000000000000002E-2</v>
      </c>
      <c r="W439">
        <v>-5.4</v>
      </c>
    </row>
    <row r="440" spans="1:25" x14ac:dyDescent="0.25">
      <c r="A440" t="s">
        <v>107</v>
      </c>
      <c r="B440" t="s">
        <v>108</v>
      </c>
      <c r="C440">
        <v>9</v>
      </c>
      <c r="D440">
        <v>5</v>
      </c>
      <c r="E440">
        <f t="shared" si="129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f t="shared" si="110"/>
        <v>17.843852150149218</v>
      </c>
      <c r="P440">
        <f t="shared" si="111"/>
        <v>51.576326622924405</v>
      </c>
      <c r="Q440">
        <f t="shared" si="128"/>
        <v>131.003869622228</v>
      </c>
      <c r="R440">
        <f t="shared" si="112"/>
        <v>8093.8448123255794</v>
      </c>
      <c r="S440">
        <f t="shared" si="113"/>
        <v>19451.681836879547</v>
      </c>
      <c r="T440">
        <f t="shared" si="114"/>
        <v>51546.956867730798</v>
      </c>
      <c r="U440">
        <v>150</v>
      </c>
      <c r="V440">
        <v>4.1000000000000002E-2</v>
      </c>
      <c r="W440">
        <v>-5.4</v>
      </c>
    </row>
    <row r="441" spans="1:25" x14ac:dyDescent="0.25">
      <c r="A441" t="s">
        <v>107</v>
      </c>
      <c r="B441" t="s">
        <v>108</v>
      </c>
      <c r="C441">
        <v>10</v>
      </c>
      <c r="D441">
        <v>5</v>
      </c>
      <c r="E441">
        <f t="shared" si="129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f t="shared" si="110"/>
        <v>19.321632864705652</v>
      </c>
      <c r="P441">
        <f t="shared" si="111"/>
        <v>52.962540695097118</v>
      </c>
      <c r="Q441">
        <f t="shared" si="128"/>
        <v>134.52485336554668</v>
      </c>
      <c r="R441">
        <f t="shared" si="112"/>
        <v>8764.1556661491104</v>
      </c>
      <c r="S441">
        <f t="shared" si="113"/>
        <v>21062.618760271838</v>
      </c>
      <c r="T441">
        <f t="shared" si="114"/>
        <v>55815.939714720371</v>
      </c>
      <c r="U441">
        <v>150</v>
      </c>
      <c r="V441">
        <v>4.1000000000000002E-2</v>
      </c>
      <c r="W441">
        <v>-5.4</v>
      </c>
    </row>
    <row r="442" spans="1:25" x14ac:dyDescent="0.25">
      <c r="A442" t="s">
        <v>109</v>
      </c>
      <c r="B442" t="s">
        <v>110</v>
      </c>
      <c r="C442">
        <v>1</v>
      </c>
      <c r="D442">
        <v>5</v>
      </c>
      <c r="E442">
        <f t="shared" si="129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f t="shared" si="110"/>
        <v>6.5782707801818425</v>
      </c>
      <c r="P442">
        <f t="shared" si="111"/>
        <v>30.16196876628824</v>
      </c>
      <c r="Q442">
        <f t="shared" ref="Q442:Q451" si="130">186*(1-EXP(-0.046*(E442+6.54)))</f>
        <v>76.611400666372134</v>
      </c>
      <c r="R442">
        <f t="shared" si="112"/>
        <v>2983.8569822381373</v>
      </c>
      <c r="S442">
        <f t="shared" si="113"/>
        <v>7171.0093300604112</v>
      </c>
      <c r="T442">
        <f t="shared" si="114"/>
        <v>19003.17472466009</v>
      </c>
      <c r="U442">
        <v>186</v>
      </c>
      <c r="V442">
        <v>4.5999999999999999E-2</v>
      </c>
      <c r="W442">
        <v>-6.54</v>
      </c>
      <c r="Y442" t="s">
        <v>719</v>
      </c>
    </row>
    <row r="443" spans="1:25" x14ac:dyDescent="0.25">
      <c r="A443" t="s">
        <v>109</v>
      </c>
      <c r="B443" t="s">
        <v>110</v>
      </c>
      <c r="C443">
        <v>2</v>
      </c>
      <c r="D443">
        <v>5</v>
      </c>
      <c r="E443">
        <f t="shared" si="129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f t="shared" si="110"/>
        <v>14.603434973741185</v>
      </c>
      <c r="P443">
        <f t="shared" si="111"/>
        <v>39.010662243566472</v>
      </c>
      <c r="Q443">
        <f t="shared" si="130"/>
        <v>99.08708209865884</v>
      </c>
      <c r="R443">
        <f t="shared" si="112"/>
        <v>6624.0145574934386</v>
      </c>
      <c r="S443">
        <f t="shared" si="113"/>
        <v>15919.285165809753</v>
      </c>
      <c r="T443">
        <f t="shared" si="114"/>
        <v>42186.105689395845</v>
      </c>
      <c r="U443">
        <v>186</v>
      </c>
      <c r="V443">
        <v>4.5999999999999999E-2</v>
      </c>
      <c r="W443">
        <v>-6.54</v>
      </c>
    </row>
    <row r="444" spans="1:25" x14ac:dyDescent="0.25">
      <c r="A444" t="s">
        <v>109</v>
      </c>
      <c r="B444" t="s">
        <v>110</v>
      </c>
      <c r="C444">
        <v>3</v>
      </c>
      <c r="D444">
        <v>5</v>
      </c>
      <c r="E444">
        <f t="shared" si="129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f t="shared" si="110"/>
        <v>24.408587492592872</v>
      </c>
      <c r="P444">
        <f t="shared" si="111"/>
        <v>46.04124654951611</v>
      </c>
      <c r="Q444">
        <f t="shared" si="130"/>
        <v>116.94476623577091</v>
      </c>
      <c r="R444">
        <f t="shared" si="112"/>
        <v>11071.562215979566</v>
      </c>
      <c r="S444">
        <f t="shared" si="113"/>
        <v>26607.936111462546</v>
      </c>
      <c r="T444">
        <f t="shared" si="114"/>
        <v>70511.030695375739</v>
      </c>
      <c r="U444">
        <v>186</v>
      </c>
      <c r="V444">
        <v>4.5999999999999999E-2</v>
      </c>
      <c r="W444">
        <v>-6.54</v>
      </c>
    </row>
    <row r="445" spans="1:25" x14ac:dyDescent="0.25">
      <c r="A445" t="s">
        <v>109</v>
      </c>
      <c r="B445" t="s">
        <v>110</v>
      </c>
      <c r="C445">
        <v>4</v>
      </c>
      <c r="D445">
        <v>5</v>
      </c>
      <c r="E445">
        <f t="shared" si="129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f t="shared" si="110"/>
        <v>34.810673947446382</v>
      </c>
      <c r="P445">
        <f t="shared" si="111"/>
        <v>51.627282025825664</v>
      </c>
      <c r="Q445">
        <f t="shared" si="130"/>
        <v>131.13329634559719</v>
      </c>
      <c r="R445">
        <f t="shared" si="112"/>
        <v>15789.874875237629</v>
      </c>
      <c r="S445">
        <f t="shared" si="113"/>
        <v>37947.308039504038</v>
      </c>
      <c r="T445">
        <f t="shared" si="114"/>
        <v>100560.3663046857</v>
      </c>
      <c r="U445">
        <v>186</v>
      </c>
      <c r="V445">
        <v>4.5999999999999999E-2</v>
      </c>
      <c r="W445">
        <v>-6.54</v>
      </c>
    </row>
    <row r="446" spans="1:25" x14ac:dyDescent="0.25">
      <c r="A446" t="s">
        <v>109</v>
      </c>
      <c r="B446" t="s">
        <v>110</v>
      </c>
      <c r="C446">
        <v>5</v>
      </c>
      <c r="D446">
        <v>5</v>
      </c>
      <c r="E446">
        <f t="shared" si="129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f t="shared" si="110"/>
        <v>44.951603442921488</v>
      </c>
      <c r="P446">
        <f t="shared" si="111"/>
        <v>56.065574916529329</v>
      </c>
      <c r="Q446">
        <f t="shared" si="130"/>
        <v>142.40656028798449</v>
      </c>
      <c r="R446">
        <f t="shared" si="112"/>
        <v>20389.728589471877</v>
      </c>
      <c r="S446">
        <f t="shared" si="113"/>
        <v>49001.991322931688</v>
      </c>
      <c r="T446">
        <f t="shared" si="114"/>
        <v>129855.27700576896</v>
      </c>
      <c r="U446">
        <v>186</v>
      </c>
      <c r="V446">
        <v>4.5999999999999999E-2</v>
      </c>
      <c r="W446">
        <v>-6.54</v>
      </c>
    </row>
    <row r="447" spans="1:25" x14ac:dyDescent="0.25">
      <c r="A447" t="s">
        <v>109</v>
      </c>
      <c r="B447" t="s">
        <v>110</v>
      </c>
      <c r="C447">
        <v>6</v>
      </c>
      <c r="D447">
        <v>5</v>
      </c>
      <c r="E447">
        <f t="shared" si="129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f t="shared" si="110"/>
        <v>54.308551510816415</v>
      </c>
      <c r="P447">
        <f t="shared" si="111"/>
        <v>59.59194775594505</v>
      </c>
      <c r="Q447">
        <f t="shared" si="130"/>
        <v>151.36354730010044</v>
      </c>
      <c r="R447">
        <f t="shared" si="112"/>
        <v>24633.973887026525</v>
      </c>
      <c r="S447">
        <f t="shared" si="113"/>
        <v>59202.052119746506</v>
      </c>
      <c r="T447">
        <f t="shared" si="114"/>
        <v>156885.43811732825</v>
      </c>
      <c r="U447">
        <v>186</v>
      </c>
      <c r="V447">
        <v>4.5999999999999999E-2</v>
      </c>
      <c r="W447">
        <v>-6.54</v>
      </c>
    </row>
    <row r="448" spans="1:25" x14ac:dyDescent="0.25">
      <c r="A448" t="s">
        <v>109</v>
      </c>
      <c r="B448" t="s">
        <v>110</v>
      </c>
      <c r="C448">
        <v>7</v>
      </c>
      <c r="D448">
        <v>5</v>
      </c>
      <c r="E448">
        <f t="shared" si="129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f t="shared" si="110"/>
        <v>62.62165113848782</v>
      </c>
      <c r="P448">
        <f t="shared" si="111"/>
        <v>62.393769471815922</v>
      </c>
      <c r="Q448">
        <f t="shared" si="130"/>
        <v>158.48017445841245</v>
      </c>
      <c r="R448">
        <f t="shared" si="112"/>
        <v>28404.73693357033</v>
      </c>
      <c r="S448">
        <f t="shared" si="113"/>
        <v>68264.207963399022</v>
      </c>
      <c r="T448">
        <f t="shared" si="114"/>
        <v>180900.1511030074</v>
      </c>
      <c r="U448">
        <v>186</v>
      </c>
      <c r="V448">
        <v>4.5999999999999999E-2</v>
      </c>
      <c r="W448">
        <v>-6.54</v>
      </c>
    </row>
    <row r="449" spans="1:25" x14ac:dyDescent="0.25">
      <c r="A449" t="s">
        <v>109</v>
      </c>
      <c r="B449" t="s">
        <v>110</v>
      </c>
      <c r="C449">
        <v>8</v>
      </c>
      <c r="D449">
        <v>5</v>
      </c>
      <c r="E449">
        <f t="shared" si="129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f t="shared" si="110"/>
        <v>69.81076894480988</v>
      </c>
      <c r="P449">
        <f t="shared" si="111"/>
        <v>64.619910973298886</v>
      </c>
      <c r="Q449">
        <f t="shared" si="130"/>
        <v>164.13457387217917</v>
      </c>
      <c r="R449">
        <f t="shared" si="112"/>
        <v>31665.669795615515</v>
      </c>
      <c r="S449">
        <f t="shared" si="113"/>
        <v>76101.105012293963</v>
      </c>
      <c r="T449">
        <f t="shared" si="114"/>
        <v>201667.928282579</v>
      </c>
      <c r="U449">
        <v>186</v>
      </c>
      <c r="V449">
        <v>4.5999999999999999E-2</v>
      </c>
      <c r="W449">
        <v>-6.54</v>
      </c>
    </row>
    <row r="450" spans="1:25" x14ac:dyDescent="0.25">
      <c r="A450" t="s">
        <v>109</v>
      </c>
      <c r="B450" t="s">
        <v>110</v>
      </c>
      <c r="C450">
        <v>9</v>
      </c>
      <c r="D450">
        <v>5</v>
      </c>
      <c r="E450">
        <f t="shared" si="129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f t="shared" ref="O450:O513" si="131">R450*0.00220462</f>
        <v>75.906282352531832</v>
      </c>
      <c r="P450">
        <f t="shared" ref="P450:P513" si="132">Q450/2.54</f>
        <v>66.388655200154332</v>
      </c>
      <c r="Q450">
        <f t="shared" si="130"/>
        <v>168.62718420839201</v>
      </c>
      <c r="R450">
        <f t="shared" ref="R450:R513" si="133">L450*(Q450^M450)</f>
        <v>34430.55145672807</v>
      </c>
      <c r="S450">
        <f t="shared" ref="S450:S513" si="134">R450/20/5.7/3.65*1000</f>
        <v>82745.857862840843</v>
      </c>
      <c r="T450">
        <f t="shared" ref="T450:T513" si="135">S450*2.65</f>
        <v>219276.52333652822</v>
      </c>
      <c r="U450">
        <v>186</v>
      </c>
      <c r="V450">
        <v>4.5999999999999999E-2</v>
      </c>
      <c r="W450">
        <v>-6.54</v>
      </c>
    </row>
    <row r="451" spans="1:25" x14ac:dyDescent="0.25">
      <c r="A451" t="s">
        <v>109</v>
      </c>
      <c r="B451" t="s">
        <v>110</v>
      </c>
      <c r="C451">
        <v>10</v>
      </c>
      <c r="D451">
        <v>5</v>
      </c>
      <c r="E451">
        <f t="shared" si="129"/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f t="shared" si="131"/>
        <v>80.998926675681432</v>
      </c>
      <c r="P451">
        <f t="shared" si="132"/>
        <v>67.793981922624752</v>
      </c>
      <c r="Q451">
        <f t="shared" si="130"/>
        <v>172.19671408346687</v>
      </c>
      <c r="R451">
        <f t="shared" si="133"/>
        <v>36740.538811986386</v>
      </c>
      <c r="S451">
        <f t="shared" si="134"/>
        <v>88297.377582279223</v>
      </c>
      <c r="T451">
        <f t="shared" si="135"/>
        <v>233988.05059303992</v>
      </c>
      <c r="U451">
        <v>186</v>
      </c>
      <c r="V451">
        <v>4.5999999999999999E-2</v>
      </c>
      <c r="W451">
        <v>-6.54</v>
      </c>
    </row>
    <row r="452" spans="1:25" x14ac:dyDescent="0.25">
      <c r="A452" t="s">
        <v>111</v>
      </c>
      <c r="B452" t="s">
        <v>112</v>
      </c>
      <c r="C452">
        <v>1</v>
      </c>
      <c r="D452">
        <v>2</v>
      </c>
      <c r="E452">
        <f t="shared" si="129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f t="shared" si="131"/>
        <v>2.7846912449000665</v>
      </c>
      <c r="P452">
        <f t="shared" si="132"/>
        <v>21.110835077441628</v>
      </c>
      <c r="Q452">
        <f t="shared" ref="Q452:Q461" si="136">98.7*(1-EXP(-0.158*(E452+2.96)))</f>
        <v>53.621521096701734</v>
      </c>
      <c r="R452">
        <f t="shared" si="133"/>
        <v>1263.1162036541746</v>
      </c>
      <c r="S452">
        <f t="shared" si="134"/>
        <v>3035.6073147180355</v>
      </c>
      <c r="T452">
        <f t="shared" si="135"/>
        <v>8044.3593840027934</v>
      </c>
      <c r="U452">
        <v>98.7</v>
      </c>
      <c r="V452">
        <v>0.158</v>
      </c>
      <c r="W452">
        <v>-2.96</v>
      </c>
      <c r="Y452" t="s">
        <v>720</v>
      </c>
    </row>
    <row r="453" spans="1:25" x14ac:dyDescent="0.25">
      <c r="A453" t="s">
        <v>111</v>
      </c>
      <c r="B453" t="s">
        <v>112</v>
      </c>
      <c r="C453">
        <v>2</v>
      </c>
      <c r="D453">
        <v>2</v>
      </c>
      <c r="E453">
        <f t="shared" si="129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f t="shared" si="131"/>
        <v>5.0491758196430334</v>
      </c>
      <c r="P453">
        <f t="shared" si="132"/>
        <v>25.91933423479076</v>
      </c>
      <c r="Q453">
        <f t="shared" si="136"/>
        <v>65.835108956368529</v>
      </c>
      <c r="R453">
        <f t="shared" si="133"/>
        <v>2290.2703502839645</v>
      </c>
      <c r="S453">
        <f t="shared" si="134"/>
        <v>5504.1344635519454</v>
      </c>
      <c r="T453">
        <f t="shared" si="135"/>
        <v>14585.956328412654</v>
      </c>
      <c r="U453">
        <v>98.7</v>
      </c>
      <c r="V453">
        <v>0.158</v>
      </c>
      <c r="W453">
        <v>-2.96</v>
      </c>
    </row>
    <row r="454" spans="1:25" x14ac:dyDescent="0.25">
      <c r="A454" t="s">
        <v>111</v>
      </c>
      <c r="B454" t="s">
        <v>112</v>
      </c>
      <c r="C454">
        <v>3</v>
      </c>
      <c r="D454">
        <v>2</v>
      </c>
      <c r="E454">
        <f t="shared" si="129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f t="shared" si="131"/>
        <v>7.2944038399501885</v>
      </c>
      <c r="P454">
        <f t="shared" si="132"/>
        <v>29.425015986579208</v>
      </c>
      <c r="Q454">
        <f t="shared" si="136"/>
        <v>74.739540605911188</v>
      </c>
      <c r="R454">
        <f t="shared" si="133"/>
        <v>3308.6898603615082</v>
      </c>
      <c r="S454">
        <f t="shared" si="134"/>
        <v>7951.6699359805534</v>
      </c>
      <c r="T454">
        <f t="shared" si="135"/>
        <v>21071.925330348466</v>
      </c>
      <c r="U454">
        <v>98.7</v>
      </c>
      <c r="V454">
        <v>0.158</v>
      </c>
      <c r="W454">
        <v>-2.96</v>
      </c>
    </row>
    <row r="455" spans="1:25" x14ac:dyDescent="0.25">
      <c r="A455" t="s">
        <v>111</v>
      </c>
      <c r="B455" t="s">
        <v>112</v>
      </c>
      <c r="C455">
        <v>4</v>
      </c>
      <c r="D455">
        <v>2</v>
      </c>
      <c r="E455">
        <f t="shared" si="129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f t="shared" si="131"/>
        <v>9.2873754917786115</v>
      </c>
      <c r="P455">
        <f t="shared" si="132"/>
        <v>31.98086639700076</v>
      </c>
      <c r="Q455">
        <f t="shared" si="136"/>
        <v>81.231400648381936</v>
      </c>
      <c r="R455">
        <f t="shared" si="133"/>
        <v>4212.6876703371154</v>
      </c>
      <c r="S455">
        <f t="shared" si="134"/>
        <v>10124.219347121161</v>
      </c>
      <c r="T455">
        <f t="shared" si="135"/>
        <v>26829.181269871078</v>
      </c>
      <c r="U455">
        <v>98.7</v>
      </c>
      <c r="V455">
        <v>0.158</v>
      </c>
      <c r="W455">
        <v>-2.96</v>
      </c>
    </row>
    <row r="456" spans="1:25" x14ac:dyDescent="0.25">
      <c r="A456" t="s">
        <v>111</v>
      </c>
      <c r="B456" t="s">
        <v>112</v>
      </c>
      <c r="C456">
        <v>5</v>
      </c>
      <c r="D456">
        <v>2</v>
      </c>
      <c r="E456">
        <f t="shared" si="129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f t="shared" si="131"/>
        <v>10.945029183738509</v>
      </c>
      <c r="P456">
        <f t="shared" si="132"/>
        <v>33.844233291933392</v>
      </c>
      <c r="Q456">
        <f t="shared" si="136"/>
        <v>85.964352561510822</v>
      </c>
      <c r="R456">
        <f t="shared" si="133"/>
        <v>4964.5876313099352</v>
      </c>
      <c r="S456">
        <f t="shared" si="134"/>
        <v>11931.236797188021</v>
      </c>
      <c r="T456">
        <f t="shared" si="135"/>
        <v>31617.777512548255</v>
      </c>
      <c r="U456">
        <v>98.7</v>
      </c>
      <c r="V456">
        <v>0.158</v>
      </c>
      <c r="W456">
        <v>-2.96</v>
      </c>
    </row>
    <row r="457" spans="1:25" x14ac:dyDescent="0.25">
      <c r="A457" t="s">
        <v>111</v>
      </c>
      <c r="B457" t="s">
        <v>112</v>
      </c>
      <c r="C457">
        <v>6</v>
      </c>
      <c r="D457">
        <v>2</v>
      </c>
      <c r="E457">
        <f t="shared" si="129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f t="shared" si="131"/>
        <v>12.268262412145919</v>
      </c>
      <c r="P457">
        <f t="shared" si="132"/>
        <v>35.202738535813531</v>
      </c>
      <c r="Q457">
        <f t="shared" si="136"/>
        <v>89.414955880966374</v>
      </c>
      <c r="R457">
        <f t="shared" si="133"/>
        <v>5564.7968412451664</v>
      </c>
      <c r="S457">
        <f t="shared" si="134"/>
        <v>13373.700651874949</v>
      </c>
      <c r="T457">
        <f t="shared" si="135"/>
        <v>35440.306727468618</v>
      </c>
      <c r="U457">
        <v>98.7</v>
      </c>
      <c r="V457">
        <v>0.158</v>
      </c>
      <c r="W457">
        <v>-2.96</v>
      </c>
    </row>
    <row r="458" spans="1:25" x14ac:dyDescent="0.25">
      <c r="A458" t="s">
        <v>111</v>
      </c>
      <c r="B458" t="s">
        <v>112</v>
      </c>
      <c r="C458">
        <v>7</v>
      </c>
      <c r="D458">
        <v>2</v>
      </c>
      <c r="E458">
        <f t="shared" si="129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f t="shared" si="131"/>
        <v>13.2962307819889</v>
      </c>
      <c r="P458">
        <f t="shared" si="132"/>
        <v>36.193169621966625</v>
      </c>
      <c r="Q458">
        <f t="shared" si="136"/>
        <v>91.93065083979522</v>
      </c>
      <c r="R458">
        <f t="shared" si="133"/>
        <v>6031.0760049300561</v>
      </c>
      <c r="S458">
        <f t="shared" si="134"/>
        <v>14494.294652559616</v>
      </c>
      <c r="T458">
        <f t="shared" si="135"/>
        <v>38409.880829282978</v>
      </c>
      <c r="U458">
        <v>98.7</v>
      </c>
      <c r="V458">
        <v>0.158</v>
      </c>
      <c r="W458">
        <v>-2.96</v>
      </c>
    </row>
    <row r="459" spans="1:25" x14ac:dyDescent="0.25">
      <c r="A459" t="s">
        <v>111</v>
      </c>
      <c r="B459" t="s">
        <v>112</v>
      </c>
      <c r="C459">
        <v>8</v>
      </c>
      <c r="D459">
        <v>2</v>
      </c>
      <c r="E459">
        <f t="shared" si="129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f t="shared" si="131"/>
        <v>14.080183233065009</v>
      </c>
      <c r="P459">
        <f t="shared" si="132"/>
        <v>36.915252765066306</v>
      </c>
      <c r="Q459">
        <f t="shared" si="136"/>
        <v>93.764742023268425</v>
      </c>
      <c r="R459">
        <f t="shared" si="133"/>
        <v>6386.6712780728694</v>
      </c>
      <c r="S459">
        <f t="shared" si="134"/>
        <v>15348.885551725236</v>
      </c>
      <c r="T459">
        <f t="shared" si="135"/>
        <v>40674.546712071875</v>
      </c>
      <c r="U459">
        <v>98.7</v>
      </c>
      <c r="V459">
        <v>0.158</v>
      </c>
      <c r="W459">
        <v>-2.96</v>
      </c>
    </row>
    <row r="460" spans="1:25" x14ac:dyDescent="0.25">
      <c r="A460" t="s">
        <v>111</v>
      </c>
      <c r="B460" t="s">
        <v>112</v>
      </c>
      <c r="C460">
        <v>9</v>
      </c>
      <c r="D460">
        <v>2</v>
      </c>
      <c r="E460">
        <f t="shared" si="129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f t="shared" si="131"/>
        <v>14.670411028843278</v>
      </c>
      <c r="P460">
        <f t="shared" si="132"/>
        <v>37.441694304349888</v>
      </c>
      <c r="Q460">
        <f t="shared" si="136"/>
        <v>95.101903533048713</v>
      </c>
      <c r="R460">
        <f t="shared" si="133"/>
        <v>6654.3944211897187</v>
      </c>
      <c r="S460">
        <f t="shared" si="134"/>
        <v>15992.296133597018</v>
      </c>
      <c r="T460">
        <f t="shared" si="135"/>
        <v>42379.584754032097</v>
      </c>
      <c r="U460">
        <v>98.7</v>
      </c>
      <c r="V460">
        <v>0.158</v>
      </c>
      <c r="W460">
        <v>-2.96</v>
      </c>
    </row>
    <row r="461" spans="1:25" x14ac:dyDescent="0.25">
      <c r="A461" t="s">
        <v>111</v>
      </c>
      <c r="B461" t="s">
        <v>112</v>
      </c>
      <c r="C461">
        <v>10</v>
      </c>
      <c r="D461">
        <v>2</v>
      </c>
      <c r="E461">
        <f t="shared" si="129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f t="shared" si="131"/>
        <v>15.110782898106473</v>
      </c>
      <c r="P461">
        <f t="shared" si="132"/>
        <v>37.825501483525365</v>
      </c>
      <c r="Q461">
        <f t="shared" si="136"/>
        <v>96.076773768154425</v>
      </c>
      <c r="R461">
        <f t="shared" si="133"/>
        <v>6854.143978602423</v>
      </c>
      <c r="S461">
        <f t="shared" si="134"/>
        <v>16472.347941846725</v>
      </c>
      <c r="T461">
        <f t="shared" si="135"/>
        <v>43651.722045893817</v>
      </c>
      <c r="U461">
        <v>98.7</v>
      </c>
      <c r="V461">
        <v>0.158</v>
      </c>
      <c r="W461">
        <v>-2.96</v>
      </c>
    </row>
    <row r="462" spans="1:25" x14ac:dyDescent="0.25">
      <c r="A462" t="s">
        <v>113</v>
      </c>
      <c r="B462" t="s">
        <v>114</v>
      </c>
      <c r="C462">
        <v>1</v>
      </c>
      <c r="D462">
        <v>2</v>
      </c>
      <c r="E462">
        <f t="shared" si="129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f t="shared" si="131"/>
        <v>0.84854244029559045</v>
      </c>
      <c r="P462">
        <f t="shared" si="132"/>
        <v>11.819397150892565</v>
      </c>
      <c r="Q462">
        <f t="shared" ref="Q462:Q471" si="137">85.9*(1-EXP(-0.215*(E462)))</f>
        <v>30.021268763267113</v>
      </c>
      <c r="R462">
        <f t="shared" si="133"/>
        <v>384.89283427329445</v>
      </c>
      <c r="S462">
        <f t="shared" si="134"/>
        <v>925.00080334846052</v>
      </c>
      <c r="T462">
        <f t="shared" si="135"/>
        <v>2451.2521288734201</v>
      </c>
      <c r="U462">
        <v>85.9</v>
      </c>
      <c r="V462">
        <v>0.215</v>
      </c>
      <c r="W462">
        <v>0</v>
      </c>
      <c r="Y462" t="s">
        <v>721</v>
      </c>
    </row>
    <row r="463" spans="1:25" x14ac:dyDescent="0.25">
      <c r="A463" t="s">
        <v>113</v>
      </c>
      <c r="B463" t="s">
        <v>114</v>
      </c>
      <c r="C463">
        <v>2</v>
      </c>
      <c r="D463">
        <v>2</v>
      </c>
      <c r="E463">
        <f t="shared" si="129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f t="shared" si="131"/>
        <v>3.912084528136166</v>
      </c>
      <c r="P463">
        <f t="shared" si="132"/>
        <v>19.50802249169503</v>
      </c>
      <c r="Q463">
        <f t="shared" si="137"/>
        <v>49.550377128905374</v>
      </c>
      <c r="R463">
        <f t="shared" si="133"/>
        <v>1774.4938030754352</v>
      </c>
      <c r="S463">
        <f t="shared" si="134"/>
        <v>4264.5849629306304</v>
      </c>
      <c r="T463">
        <f t="shared" si="135"/>
        <v>11301.150151766171</v>
      </c>
      <c r="U463">
        <v>85.9</v>
      </c>
      <c r="V463">
        <v>0.215</v>
      </c>
      <c r="W463">
        <v>0</v>
      </c>
    </row>
    <row r="464" spans="1:25" x14ac:dyDescent="0.25">
      <c r="A464" t="s">
        <v>113</v>
      </c>
      <c r="B464" t="s">
        <v>114</v>
      </c>
      <c r="C464">
        <v>3</v>
      </c>
      <c r="D464">
        <v>2</v>
      </c>
      <c r="E464">
        <f t="shared" si="129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f t="shared" si="131"/>
        <v>7.8474803509363218</v>
      </c>
      <c r="P464">
        <f t="shared" si="132"/>
        <v>24.509543201807197</v>
      </c>
      <c r="Q464">
        <f t="shared" si="137"/>
        <v>62.254239732590285</v>
      </c>
      <c r="R464">
        <f t="shared" si="133"/>
        <v>3559.561444120221</v>
      </c>
      <c r="S464">
        <f t="shared" si="134"/>
        <v>8554.5816969964453</v>
      </c>
      <c r="T464">
        <f t="shared" si="135"/>
        <v>22669.641497040579</v>
      </c>
      <c r="U464">
        <v>85.9</v>
      </c>
      <c r="V464">
        <v>0.215</v>
      </c>
      <c r="W464">
        <v>0</v>
      </c>
    </row>
    <row r="465" spans="1:30" x14ac:dyDescent="0.25">
      <c r="A465" t="s">
        <v>113</v>
      </c>
      <c r="B465" t="s">
        <v>114</v>
      </c>
      <c r="C465">
        <v>4</v>
      </c>
      <c r="D465">
        <v>2</v>
      </c>
      <c r="E465">
        <f t="shared" si="129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f t="shared" si="131"/>
        <v>11.477149554816396</v>
      </c>
      <c r="P465">
        <f t="shared" si="132"/>
        <v>27.763077911182179</v>
      </c>
      <c r="Q465">
        <f t="shared" si="137"/>
        <v>70.518217894402738</v>
      </c>
      <c r="R465">
        <f t="shared" si="133"/>
        <v>5205.9536585971264</v>
      </c>
      <c r="S465">
        <f t="shared" si="134"/>
        <v>12511.304154282927</v>
      </c>
      <c r="T465">
        <f t="shared" si="135"/>
        <v>33154.956008849753</v>
      </c>
      <c r="U465">
        <v>85.9</v>
      </c>
      <c r="V465">
        <v>0.215</v>
      </c>
      <c r="W465">
        <v>0</v>
      </c>
    </row>
    <row r="466" spans="1:30" x14ac:dyDescent="0.25">
      <c r="A466" t="s">
        <v>113</v>
      </c>
      <c r="B466" t="s">
        <v>114</v>
      </c>
      <c r="C466">
        <v>5</v>
      </c>
      <c r="D466">
        <v>2</v>
      </c>
      <c r="E466">
        <f t="shared" si="129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f t="shared" si="131"/>
        <v>14.359783075897388</v>
      </c>
      <c r="P466">
        <f t="shared" si="132"/>
        <v>29.879531829628586</v>
      </c>
      <c r="Q466">
        <f t="shared" si="137"/>
        <v>75.89401084725661</v>
      </c>
      <c r="R466">
        <f t="shared" si="133"/>
        <v>6513.4957842609556</v>
      </c>
      <c r="S466">
        <f t="shared" si="134"/>
        <v>15653.678885510588</v>
      </c>
      <c r="T466">
        <f t="shared" si="135"/>
        <v>41482.249046603058</v>
      </c>
      <c r="U466">
        <v>85.9</v>
      </c>
      <c r="V466">
        <v>0.215</v>
      </c>
      <c r="W466">
        <v>0</v>
      </c>
    </row>
    <row r="467" spans="1:30" x14ac:dyDescent="0.25">
      <c r="A467" t="s">
        <v>113</v>
      </c>
      <c r="B467" t="s">
        <v>114</v>
      </c>
      <c r="C467">
        <v>6</v>
      </c>
      <c r="D467">
        <v>2</v>
      </c>
      <c r="E467">
        <f t="shared" si="129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f t="shared" si="131"/>
        <v>16.474702745780608</v>
      </c>
      <c r="P467">
        <f t="shared" si="132"/>
        <v>31.256304352140777</v>
      </c>
      <c r="Q467">
        <f t="shared" si="137"/>
        <v>79.391013054437579</v>
      </c>
      <c r="R467">
        <f t="shared" si="133"/>
        <v>7472.8083505459481</v>
      </c>
      <c r="S467">
        <f t="shared" si="134"/>
        <v>17959.164505037126</v>
      </c>
      <c r="T467">
        <f t="shared" si="135"/>
        <v>47591.785938348381</v>
      </c>
      <c r="U467">
        <v>85.9</v>
      </c>
      <c r="V467">
        <v>0.215</v>
      </c>
      <c r="W467">
        <v>0</v>
      </c>
    </row>
    <row r="468" spans="1:30" x14ac:dyDescent="0.25">
      <c r="A468" t="s">
        <v>113</v>
      </c>
      <c r="B468" t="s">
        <v>114</v>
      </c>
      <c r="C468">
        <v>7</v>
      </c>
      <c r="D468">
        <v>2</v>
      </c>
      <c r="E468">
        <f t="shared" si="129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f t="shared" si="131"/>
        <v>17.957190459582417</v>
      </c>
      <c r="P468">
        <f t="shared" si="132"/>
        <v>32.151907399400123</v>
      </c>
      <c r="Q468">
        <f t="shared" si="137"/>
        <v>81.665844794476314</v>
      </c>
      <c r="R468">
        <f t="shared" si="133"/>
        <v>8145.2542658519005</v>
      </c>
      <c r="S468">
        <f t="shared" si="134"/>
        <v>19575.232554318438</v>
      </c>
      <c r="T468">
        <f t="shared" si="135"/>
        <v>51874.366268943857</v>
      </c>
      <c r="U468">
        <v>85.9</v>
      </c>
      <c r="V468">
        <v>0.215</v>
      </c>
      <c r="W468">
        <v>0</v>
      </c>
    </row>
    <row r="469" spans="1:30" x14ac:dyDescent="0.25">
      <c r="A469" t="s">
        <v>113</v>
      </c>
      <c r="B469" t="s">
        <v>114</v>
      </c>
      <c r="C469">
        <v>8</v>
      </c>
      <c r="D469">
        <v>2</v>
      </c>
      <c r="E469">
        <f t="shared" si="129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f t="shared" si="131"/>
        <v>18.968171209230924</v>
      </c>
      <c r="P469">
        <f t="shared" si="132"/>
        <v>32.734505326904241</v>
      </c>
      <c r="Q469">
        <f t="shared" si="137"/>
        <v>83.14564353033677</v>
      </c>
      <c r="R469">
        <f t="shared" si="133"/>
        <v>8603.8279654683902</v>
      </c>
      <c r="S469">
        <f t="shared" si="134"/>
        <v>20677.308256352779</v>
      </c>
      <c r="T469">
        <f t="shared" si="135"/>
        <v>54794.866879334862</v>
      </c>
      <c r="U469">
        <v>85.9</v>
      </c>
      <c r="V469">
        <v>0.215</v>
      </c>
      <c r="W469">
        <v>0</v>
      </c>
    </row>
    <row r="470" spans="1:30" x14ac:dyDescent="0.25">
      <c r="A470" t="s">
        <v>113</v>
      </c>
      <c r="B470" t="s">
        <v>114</v>
      </c>
      <c r="C470">
        <v>9</v>
      </c>
      <c r="D470">
        <v>2</v>
      </c>
      <c r="E470">
        <f t="shared" si="129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f t="shared" si="131"/>
        <v>19.645946752033446</v>
      </c>
      <c r="P470">
        <f t="shared" si="132"/>
        <v>33.113490577312625</v>
      </c>
      <c r="Q470">
        <f t="shared" si="137"/>
        <v>84.108266066374071</v>
      </c>
      <c r="R470">
        <f t="shared" si="133"/>
        <v>8911.2621458725062</v>
      </c>
      <c r="S470">
        <f t="shared" si="134"/>
        <v>21416.155121058655</v>
      </c>
      <c r="T470">
        <f t="shared" si="135"/>
        <v>56752.81107080543</v>
      </c>
      <c r="U470">
        <v>85.9</v>
      </c>
      <c r="V470">
        <v>0.215</v>
      </c>
      <c r="W470">
        <v>0</v>
      </c>
    </row>
    <row r="471" spans="1:30" x14ac:dyDescent="0.25">
      <c r="A471" t="s">
        <v>113</v>
      </c>
      <c r="B471" t="s">
        <v>114</v>
      </c>
      <c r="C471">
        <v>10</v>
      </c>
      <c r="D471">
        <v>2</v>
      </c>
      <c r="E471">
        <f t="shared" si="129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f t="shared" si="131"/>
        <v>20.095471608124409</v>
      </c>
      <c r="P471">
        <f t="shared" si="132"/>
        <v>33.360023929469271</v>
      </c>
      <c r="Q471">
        <f t="shared" si="137"/>
        <v>84.734460780851947</v>
      </c>
      <c r="R471">
        <f t="shared" si="133"/>
        <v>9115.1634332104441</v>
      </c>
      <c r="S471">
        <f t="shared" si="134"/>
        <v>21906.184650830193</v>
      </c>
      <c r="T471">
        <f t="shared" si="135"/>
        <v>58051.389324700009</v>
      </c>
      <c r="U471">
        <v>85.9</v>
      </c>
      <c r="V471">
        <v>0.215</v>
      </c>
      <c r="W471">
        <v>0</v>
      </c>
      <c r="Y471" t="s">
        <v>722</v>
      </c>
      <c r="Z471" t="s">
        <v>723</v>
      </c>
      <c r="AA471" t="s">
        <v>724</v>
      </c>
    </row>
    <row r="472" spans="1:30" x14ac:dyDescent="0.25">
      <c r="A472" t="s">
        <v>115</v>
      </c>
      <c r="B472" t="s">
        <v>116</v>
      </c>
      <c r="C472">
        <v>1</v>
      </c>
      <c r="D472">
        <v>7</v>
      </c>
      <c r="E472">
        <f t="shared" si="129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f t="shared" si="131"/>
        <v>374.43302480090006</v>
      </c>
      <c r="P472">
        <f t="shared" si="132"/>
        <v>88.406188050802371</v>
      </c>
      <c r="Q472" s="2">
        <f t="shared" ref="Q472:Q481" si="138">U472*(1-EXP(-V472*(E472)))</f>
        <v>224.55171764903804</v>
      </c>
      <c r="R472" s="2">
        <f t="shared" si="133"/>
        <v>169840.16510822729</v>
      </c>
      <c r="S472" s="2">
        <f t="shared" si="134"/>
        <v>408171.50951268279</v>
      </c>
      <c r="T472" s="2">
        <f t="shared" si="135"/>
        <v>1081654.5002086093</v>
      </c>
      <c r="U472">
        <f t="shared" ref="U472:U481" si="139">$AC$473*100</f>
        <v>271.78000000000003</v>
      </c>
      <c r="V472">
        <v>0.25</v>
      </c>
      <c r="W472">
        <v>0</v>
      </c>
      <c r="X472" t="s">
        <v>459</v>
      </c>
      <c r="Y472">
        <f>AVERAGE(135,170)*0.453592</f>
        <v>69.172780000000003</v>
      </c>
      <c r="Z472">
        <f>340*0.453592</f>
        <v>154.22128000000001</v>
      </c>
      <c r="AA472">
        <f>1400*0.453592</f>
        <v>635.02880000000005</v>
      </c>
      <c r="AC472">
        <f>AVERAGE(Y472:AA472)</f>
        <v>286.14095333333336</v>
      </c>
      <c r="AD472">
        <f t="shared" ref="AD472:AD477" si="140">R472*0.001</f>
        <v>169.8401651082273</v>
      </c>
    </row>
    <row r="473" spans="1:30" x14ac:dyDescent="0.25">
      <c r="A473" t="s">
        <v>115</v>
      </c>
      <c r="B473" t="s">
        <v>116</v>
      </c>
      <c r="C473">
        <v>2</v>
      </c>
      <c r="D473">
        <v>7</v>
      </c>
      <c r="E473">
        <f t="shared" si="129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f t="shared" si="131"/>
        <v>605.51867166866998</v>
      </c>
      <c r="P473">
        <f t="shared" si="132"/>
        <v>103.76887997381193</v>
      </c>
      <c r="Q473" s="2">
        <f t="shared" si="138"/>
        <v>263.57295513348231</v>
      </c>
      <c r="R473" s="2">
        <f t="shared" si="133"/>
        <v>274658.97599979589</v>
      </c>
      <c r="S473" s="2">
        <f t="shared" si="134"/>
        <v>660079.25017975457</v>
      </c>
      <c r="T473" s="2">
        <f t="shared" si="135"/>
        <v>1749210.0129763496</v>
      </c>
      <c r="U473">
        <f t="shared" si="139"/>
        <v>271.78000000000003</v>
      </c>
      <c r="V473">
        <v>0.25</v>
      </c>
      <c r="W473">
        <v>0</v>
      </c>
      <c r="X473" t="s">
        <v>460</v>
      </c>
      <c r="Y473">
        <f>5.25*0.3048</f>
        <v>1.6002000000000001</v>
      </c>
      <c r="Z473">
        <f>8.5*0.3048</f>
        <v>2.5908000000000002</v>
      </c>
      <c r="AA473">
        <f>13*0.3048</f>
        <v>3.9624000000000001</v>
      </c>
      <c r="AC473">
        <f>AVERAGE(Y473:AA473)</f>
        <v>2.7178000000000004</v>
      </c>
      <c r="AD473">
        <f t="shared" si="140"/>
        <v>274.65897599979587</v>
      </c>
    </row>
    <row r="474" spans="1:30" x14ac:dyDescent="0.25">
      <c r="A474" t="s">
        <v>115</v>
      </c>
      <c r="B474" t="s">
        <v>116</v>
      </c>
      <c r="C474">
        <v>3</v>
      </c>
      <c r="D474">
        <v>7</v>
      </c>
      <c r="E474">
        <f t="shared" si="129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f t="shared" si="131"/>
        <v>653.46537198936437</v>
      </c>
      <c r="P474">
        <f t="shared" si="132"/>
        <v>106.43851553128761</v>
      </c>
      <c r="Q474" s="2">
        <f t="shared" si="138"/>
        <v>270.35382944947054</v>
      </c>
      <c r="R474" s="2">
        <f t="shared" si="133"/>
        <v>296407.25929609837</v>
      </c>
      <c r="S474" s="2">
        <f t="shared" si="134"/>
        <v>712346.21316053439</v>
      </c>
      <c r="T474" s="2">
        <f t="shared" si="135"/>
        <v>1887717.4648754161</v>
      </c>
      <c r="U474">
        <f t="shared" si="139"/>
        <v>271.78000000000003</v>
      </c>
      <c r="V474">
        <v>0.25</v>
      </c>
      <c r="W474">
        <v>0</v>
      </c>
      <c r="X474" t="s">
        <v>461</v>
      </c>
      <c r="Y474">
        <v>25</v>
      </c>
      <c r="Z474">
        <v>60</v>
      </c>
      <c r="AA474">
        <v>60</v>
      </c>
      <c r="AD474">
        <f t="shared" si="140"/>
        <v>296.4072592960984</v>
      </c>
    </row>
    <row r="475" spans="1:30" x14ac:dyDescent="0.25">
      <c r="A475" t="s">
        <v>115</v>
      </c>
      <c r="B475" t="s">
        <v>116</v>
      </c>
      <c r="C475">
        <v>4</v>
      </c>
      <c r="D475">
        <v>7</v>
      </c>
      <c r="E475">
        <f t="shared" si="129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f t="shared" si="131"/>
        <v>662.04706866566175</v>
      </c>
      <c r="P475">
        <f t="shared" si="132"/>
        <v>106.90242862968567</v>
      </c>
      <c r="Q475" s="2">
        <f t="shared" si="138"/>
        <v>271.53216871940162</v>
      </c>
      <c r="R475" s="2">
        <f t="shared" si="133"/>
        <v>300299.85605939425</v>
      </c>
      <c r="S475" s="2">
        <f t="shared" si="134"/>
        <v>721701.16813120467</v>
      </c>
      <c r="T475" s="2">
        <f t="shared" si="135"/>
        <v>1912508.0955476924</v>
      </c>
      <c r="U475">
        <f t="shared" si="139"/>
        <v>271.78000000000003</v>
      </c>
      <c r="V475">
        <v>0.25</v>
      </c>
      <c r="W475">
        <v>0</v>
      </c>
      <c r="X475" t="s">
        <v>462</v>
      </c>
      <c r="AA475">
        <f>300*0.453592</f>
        <v>136.07759999999999</v>
      </c>
      <c r="AD475">
        <f t="shared" si="140"/>
        <v>300.29985605939424</v>
      </c>
    </row>
    <row r="476" spans="1:30" x14ac:dyDescent="0.25">
      <c r="A476" t="s">
        <v>115</v>
      </c>
      <c r="B476" t="s">
        <v>116</v>
      </c>
      <c r="C476">
        <v>5</v>
      </c>
      <c r="D476">
        <v>7</v>
      </c>
      <c r="E476">
        <f t="shared" si="129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f t="shared" si="131"/>
        <v>663.54596399185027</v>
      </c>
      <c r="P476">
        <f t="shared" si="132"/>
        <v>106.98304463821262</v>
      </c>
      <c r="Q476" s="2">
        <f t="shared" si="138"/>
        <v>271.73693338106006</v>
      </c>
      <c r="R476" s="2">
        <f t="shared" si="133"/>
        <v>300979.74435133958</v>
      </c>
      <c r="S476" s="2">
        <f t="shared" si="134"/>
        <v>723335.12220941973</v>
      </c>
      <c r="T476" s="2">
        <f t="shared" si="135"/>
        <v>1916838.0738549621</v>
      </c>
      <c r="U476">
        <f t="shared" si="139"/>
        <v>271.78000000000003</v>
      </c>
      <c r="V476">
        <v>0.25</v>
      </c>
      <c r="W476">
        <v>0</v>
      </c>
      <c r="X476" t="s">
        <v>463</v>
      </c>
      <c r="Z476">
        <f>3*0.3048</f>
        <v>0.9144000000000001</v>
      </c>
      <c r="AA476">
        <f>6*0.3048</f>
        <v>1.8288000000000002</v>
      </c>
      <c r="AD476">
        <f t="shared" si="140"/>
        <v>300.9797443513396</v>
      </c>
    </row>
    <row r="477" spans="1:30" x14ac:dyDescent="0.25">
      <c r="A477" t="s">
        <v>115</v>
      </c>
      <c r="B477" t="s">
        <v>116</v>
      </c>
      <c r="C477">
        <v>6</v>
      </c>
      <c r="D477">
        <v>7</v>
      </c>
      <c r="E477">
        <f t="shared" si="129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f t="shared" si="131"/>
        <v>663.8066634503989</v>
      </c>
      <c r="P477">
        <f t="shared" si="132"/>
        <v>106.9970535999196</v>
      </c>
      <c r="Q477" s="2">
        <f t="shared" si="138"/>
        <v>271.77251614379577</v>
      </c>
      <c r="R477" s="2">
        <f t="shared" si="133"/>
        <v>301097.99577723094</v>
      </c>
      <c r="S477" s="2">
        <f t="shared" si="134"/>
        <v>723619.31212985073</v>
      </c>
      <c r="T477" s="2">
        <f t="shared" si="135"/>
        <v>1917591.1771441044</v>
      </c>
      <c r="U477">
        <f t="shared" si="139"/>
        <v>271.78000000000003</v>
      </c>
      <c r="V477">
        <v>0.25</v>
      </c>
      <c r="W477">
        <v>0</v>
      </c>
      <c r="X477" t="s">
        <v>464</v>
      </c>
      <c r="AD477">
        <f t="shared" si="140"/>
        <v>301.09799577723095</v>
      </c>
    </row>
    <row r="478" spans="1:30" x14ac:dyDescent="0.25">
      <c r="A478" t="s">
        <v>115</v>
      </c>
      <c r="B478" t="s">
        <v>116</v>
      </c>
      <c r="C478">
        <v>7</v>
      </c>
      <c r="D478">
        <v>7</v>
      </c>
      <c r="E478">
        <f t="shared" si="129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f t="shared" si="131"/>
        <v>663.85197318617668</v>
      </c>
      <c r="P478">
        <f t="shared" si="132"/>
        <v>106.99948799243906</v>
      </c>
      <c r="Q478" s="2">
        <f t="shared" si="138"/>
        <v>271.7786995007952</v>
      </c>
      <c r="R478" s="2">
        <f t="shared" si="133"/>
        <v>301118.54795210814</v>
      </c>
      <c r="S478" s="2">
        <f t="shared" si="134"/>
        <v>723668.70452321111</v>
      </c>
      <c r="T478" s="2">
        <f t="shared" si="135"/>
        <v>1917722.0669865094</v>
      </c>
      <c r="U478">
        <f t="shared" si="139"/>
        <v>271.78000000000003</v>
      </c>
      <c r="V478">
        <v>0.25</v>
      </c>
      <c r="W478">
        <v>0</v>
      </c>
      <c r="X478" t="s">
        <v>434</v>
      </c>
      <c r="Y478" s="7" t="s">
        <v>725</v>
      </c>
      <c r="Z478" s="7" t="s">
        <v>726</v>
      </c>
      <c r="AA478" s="7" t="s">
        <v>727</v>
      </c>
    </row>
    <row r="479" spans="1:30" x14ac:dyDescent="0.25">
      <c r="A479" t="s">
        <v>115</v>
      </c>
      <c r="B479" t="s">
        <v>116</v>
      </c>
      <c r="C479">
        <v>8</v>
      </c>
      <c r="D479">
        <v>7</v>
      </c>
      <c r="E479">
        <f t="shared" si="129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>
        <f t="shared" si="131"/>
        <v>663.85984704790906</v>
      </c>
      <c r="P479">
        <f t="shared" si="132"/>
        <v>106.99991102642706</v>
      </c>
      <c r="Q479" s="2">
        <f t="shared" si="138"/>
        <v>271.77977400712473</v>
      </c>
      <c r="R479" s="2">
        <f t="shared" si="133"/>
        <v>301122.11947995983</v>
      </c>
      <c r="S479" s="2">
        <f t="shared" si="134"/>
        <v>723677.28786339785</v>
      </c>
      <c r="T479" s="2">
        <f t="shared" si="135"/>
        <v>1917744.8128380042</v>
      </c>
      <c r="U479">
        <f t="shared" si="139"/>
        <v>271.78000000000003</v>
      </c>
      <c r="V479">
        <v>0.25</v>
      </c>
      <c r="W479">
        <v>0</v>
      </c>
      <c r="X479" t="s">
        <v>469</v>
      </c>
      <c r="Y479">
        <v>11</v>
      </c>
      <c r="Z479">
        <v>12</v>
      </c>
      <c r="AA479">
        <v>12</v>
      </c>
    </row>
    <row r="480" spans="1:30" x14ac:dyDescent="0.25">
      <c r="A480" t="s">
        <v>115</v>
      </c>
      <c r="B480" t="s">
        <v>116</v>
      </c>
      <c r="C480">
        <v>9</v>
      </c>
      <c r="D480">
        <v>7</v>
      </c>
      <c r="E480">
        <f t="shared" si="129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f t="shared" si="131"/>
        <v>663.86121532626237</v>
      </c>
      <c r="P480">
        <f t="shared" si="132"/>
        <v>106.99998453871137</v>
      </c>
      <c r="Q480" s="2">
        <f t="shared" si="138"/>
        <v>271.7799607283269</v>
      </c>
      <c r="R480" s="2">
        <f t="shared" si="133"/>
        <v>301122.74012131902</v>
      </c>
      <c r="S480" s="2">
        <f t="shared" si="134"/>
        <v>723678.77943119197</v>
      </c>
      <c r="T480" s="2">
        <f t="shared" si="135"/>
        <v>1917748.7654926586</v>
      </c>
      <c r="U480">
        <f t="shared" si="139"/>
        <v>271.78000000000003</v>
      </c>
      <c r="V480">
        <v>0.25</v>
      </c>
      <c r="W480">
        <v>0</v>
      </c>
      <c r="X480" t="s">
        <v>470</v>
      </c>
      <c r="Z480">
        <v>7</v>
      </c>
      <c r="AA480">
        <v>10</v>
      </c>
    </row>
    <row r="481" spans="1:34" x14ac:dyDescent="0.25">
      <c r="A481" t="s">
        <v>115</v>
      </c>
      <c r="B481" t="s">
        <v>116</v>
      </c>
      <c r="C481">
        <v>10</v>
      </c>
      <c r="D481">
        <v>7</v>
      </c>
      <c r="E481">
        <f t="shared" si="129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f t="shared" si="131"/>
        <v>663.86145309757933</v>
      </c>
      <c r="P481">
        <f t="shared" si="132"/>
        <v>106.99999731323092</v>
      </c>
      <c r="Q481" s="2">
        <f t="shared" si="138"/>
        <v>271.77999317560653</v>
      </c>
      <c r="R481" s="2">
        <f t="shared" si="133"/>
        <v>301122.84797270247</v>
      </c>
      <c r="S481" s="2">
        <f t="shared" si="134"/>
        <v>723679.03862701869</v>
      </c>
      <c r="T481" s="2">
        <f t="shared" si="135"/>
        <v>1917749.4523615995</v>
      </c>
      <c r="U481">
        <f t="shared" si="139"/>
        <v>271.78000000000003</v>
      </c>
      <c r="V481">
        <v>0.25</v>
      </c>
      <c r="W481">
        <v>0</v>
      </c>
      <c r="X481" t="s">
        <v>471</v>
      </c>
      <c r="Z481">
        <v>1.5</v>
      </c>
      <c r="AA481">
        <f>20/12</f>
        <v>1.6666666666666667</v>
      </c>
    </row>
    <row r="482" spans="1:34" x14ac:dyDescent="0.25">
      <c r="A482" t="s">
        <v>117</v>
      </c>
      <c r="B482" t="s">
        <v>118</v>
      </c>
      <c r="C482">
        <v>1</v>
      </c>
      <c r="D482">
        <v>2</v>
      </c>
      <c r="E482">
        <f t="shared" si="129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f t="shared" si="131"/>
        <v>7.7255718625825365E-2</v>
      </c>
      <c r="P482">
        <f t="shared" si="132"/>
        <v>5.223979871925879</v>
      </c>
      <c r="Q482">
        <f t="shared" ref="Q482:Q491" si="141">73.2*(1-EXP(-0.1*(E482)))</f>
        <v>13.268908874691732</v>
      </c>
      <c r="R482">
        <f t="shared" si="133"/>
        <v>35.042646182029266</v>
      </c>
      <c r="S482">
        <f t="shared" si="134"/>
        <v>84.216885801560352</v>
      </c>
      <c r="T482">
        <f t="shared" si="135"/>
        <v>223.17474737413494</v>
      </c>
      <c r="U482">
        <v>73.2</v>
      </c>
      <c r="V482">
        <v>0.1</v>
      </c>
      <c r="W482">
        <v>0</v>
      </c>
      <c r="Y482" t="s">
        <v>728</v>
      </c>
    </row>
    <row r="483" spans="1:34" x14ac:dyDescent="0.25">
      <c r="A483" t="s">
        <v>117</v>
      </c>
      <c r="B483" t="s">
        <v>118</v>
      </c>
      <c r="C483">
        <v>2</v>
      </c>
      <c r="D483">
        <v>2</v>
      </c>
      <c r="E483">
        <f t="shared" si="129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f t="shared" si="131"/>
        <v>0.46476762463013077</v>
      </c>
      <c r="P483">
        <f t="shared" si="132"/>
        <v>9.5010128465319692</v>
      </c>
      <c r="Q483">
        <f t="shared" si="141"/>
        <v>24.132572630191202</v>
      </c>
      <c r="R483">
        <f t="shared" si="133"/>
        <v>210.8152990674723</v>
      </c>
      <c r="S483">
        <f t="shared" si="134"/>
        <v>506.64575599007998</v>
      </c>
      <c r="T483">
        <f t="shared" si="135"/>
        <v>1342.6112533737119</v>
      </c>
      <c r="U483">
        <v>73.2</v>
      </c>
      <c r="V483">
        <v>0.1</v>
      </c>
      <c r="W483">
        <v>0</v>
      </c>
    </row>
    <row r="484" spans="1:34" x14ac:dyDescent="0.25">
      <c r="A484" t="s">
        <v>117</v>
      </c>
      <c r="B484" t="s">
        <v>118</v>
      </c>
      <c r="C484">
        <v>3</v>
      </c>
      <c r="D484">
        <v>2</v>
      </c>
      <c r="E484">
        <f t="shared" si="129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f t="shared" si="131"/>
        <v>1.1913295584543824</v>
      </c>
      <c r="P484">
        <f t="shared" si="132"/>
        <v>13.00275127477058</v>
      </c>
      <c r="Q484">
        <f t="shared" si="141"/>
        <v>33.026988237917273</v>
      </c>
      <c r="R484">
        <f t="shared" si="133"/>
        <v>540.37864051599934</v>
      </c>
      <c r="S484">
        <f t="shared" si="134"/>
        <v>1298.6749351502026</v>
      </c>
      <c r="T484">
        <f t="shared" si="135"/>
        <v>3441.4885781480366</v>
      </c>
      <c r="U484">
        <v>73.2</v>
      </c>
      <c r="V484">
        <v>0.1</v>
      </c>
      <c r="W484">
        <v>0</v>
      </c>
    </row>
    <row r="485" spans="1:34" x14ac:dyDescent="0.25">
      <c r="A485" t="s">
        <v>117</v>
      </c>
      <c r="B485" t="s">
        <v>118</v>
      </c>
      <c r="C485">
        <v>4</v>
      </c>
      <c r="D485">
        <v>2</v>
      </c>
      <c r="E485">
        <f t="shared" si="129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f t="shared" si="131"/>
        <v>2.1658827756575767</v>
      </c>
      <c r="P485">
        <f t="shared" si="132"/>
        <v>15.869732215204481</v>
      </c>
      <c r="Q485">
        <f t="shared" si="141"/>
        <v>40.30911982661938</v>
      </c>
      <c r="R485">
        <f t="shared" si="133"/>
        <v>982.42906970705906</v>
      </c>
      <c r="S485">
        <f t="shared" si="134"/>
        <v>2361.0407827614972</v>
      </c>
      <c r="T485">
        <f t="shared" si="135"/>
        <v>6256.7580743179678</v>
      </c>
      <c r="U485">
        <v>73.2</v>
      </c>
      <c r="V485">
        <v>0.1</v>
      </c>
      <c r="W485">
        <v>0</v>
      </c>
    </row>
    <row r="486" spans="1:34" x14ac:dyDescent="0.25">
      <c r="A486" t="s">
        <v>117</v>
      </c>
      <c r="B486" t="s">
        <v>118</v>
      </c>
      <c r="C486">
        <v>5</v>
      </c>
      <c r="D486">
        <v>2</v>
      </c>
      <c r="E486">
        <f t="shared" si="129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f t="shared" si="131"/>
        <v>3.2761063483325983</v>
      </c>
      <c r="P486">
        <f t="shared" si="132"/>
        <v>18.217017679626149</v>
      </c>
      <c r="Q486">
        <f t="shared" si="141"/>
        <v>46.271224906250424</v>
      </c>
      <c r="R486">
        <f t="shared" si="133"/>
        <v>1486.0186101607526</v>
      </c>
      <c r="S486">
        <f t="shared" si="134"/>
        <v>3571.3016346088743</v>
      </c>
      <c r="T486">
        <f t="shared" si="135"/>
        <v>9463.9493317135166</v>
      </c>
      <c r="U486">
        <v>73.2</v>
      </c>
      <c r="V486">
        <v>0.1</v>
      </c>
      <c r="W486">
        <v>0</v>
      </c>
    </row>
    <row r="487" spans="1:34" x14ac:dyDescent="0.25">
      <c r="A487" t="s">
        <v>117</v>
      </c>
      <c r="B487" t="s">
        <v>118</v>
      </c>
      <c r="C487">
        <v>6</v>
      </c>
      <c r="D487">
        <v>2</v>
      </c>
      <c r="E487">
        <f t="shared" si="129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f t="shared" si="131"/>
        <v>4.4261662847391143</v>
      </c>
      <c r="P487">
        <f t="shared" si="132"/>
        <v>20.138812475601107</v>
      </c>
      <c r="Q487">
        <f t="shared" si="141"/>
        <v>51.152583688026816</v>
      </c>
      <c r="R487">
        <f t="shared" si="133"/>
        <v>2007.677642740751</v>
      </c>
      <c r="S487">
        <f t="shared" si="134"/>
        <v>4824.9883267021169</v>
      </c>
      <c r="T487">
        <f t="shared" si="135"/>
        <v>12786.21906576061</v>
      </c>
      <c r="U487">
        <v>73.2</v>
      </c>
      <c r="V487">
        <v>0.1</v>
      </c>
      <c r="W487">
        <v>0</v>
      </c>
    </row>
    <row r="488" spans="1:34" x14ac:dyDescent="0.25">
      <c r="A488" t="s">
        <v>117</v>
      </c>
      <c r="B488" t="s">
        <v>118</v>
      </c>
      <c r="C488">
        <v>7</v>
      </c>
      <c r="D488">
        <v>2</v>
      </c>
      <c r="E488">
        <f t="shared" si="129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f t="shared" si="131"/>
        <v>5.5467723649116873</v>
      </c>
      <c r="P488">
        <f t="shared" si="132"/>
        <v>21.712244976171029</v>
      </c>
      <c r="Q488">
        <f t="shared" si="141"/>
        <v>55.149102239474409</v>
      </c>
      <c r="R488">
        <f t="shared" si="133"/>
        <v>2515.976614977496</v>
      </c>
      <c r="S488">
        <f t="shared" si="134"/>
        <v>6046.5672073479836</v>
      </c>
      <c r="T488">
        <f t="shared" si="135"/>
        <v>16023.403099472156</v>
      </c>
      <c r="U488">
        <v>73.2</v>
      </c>
      <c r="V488">
        <v>0.1</v>
      </c>
      <c r="W488">
        <v>0</v>
      </c>
    </row>
    <row r="489" spans="1:34" x14ac:dyDescent="0.25">
      <c r="A489" t="s">
        <v>117</v>
      </c>
      <c r="B489" t="s">
        <v>118</v>
      </c>
      <c r="C489">
        <v>8</v>
      </c>
      <c r="D489">
        <v>2</v>
      </c>
      <c r="E489">
        <f t="shared" si="129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f t="shared" si="131"/>
        <v>6.5938013924562711</v>
      </c>
      <c r="P489">
        <f t="shared" si="132"/>
        <v>23.000462552280009</v>
      </c>
      <c r="Q489">
        <f t="shared" si="141"/>
        <v>58.421174882791227</v>
      </c>
      <c r="R489">
        <f t="shared" si="133"/>
        <v>2990.9015578450121</v>
      </c>
      <c r="S489">
        <f t="shared" si="134"/>
        <v>7187.9393363254312</v>
      </c>
      <c r="T489">
        <f t="shared" si="135"/>
        <v>19048.039241262391</v>
      </c>
      <c r="U489">
        <v>73.2</v>
      </c>
      <c r="V489">
        <v>0.1</v>
      </c>
      <c r="W489">
        <v>0</v>
      </c>
    </row>
    <row r="490" spans="1:34" x14ac:dyDescent="0.25">
      <c r="A490" t="s">
        <v>117</v>
      </c>
      <c r="B490" t="s">
        <v>118</v>
      </c>
      <c r="C490">
        <v>9</v>
      </c>
      <c r="D490">
        <v>2</v>
      </c>
      <c r="E490">
        <f t="shared" si="129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f t="shared" si="131"/>
        <v>7.5431235484480901</v>
      </c>
      <c r="P490">
        <f t="shared" si="132"/>
        <v>24.055165898496011</v>
      </c>
      <c r="Q490">
        <f t="shared" si="141"/>
        <v>61.100121382179864</v>
      </c>
      <c r="R490">
        <f t="shared" si="133"/>
        <v>3421.5073565730559</v>
      </c>
      <c r="S490">
        <f t="shared" si="134"/>
        <v>8222.8006646792983</v>
      </c>
      <c r="T490">
        <f t="shared" si="135"/>
        <v>21790.421761400139</v>
      </c>
      <c r="U490">
        <v>73.2</v>
      </c>
      <c r="V490">
        <v>0.1</v>
      </c>
      <c r="W490">
        <v>0</v>
      </c>
    </row>
    <row r="491" spans="1:34" x14ac:dyDescent="0.25">
      <c r="A491" t="s">
        <v>117</v>
      </c>
      <c r="B491" t="s">
        <v>118</v>
      </c>
      <c r="C491">
        <v>10</v>
      </c>
      <c r="D491">
        <v>2</v>
      </c>
      <c r="E491">
        <f t="shared" si="129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f t="shared" si="131"/>
        <v>8.38496893870043</v>
      </c>
      <c r="P491">
        <f t="shared" si="132"/>
        <v>24.918683963417305</v>
      </c>
      <c r="Q491">
        <f t="shared" si="141"/>
        <v>63.293457267079951</v>
      </c>
      <c r="R491">
        <f t="shared" si="133"/>
        <v>3803.362456432596</v>
      </c>
      <c r="S491">
        <f t="shared" si="134"/>
        <v>9140.5009767666306</v>
      </c>
      <c r="T491">
        <f t="shared" si="135"/>
        <v>24222.32758843157</v>
      </c>
      <c r="U491">
        <v>73.2</v>
      </c>
      <c r="V491">
        <v>0.1</v>
      </c>
      <c r="W491">
        <v>0</v>
      </c>
    </row>
    <row r="492" spans="1:34" x14ac:dyDescent="0.25">
      <c r="A492" t="s">
        <v>119</v>
      </c>
      <c r="B492" t="s">
        <v>120</v>
      </c>
      <c r="C492">
        <v>1</v>
      </c>
      <c r="D492">
        <v>3</v>
      </c>
      <c r="E492">
        <f t="shared" si="129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f t="shared" si="131"/>
        <v>19.811244841264621</v>
      </c>
      <c r="P492">
        <f t="shared" si="132"/>
        <v>31.252440360380255</v>
      </c>
      <c r="Q492" s="2">
        <f t="shared" ref="Q492:Q511" si="142">U492*(1-EXP(-V492*(E492-W492)))</f>
        <v>79.381198515365853</v>
      </c>
      <c r="R492" s="2">
        <f t="shared" si="133"/>
        <v>8986.2401870910271</v>
      </c>
      <c r="S492" s="2">
        <f t="shared" si="134"/>
        <v>21596.347481593435</v>
      </c>
      <c r="T492" s="2">
        <f t="shared" si="135"/>
        <v>57230.320826222604</v>
      </c>
      <c r="U492">
        <f t="shared" ref="U492:U501" si="143">$AH$494</f>
        <v>133.76666666666668</v>
      </c>
      <c r="V492">
        <f t="shared" ref="V492:V501" si="144">$AH$495</f>
        <v>0.3</v>
      </c>
      <c r="W492">
        <v>0</v>
      </c>
      <c r="Y492" t="s">
        <v>729</v>
      </c>
      <c r="Z492" t="s">
        <v>730</v>
      </c>
      <c r="AA492" t="s">
        <v>731</v>
      </c>
      <c r="AB492" t="s">
        <v>732</v>
      </c>
      <c r="AC492" t="s">
        <v>733</v>
      </c>
      <c r="AD492" t="s">
        <v>734</v>
      </c>
      <c r="AE492" t="s">
        <v>735</v>
      </c>
      <c r="AF492" t="s">
        <v>736</v>
      </c>
    </row>
    <row r="493" spans="1:34" x14ac:dyDescent="0.25">
      <c r="A493" t="s">
        <v>119</v>
      </c>
      <c r="B493" t="s">
        <v>120</v>
      </c>
      <c r="C493">
        <v>2</v>
      </c>
      <c r="D493">
        <v>3</v>
      </c>
      <c r="E493">
        <f t="shared" si="129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f t="shared" si="131"/>
        <v>43.971184882940634</v>
      </c>
      <c r="P493">
        <f t="shared" si="132"/>
        <v>40.913105870398311</v>
      </c>
      <c r="Q493" s="2">
        <f t="shared" si="142"/>
        <v>103.91928891081172</v>
      </c>
      <c r="R493" s="2">
        <f t="shared" si="133"/>
        <v>19945.01768238546</v>
      </c>
      <c r="S493" s="2">
        <f t="shared" si="134"/>
        <v>47933.231632745636</v>
      </c>
      <c r="T493" s="2">
        <f t="shared" si="135"/>
        <v>127023.06382677594</v>
      </c>
      <c r="U493">
        <f t="shared" si="143"/>
        <v>133.76666666666668</v>
      </c>
      <c r="V493">
        <f t="shared" si="144"/>
        <v>0.3</v>
      </c>
      <c r="W493">
        <v>1</v>
      </c>
      <c r="X493" t="s">
        <v>422</v>
      </c>
      <c r="Y493">
        <v>108</v>
      </c>
      <c r="AA493">
        <v>110</v>
      </c>
      <c r="AB493">
        <v>122</v>
      </c>
      <c r="AC493">
        <v>250</v>
      </c>
      <c r="AD493">
        <v>140</v>
      </c>
      <c r="AE493">
        <v>239</v>
      </c>
      <c r="AH493">
        <f>AVERAGE(Y493:AE493)</f>
        <v>161.5</v>
      </c>
    </row>
    <row r="494" spans="1:34" x14ac:dyDescent="0.25">
      <c r="A494" t="s">
        <v>119</v>
      </c>
      <c r="B494" t="s">
        <v>120</v>
      </c>
      <c r="C494">
        <v>3</v>
      </c>
      <c r="D494">
        <v>3</v>
      </c>
      <c r="E494">
        <f t="shared" si="129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f t="shared" si="131"/>
        <v>63.068519356800429</v>
      </c>
      <c r="P494">
        <f t="shared" si="132"/>
        <v>46.214991514708451</v>
      </c>
      <c r="Q494" s="2">
        <f t="shared" si="142"/>
        <v>117.38607844735947</v>
      </c>
      <c r="R494" s="2">
        <f t="shared" si="133"/>
        <v>28607.433188849067</v>
      </c>
      <c r="S494" s="2">
        <f t="shared" si="134"/>
        <v>68751.341477647366</v>
      </c>
      <c r="T494" s="2">
        <f t="shared" si="135"/>
        <v>182191.0549157655</v>
      </c>
      <c r="U494">
        <f t="shared" si="143"/>
        <v>133.76666666666668</v>
      </c>
      <c r="V494">
        <f t="shared" si="144"/>
        <v>0.3</v>
      </c>
      <c r="W494">
        <v>2</v>
      </c>
      <c r="X494" t="s">
        <v>18</v>
      </c>
      <c r="Y494">
        <v>88.6</v>
      </c>
      <c r="AA494">
        <v>82</v>
      </c>
      <c r="AB494">
        <v>112</v>
      </c>
      <c r="AC494">
        <v>203</v>
      </c>
      <c r="AD494">
        <v>134</v>
      </c>
      <c r="AE494">
        <v>183</v>
      </c>
      <c r="AH494">
        <f>AVERAGE(Y494:AE494)</f>
        <v>133.76666666666668</v>
      </c>
    </row>
    <row r="495" spans="1:34" x14ac:dyDescent="0.25">
      <c r="A495" t="s">
        <v>119</v>
      </c>
      <c r="B495" t="s">
        <v>120</v>
      </c>
      <c r="C495">
        <v>4</v>
      </c>
      <c r="D495">
        <v>3</v>
      </c>
      <c r="E495">
        <f t="shared" si="129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f t="shared" si="131"/>
        <v>75.562059885577497</v>
      </c>
      <c r="P495">
        <f t="shared" si="132"/>
        <v>49.12472804954573</v>
      </c>
      <c r="Q495" s="2">
        <f t="shared" si="142"/>
        <v>124.77680924584615</v>
      </c>
      <c r="R495" s="2">
        <f t="shared" si="133"/>
        <v>34274.414586449137</v>
      </c>
      <c r="S495" s="2">
        <f t="shared" si="134"/>
        <v>82370.619049385103</v>
      </c>
      <c r="T495" s="2">
        <f t="shared" si="135"/>
        <v>218282.14048087053</v>
      </c>
      <c r="U495">
        <f t="shared" si="143"/>
        <v>133.76666666666668</v>
      </c>
      <c r="V495">
        <f t="shared" si="144"/>
        <v>0.3</v>
      </c>
      <c r="W495">
        <v>3</v>
      </c>
      <c r="X495" t="s">
        <v>19</v>
      </c>
      <c r="Y495">
        <v>0.3</v>
      </c>
      <c r="AA495">
        <v>0.5</v>
      </c>
      <c r="AB495">
        <v>0.1</v>
      </c>
      <c r="AC495">
        <v>0.2</v>
      </c>
      <c r="AD495">
        <v>0.2</v>
      </c>
      <c r="AE495">
        <v>0.5</v>
      </c>
      <c r="AH495">
        <f>AVERAGE(Y495:AE495)</f>
        <v>0.3</v>
      </c>
    </row>
    <row r="496" spans="1:34" x14ac:dyDescent="0.25">
      <c r="A496" t="s">
        <v>119</v>
      </c>
      <c r="B496" t="s">
        <v>120</v>
      </c>
      <c r="C496">
        <v>5</v>
      </c>
      <c r="D496">
        <v>3</v>
      </c>
      <c r="E496">
        <f t="shared" si="129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f t="shared" si="131"/>
        <v>83.066722612942684</v>
      </c>
      <c r="P496">
        <f t="shared" si="132"/>
        <v>50.721625317832334</v>
      </c>
      <c r="Q496" s="2">
        <f t="shared" si="142"/>
        <v>128.83292830729414</v>
      </c>
      <c r="R496" s="2">
        <f t="shared" si="133"/>
        <v>37678.476387287912</v>
      </c>
      <c r="S496" s="2">
        <f t="shared" si="134"/>
        <v>90551.493360461202</v>
      </c>
      <c r="T496" s="2">
        <f t="shared" si="135"/>
        <v>239961.45740522217</v>
      </c>
      <c r="U496">
        <f t="shared" si="143"/>
        <v>133.76666666666668</v>
      </c>
      <c r="V496">
        <f t="shared" si="144"/>
        <v>0.3</v>
      </c>
      <c r="W496">
        <v>4</v>
      </c>
      <c r="X496" t="s">
        <v>477</v>
      </c>
    </row>
    <row r="497" spans="1:31" x14ac:dyDescent="0.25">
      <c r="A497" t="s">
        <v>119</v>
      </c>
      <c r="B497" t="s">
        <v>120</v>
      </c>
      <c r="C497">
        <v>6</v>
      </c>
      <c r="D497">
        <v>3</v>
      </c>
      <c r="E497">
        <f t="shared" si="129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f t="shared" si="131"/>
        <v>87.387463452721377</v>
      </c>
      <c r="P497">
        <f t="shared" si="132"/>
        <v>51.598021120314797</v>
      </c>
      <c r="Q497" s="2">
        <f t="shared" si="142"/>
        <v>131.05897364559959</v>
      </c>
      <c r="R497" s="2">
        <f t="shared" si="133"/>
        <v>39638.333795720522</v>
      </c>
      <c r="S497" s="2">
        <f t="shared" si="134"/>
        <v>95261.556827013992</v>
      </c>
      <c r="T497" s="2">
        <f t="shared" si="135"/>
        <v>252443.12559158707</v>
      </c>
      <c r="U497">
        <f t="shared" si="143"/>
        <v>133.76666666666668</v>
      </c>
      <c r="V497">
        <f t="shared" si="144"/>
        <v>0.3</v>
      </c>
      <c r="W497">
        <v>5</v>
      </c>
      <c r="X497" t="s">
        <v>423</v>
      </c>
      <c r="Y497" t="s">
        <v>428</v>
      </c>
      <c r="AA497" t="s">
        <v>428</v>
      </c>
      <c r="AB497" t="s">
        <v>428</v>
      </c>
      <c r="AC497" t="s">
        <v>428</v>
      </c>
      <c r="AD497" t="s">
        <v>428</v>
      </c>
      <c r="AE497" t="s">
        <v>428</v>
      </c>
    </row>
    <row r="498" spans="1:31" x14ac:dyDescent="0.25">
      <c r="A498" t="s">
        <v>119</v>
      </c>
      <c r="B498" t="s">
        <v>120</v>
      </c>
      <c r="C498">
        <v>7</v>
      </c>
      <c r="D498">
        <v>3</v>
      </c>
      <c r="E498">
        <f t="shared" si="129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f t="shared" si="131"/>
        <v>89.820745581515325</v>
      </c>
      <c r="P498">
        <f t="shared" si="132"/>
        <v>52.078997334541128</v>
      </c>
      <c r="Q498" s="2">
        <f t="shared" si="142"/>
        <v>132.28065322973447</v>
      </c>
      <c r="R498" s="2">
        <f t="shared" si="133"/>
        <v>40742.053315997917</v>
      </c>
      <c r="S498" s="2">
        <f t="shared" si="134"/>
        <v>97914.091122321362</v>
      </c>
      <c r="T498" s="2">
        <f t="shared" si="135"/>
        <v>259472.34147415159</v>
      </c>
      <c r="U498">
        <f t="shared" si="143"/>
        <v>133.76666666666668</v>
      </c>
      <c r="V498">
        <f t="shared" si="144"/>
        <v>0.3</v>
      </c>
      <c r="W498">
        <v>6</v>
      </c>
      <c r="X498" t="s">
        <v>434</v>
      </c>
      <c r="Y498" s="7" t="s">
        <v>737</v>
      </c>
      <c r="AA498" s="7" t="s">
        <v>738</v>
      </c>
      <c r="AB498" s="7" t="s">
        <v>739</v>
      </c>
      <c r="AD498" s="7" t="s">
        <v>740</v>
      </c>
      <c r="AE498" s="7" t="s">
        <v>741</v>
      </c>
    </row>
    <row r="499" spans="1:31" x14ac:dyDescent="0.25">
      <c r="A499" t="s">
        <v>119</v>
      </c>
      <c r="B499" t="s">
        <v>120</v>
      </c>
      <c r="C499">
        <v>8</v>
      </c>
      <c r="D499">
        <v>3</v>
      </c>
      <c r="E499">
        <f t="shared" si="129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>
        <f t="shared" si="131"/>
        <v>91.17502421205873</v>
      </c>
      <c r="P499">
        <f t="shared" si="132"/>
        <v>52.342962677592993</v>
      </c>
      <c r="Q499" s="2">
        <f t="shared" si="142"/>
        <v>132.9511252010862</v>
      </c>
      <c r="R499" s="2">
        <f t="shared" si="133"/>
        <v>41356.34450021261</v>
      </c>
      <c r="S499" s="2">
        <f t="shared" si="134"/>
        <v>99390.397741438603</v>
      </c>
      <c r="T499" s="2">
        <f t="shared" si="135"/>
        <v>263384.55401481228</v>
      </c>
      <c r="U499">
        <f t="shared" si="143"/>
        <v>133.76666666666668</v>
      </c>
      <c r="V499">
        <f t="shared" si="144"/>
        <v>0.3</v>
      </c>
      <c r="W499">
        <v>7</v>
      </c>
    </row>
    <row r="500" spans="1:31" x14ac:dyDescent="0.25">
      <c r="A500" t="s">
        <v>119</v>
      </c>
      <c r="B500" t="s">
        <v>120</v>
      </c>
      <c r="C500">
        <v>9</v>
      </c>
      <c r="D500">
        <v>3</v>
      </c>
      <c r="E500">
        <f t="shared" si="129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f t="shared" si="131"/>
        <v>91.92398124387114</v>
      </c>
      <c r="P500">
        <f t="shared" si="132"/>
        <v>52.487829929385413</v>
      </c>
      <c r="Q500" s="2">
        <f t="shared" si="142"/>
        <v>133.31908802063896</v>
      </c>
      <c r="R500" s="2">
        <f t="shared" si="133"/>
        <v>41696.066099314681</v>
      </c>
      <c r="S500" s="2">
        <f t="shared" si="134"/>
        <v>100206.83994067456</v>
      </c>
      <c r="T500" s="2">
        <f t="shared" si="135"/>
        <v>265548.12584278756</v>
      </c>
      <c r="U500">
        <f t="shared" si="143"/>
        <v>133.76666666666668</v>
      </c>
      <c r="V500">
        <f t="shared" si="144"/>
        <v>0.3</v>
      </c>
      <c r="W500">
        <v>8</v>
      </c>
    </row>
    <row r="501" spans="1:31" x14ac:dyDescent="0.25">
      <c r="A501" t="s">
        <v>119</v>
      </c>
      <c r="B501" t="s">
        <v>120</v>
      </c>
      <c r="C501">
        <v>10</v>
      </c>
      <c r="D501">
        <v>3</v>
      </c>
      <c r="E501">
        <f t="shared" ref="E501:E564" si="145">C501*D501</f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f t="shared" si="131"/>
        <v>92.336743489784439</v>
      </c>
      <c r="P501">
        <f t="shared" si="132"/>
        <v>52.567334762858053</v>
      </c>
      <c r="Q501" s="2">
        <f t="shared" si="142"/>
        <v>133.52103029765945</v>
      </c>
      <c r="R501" s="2">
        <f t="shared" si="133"/>
        <v>41883.292127343688</v>
      </c>
      <c r="S501" s="2">
        <f t="shared" si="134"/>
        <v>100656.79434593531</v>
      </c>
      <c r="T501" s="2">
        <f t="shared" si="135"/>
        <v>266740.5050167286</v>
      </c>
      <c r="U501">
        <f t="shared" si="143"/>
        <v>133.76666666666668</v>
      </c>
      <c r="V501">
        <f t="shared" si="144"/>
        <v>0.3</v>
      </c>
      <c r="W501">
        <v>9</v>
      </c>
      <c r="Y501" t="s">
        <v>742</v>
      </c>
      <c r="Z501" t="s">
        <v>743</v>
      </c>
      <c r="AA501" t="s">
        <v>744</v>
      </c>
      <c r="AB501" t="s">
        <v>745</v>
      </c>
    </row>
    <row r="502" spans="1:31" x14ac:dyDescent="0.25">
      <c r="A502" t="s">
        <v>121</v>
      </c>
      <c r="B502" t="s">
        <v>122</v>
      </c>
      <c r="C502">
        <v>1</v>
      </c>
      <c r="D502">
        <v>7</v>
      </c>
      <c r="E502">
        <f t="shared" si="145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f t="shared" si="131"/>
        <v>22254.820062354665</v>
      </c>
      <c r="P502">
        <f t="shared" si="132"/>
        <v>850.86971247246606</v>
      </c>
      <c r="Q502" s="2">
        <f t="shared" si="142"/>
        <v>2161.2090696800637</v>
      </c>
      <c r="R502" s="2">
        <f t="shared" si="133"/>
        <v>10094628.581050098</v>
      </c>
      <c r="S502" s="2">
        <f t="shared" si="134"/>
        <v>24260102.333694059</v>
      </c>
      <c r="T502" s="2">
        <f t="shared" si="135"/>
        <v>64289271.184289254</v>
      </c>
      <c r="U502">
        <f t="shared" ref="U502:U511" si="146">$AC$503*100</f>
        <v>2615.7600000000002</v>
      </c>
      <c r="V502">
        <v>0.25</v>
      </c>
      <c r="W502">
        <v>0</v>
      </c>
      <c r="X502" t="s">
        <v>459</v>
      </c>
      <c r="Y502">
        <f>30*2000*0.453592</f>
        <v>27215.52</v>
      </c>
      <c r="AA502">
        <f>6600*0.453592</f>
        <v>2993.7071999999998</v>
      </c>
      <c r="AC502">
        <f>AVERAGE(Y502:AA502)</f>
        <v>15104.613600000001</v>
      </c>
      <c r="AD502">
        <f>AC502*0.001</f>
        <v>15.1046136</v>
      </c>
      <c r="AE502">
        <f t="shared" ref="AE502:AE508" si="147">R502*0.000001</f>
        <v>10.094628581050097</v>
      </c>
    </row>
    <row r="503" spans="1:31" x14ac:dyDescent="0.25">
      <c r="A503" t="s">
        <v>121</v>
      </c>
      <c r="B503" t="s">
        <v>122</v>
      </c>
      <c r="C503">
        <v>2</v>
      </c>
      <c r="D503">
        <v>7</v>
      </c>
      <c r="E503">
        <f t="shared" si="145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f t="shared" si="131"/>
        <v>35989.638172401603</v>
      </c>
      <c r="P503">
        <f t="shared" si="132"/>
        <v>998.72869777135293</v>
      </c>
      <c r="Q503" s="2">
        <f t="shared" si="142"/>
        <v>2536.7708923392365</v>
      </c>
      <c r="R503" s="2">
        <f t="shared" si="133"/>
        <v>16324644.688155601</v>
      </c>
      <c r="S503" s="2">
        <f t="shared" si="134"/>
        <v>39232503.456273966</v>
      </c>
      <c r="T503" s="2">
        <f t="shared" si="135"/>
        <v>103966134.159126</v>
      </c>
      <c r="U503">
        <f t="shared" si="146"/>
        <v>2615.7600000000002</v>
      </c>
      <c r="V503">
        <v>0.25</v>
      </c>
      <c r="W503">
        <v>0</v>
      </c>
      <c r="X503" t="s">
        <v>460</v>
      </c>
      <c r="Y503">
        <v>45</v>
      </c>
      <c r="AA503">
        <f>24*0.3048</f>
        <v>7.3152000000000008</v>
      </c>
      <c r="AC503">
        <f>AVERAGE(Y503:AA503)</f>
        <v>26.157600000000002</v>
      </c>
      <c r="AE503">
        <f t="shared" si="147"/>
        <v>16.324644688155601</v>
      </c>
    </row>
    <row r="504" spans="1:31" x14ac:dyDescent="0.25">
      <c r="A504" t="s">
        <v>121</v>
      </c>
      <c r="B504" t="s">
        <v>122</v>
      </c>
      <c r="C504">
        <v>3</v>
      </c>
      <c r="D504">
        <v>7</v>
      </c>
      <c r="E504">
        <f t="shared" si="145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f t="shared" si="131"/>
        <v>38839.400660066996</v>
      </c>
      <c r="P504">
        <f t="shared" si="132"/>
        <v>1024.4227367213218</v>
      </c>
      <c r="Q504" s="2">
        <f t="shared" si="142"/>
        <v>2602.0337512721576</v>
      </c>
      <c r="R504" s="2">
        <f t="shared" si="133"/>
        <v>17617276.746136293</v>
      </c>
      <c r="S504" s="2">
        <f t="shared" si="134"/>
        <v>42339045.292324662</v>
      </c>
      <c r="T504" s="2">
        <f t="shared" si="135"/>
        <v>112198470.02466035</v>
      </c>
      <c r="U504">
        <f t="shared" si="146"/>
        <v>2615.7600000000002</v>
      </c>
      <c r="V504">
        <v>0.25</v>
      </c>
      <c r="W504">
        <v>0</v>
      </c>
      <c r="X504" t="s">
        <v>461</v>
      </c>
      <c r="Y504">
        <v>60</v>
      </c>
      <c r="AA504">
        <f>2200*0.453592</f>
        <v>997.90239999999994</v>
      </c>
      <c r="AE504">
        <f t="shared" si="147"/>
        <v>17.617276746136291</v>
      </c>
    </row>
    <row r="505" spans="1:31" x14ac:dyDescent="0.25">
      <c r="A505" t="s">
        <v>121</v>
      </c>
      <c r="B505" t="s">
        <v>122</v>
      </c>
      <c r="C505">
        <v>4</v>
      </c>
      <c r="D505">
        <v>7</v>
      </c>
      <c r="E505">
        <f t="shared" si="145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f t="shared" si="131"/>
        <v>39349.462814606537</v>
      </c>
      <c r="P505">
        <f t="shared" si="132"/>
        <v>1028.8876911928273</v>
      </c>
      <c r="Q505" s="2">
        <f t="shared" si="142"/>
        <v>2613.3747356297813</v>
      </c>
      <c r="R505" s="2">
        <f t="shared" si="133"/>
        <v>17848637.322806895</v>
      </c>
      <c r="S505" s="2">
        <f t="shared" si="134"/>
        <v>42895066.865673862</v>
      </c>
      <c r="T505" s="2">
        <f t="shared" si="135"/>
        <v>113671927.19403574</v>
      </c>
      <c r="U505">
        <f t="shared" si="146"/>
        <v>2615.7600000000002</v>
      </c>
      <c r="V505">
        <v>0.25</v>
      </c>
      <c r="W505">
        <v>0</v>
      </c>
      <c r="X505" t="s">
        <v>462</v>
      </c>
      <c r="AE505">
        <f t="shared" si="147"/>
        <v>17.848637322806894</v>
      </c>
    </row>
    <row r="506" spans="1:31" x14ac:dyDescent="0.25">
      <c r="A506" t="s">
        <v>121</v>
      </c>
      <c r="B506" t="s">
        <v>122</v>
      </c>
      <c r="C506">
        <v>5</v>
      </c>
      <c r="D506">
        <v>7</v>
      </c>
      <c r="E506">
        <f t="shared" si="145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f t="shared" si="131"/>
        <v>39438.55123247343</v>
      </c>
      <c r="P506">
        <f t="shared" si="132"/>
        <v>1029.6635839386674</v>
      </c>
      <c r="Q506" s="2">
        <f t="shared" si="142"/>
        <v>2615.3455032042152</v>
      </c>
      <c r="R506" s="2">
        <f t="shared" si="133"/>
        <v>17889047.197464157</v>
      </c>
      <c r="S506" s="2">
        <f t="shared" si="134"/>
        <v>42992182.64230752</v>
      </c>
      <c r="T506" s="2">
        <f t="shared" si="135"/>
        <v>113929284.00211492</v>
      </c>
      <c r="U506">
        <f t="shared" si="146"/>
        <v>2615.7600000000002</v>
      </c>
      <c r="V506">
        <v>0.25</v>
      </c>
      <c r="W506">
        <v>0</v>
      </c>
      <c r="X506" t="s">
        <v>463</v>
      </c>
      <c r="Y506">
        <f>13*0.3048</f>
        <v>3.9624000000000001</v>
      </c>
      <c r="AA506">
        <f>12*0.3048</f>
        <v>3.6576000000000004</v>
      </c>
      <c r="AE506">
        <f t="shared" si="147"/>
        <v>17.889047197464155</v>
      </c>
    </row>
    <row r="507" spans="1:31" x14ac:dyDescent="0.25">
      <c r="A507" t="s">
        <v>121</v>
      </c>
      <c r="B507" t="s">
        <v>122</v>
      </c>
      <c r="C507">
        <v>6</v>
      </c>
      <c r="D507">
        <v>7</v>
      </c>
      <c r="E507">
        <f t="shared" si="145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f t="shared" si="131"/>
        <v>39454.046178581448</v>
      </c>
      <c r="P507">
        <f t="shared" si="132"/>
        <v>1029.7984138808067</v>
      </c>
      <c r="Q507" s="2">
        <f t="shared" si="142"/>
        <v>2615.687971257249</v>
      </c>
      <c r="R507" s="2">
        <f t="shared" si="133"/>
        <v>17896075.59515084</v>
      </c>
      <c r="S507" s="2">
        <f t="shared" si="134"/>
        <v>43009073.768687427</v>
      </c>
      <c r="T507" s="2">
        <f t="shared" si="135"/>
        <v>113974045.48702168</v>
      </c>
      <c r="U507">
        <f t="shared" si="146"/>
        <v>2615.7600000000002</v>
      </c>
      <c r="V507">
        <v>0.25</v>
      </c>
      <c r="W507">
        <v>0</v>
      </c>
      <c r="X507" t="s">
        <v>464</v>
      </c>
      <c r="AE507">
        <f t="shared" si="147"/>
        <v>17.89607559515084</v>
      </c>
    </row>
    <row r="508" spans="1:31" x14ac:dyDescent="0.25">
      <c r="A508" t="s">
        <v>121</v>
      </c>
      <c r="B508" t="s">
        <v>122</v>
      </c>
      <c r="C508">
        <v>7</v>
      </c>
      <c r="D508">
        <v>7</v>
      </c>
      <c r="E508">
        <f t="shared" si="145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>
        <f t="shared" si="131"/>
        <v>39456.739210312153</v>
      </c>
      <c r="P508">
        <f t="shared" si="132"/>
        <v>1029.8218438115475</v>
      </c>
      <c r="Q508" s="2">
        <f t="shared" si="142"/>
        <v>2615.7474832813305</v>
      </c>
      <c r="R508" s="2">
        <f t="shared" si="133"/>
        <v>17897297.135248773</v>
      </c>
      <c r="S508" s="2">
        <f t="shared" si="134"/>
        <v>43012009.457459204</v>
      </c>
      <c r="T508" s="2">
        <f t="shared" si="135"/>
        <v>113981825.06226689</v>
      </c>
      <c r="U508">
        <f t="shared" si="146"/>
        <v>2615.7600000000002</v>
      </c>
      <c r="V508">
        <v>0.25</v>
      </c>
      <c r="W508">
        <v>0</v>
      </c>
      <c r="X508" t="s">
        <v>434</v>
      </c>
      <c r="Y508" s="7" t="s">
        <v>746</v>
      </c>
      <c r="AE508">
        <f t="shared" si="147"/>
        <v>17.89729713524877</v>
      </c>
    </row>
    <row r="509" spans="1:31" x14ac:dyDescent="0.25">
      <c r="A509" t="s">
        <v>121</v>
      </c>
      <c r="B509" t="s">
        <v>122</v>
      </c>
      <c r="C509">
        <v>8</v>
      </c>
      <c r="D509">
        <v>7</v>
      </c>
      <c r="E509">
        <f t="shared" si="145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f t="shared" si="131"/>
        <v>39457.207201553443</v>
      </c>
      <c r="P509">
        <f t="shared" si="132"/>
        <v>1029.8259153230072</v>
      </c>
      <c r="Q509" s="2">
        <f t="shared" si="142"/>
        <v>2615.757824920438</v>
      </c>
      <c r="R509" s="2">
        <f t="shared" si="133"/>
        <v>17897509.412757501</v>
      </c>
      <c r="S509" s="2">
        <f t="shared" si="134"/>
        <v>43012519.61729753</v>
      </c>
      <c r="T509" s="2">
        <f t="shared" si="135"/>
        <v>113983176.98583846</v>
      </c>
      <c r="U509">
        <f t="shared" si="146"/>
        <v>2615.7600000000002</v>
      </c>
      <c r="V509">
        <v>0.25</v>
      </c>
      <c r="W509">
        <v>0</v>
      </c>
      <c r="X509" t="s">
        <v>469</v>
      </c>
      <c r="Y509">
        <v>15</v>
      </c>
      <c r="AA509">
        <v>15</v>
      </c>
    </row>
    <row r="510" spans="1:31" x14ac:dyDescent="0.25">
      <c r="A510" t="s">
        <v>121</v>
      </c>
      <c r="B510" t="s">
        <v>122</v>
      </c>
      <c r="C510">
        <v>9</v>
      </c>
      <c r="D510">
        <v>7</v>
      </c>
      <c r="E510">
        <f t="shared" si="145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f t="shared" si="131"/>
        <v>39457.288526614335</v>
      </c>
      <c r="P510">
        <f t="shared" si="132"/>
        <v>1029.8266228456091</v>
      </c>
      <c r="Q510" s="2">
        <f t="shared" si="142"/>
        <v>2615.7596220278474</v>
      </c>
      <c r="R510" s="2">
        <f t="shared" si="133"/>
        <v>17897546.301228482</v>
      </c>
      <c r="S510" s="2">
        <f t="shared" si="134"/>
        <v>43012608.270195827</v>
      </c>
      <c r="T510" s="2">
        <f t="shared" si="135"/>
        <v>113983411.91601893</v>
      </c>
      <c r="U510">
        <f t="shared" si="146"/>
        <v>2615.7600000000002</v>
      </c>
      <c r="V510">
        <v>0.25</v>
      </c>
      <c r="W510">
        <v>0</v>
      </c>
      <c r="X510" t="s">
        <v>470</v>
      </c>
      <c r="Y510">
        <v>9</v>
      </c>
      <c r="AA510">
        <v>10</v>
      </c>
    </row>
    <row r="511" spans="1:31" x14ac:dyDescent="0.25">
      <c r="A511" t="s">
        <v>121</v>
      </c>
      <c r="B511" t="s">
        <v>122</v>
      </c>
      <c r="C511">
        <v>10</v>
      </c>
      <c r="D511">
        <v>7</v>
      </c>
      <c r="E511">
        <f t="shared" si="145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f t="shared" si="131"/>
        <v>39457.302658802262</v>
      </c>
      <c r="P511">
        <f t="shared" si="132"/>
        <v>1029.8267457946019</v>
      </c>
      <c r="Q511" s="2">
        <f t="shared" si="142"/>
        <v>2615.7599343182887</v>
      </c>
      <c r="R511" s="2">
        <f t="shared" si="133"/>
        <v>17897552.71148872</v>
      </c>
      <c r="S511" s="2">
        <f t="shared" si="134"/>
        <v>43012623.675771981</v>
      </c>
      <c r="T511" s="2">
        <f t="shared" si="135"/>
        <v>113983452.74079575</v>
      </c>
      <c r="U511">
        <f t="shared" si="146"/>
        <v>2615.7600000000002</v>
      </c>
      <c r="V511">
        <v>0.25</v>
      </c>
      <c r="W511">
        <v>0</v>
      </c>
      <c r="X511" t="s">
        <v>471</v>
      </c>
      <c r="Y511">
        <v>1</v>
      </c>
      <c r="AA511">
        <v>2</v>
      </c>
    </row>
    <row r="512" spans="1:31" x14ac:dyDescent="0.25">
      <c r="A512" t="s">
        <v>123</v>
      </c>
      <c r="B512" t="s">
        <v>124</v>
      </c>
      <c r="C512">
        <v>1</v>
      </c>
      <c r="D512">
        <v>2</v>
      </c>
      <c r="E512">
        <f t="shared" si="145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f t="shared" si="131"/>
        <v>0.34539732900927694</v>
      </c>
      <c r="P512">
        <f t="shared" si="132"/>
        <v>9.0276197853989171</v>
      </c>
      <c r="Q512">
        <f t="shared" ref="Q512:Q521" si="148">111*(1-EXP(-0.13*(E512-0.22)))</f>
        <v>22.930154254913251</v>
      </c>
      <c r="R512">
        <f t="shared" si="133"/>
        <v>156.66977937661682</v>
      </c>
      <c r="S512">
        <f t="shared" si="134"/>
        <v>376.51953707430141</v>
      </c>
      <c r="T512">
        <f t="shared" si="135"/>
        <v>997.77677324689876</v>
      </c>
      <c r="U512">
        <v>111</v>
      </c>
      <c r="V512">
        <v>0.13</v>
      </c>
      <c r="W512">
        <v>0.22</v>
      </c>
      <c r="Y512" t="s">
        <v>747</v>
      </c>
    </row>
    <row r="513" spans="1:25" x14ac:dyDescent="0.25">
      <c r="A513" t="s">
        <v>123</v>
      </c>
      <c r="B513" t="s">
        <v>124</v>
      </c>
      <c r="C513">
        <v>2</v>
      </c>
      <c r="D513">
        <v>2</v>
      </c>
      <c r="E513">
        <f t="shared" si="145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f t="shared" si="131"/>
        <v>2.4419520664382528</v>
      </c>
      <c r="P513">
        <f t="shared" si="132"/>
        <v>16.965986526289527</v>
      </c>
      <c r="Q513">
        <f t="shared" si="148"/>
        <v>43.093605776775398</v>
      </c>
      <c r="R513">
        <f t="shared" si="133"/>
        <v>1107.6521425180997</v>
      </c>
      <c r="S513">
        <f t="shared" si="134"/>
        <v>2661.9854422448925</v>
      </c>
      <c r="T513">
        <f t="shared" si="135"/>
        <v>7054.2614219489651</v>
      </c>
      <c r="U513">
        <v>111</v>
      </c>
      <c r="V513">
        <v>0.13</v>
      </c>
      <c r="W513">
        <v>0.22</v>
      </c>
    </row>
    <row r="514" spans="1:25" x14ac:dyDescent="0.25">
      <c r="A514" t="s">
        <v>123</v>
      </c>
      <c r="B514" t="s">
        <v>124</v>
      </c>
      <c r="C514">
        <v>3</v>
      </c>
      <c r="D514">
        <v>2</v>
      </c>
      <c r="E514">
        <f t="shared" si="145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f t="shared" ref="O514:O577" si="149">R514*0.00220462</f>
        <v>6.3456182847985039</v>
      </c>
      <c r="P514">
        <f t="shared" ref="P514:P577" si="150">Q514/2.54</f>
        <v>23.086876790543517</v>
      </c>
      <c r="Q514">
        <f t="shared" si="148"/>
        <v>58.640667047980536</v>
      </c>
      <c r="R514">
        <f t="shared" ref="R514:R577" si="151">L514*(Q514^M514)</f>
        <v>2878.327459969747</v>
      </c>
      <c r="S514">
        <f t="shared" ref="S514:S577" si="152">R514/20/5.7/3.65*1000</f>
        <v>6917.3935591678619</v>
      </c>
      <c r="T514">
        <f t="shared" ref="T514:T577" si="153">S514*2.65</f>
        <v>18331.092931794832</v>
      </c>
      <c r="U514">
        <v>111</v>
      </c>
      <c r="V514">
        <v>0.13</v>
      </c>
      <c r="W514">
        <v>0.22</v>
      </c>
    </row>
    <row r="515" spans="1:25" x14ac:dyDescent="0.25">
      <c r="A515" t="s">
        <v>123</v>
      </c>
      <c r="B515" t="s">
        <v>124</v>
      </c>
      <c r="C515">
        <v>4</v>
      </c>
      <c r="D515">
        <v>2</v>
      </c>
      <c r="E515">
        <f t="shared" si="145"/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f t="shared" si="149"/>
        <v>11.295113320542761</v>
      </c>
      <c r="P515">
        <f t="shared" si="150"/>
        <v>27.806398935326168</v>
      </c>
      <c r="Q515">
        <f t="shared" si="148"/>
        <v>70.62825329572847</v>
      </c>
      <c r="R515">
        <f t="shared" si="151"/>
        <v>5123.38331347024</v>
      </c>
      <c r="S515">
        <f t="shared" si="152"/>
        <v>12312.865449339677</v>
      </c>
      <c r="T515">
        <f t="shared" si="153"/>
        <v>32629.093440750145</v>
      </c>
      <c r="U515">
        <v>111</v>
      </c>
      <c r="V515">
        <v>0.13</v>
      </c>
      <c r="W515">
        <v>0.22</v>
      </c>
    </row>
    <row r="516" spans="1:25" x14ac:dyDescent="0.25">
      <c r="A516" t="s">
        <v>123</v>
      </c>
      <c r="B516" t="s">
        <v>124</v>
      </c>
      <c r="C516">
        <v>5</v>
      </c>
      <c r="D516">
        <v>2</v>
      </c>
      <c r="E516">
        <f t="shared" si="145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f t="shared" si="149"/>
        <v>16.537455725548487</v>
      </c>
      <c r="P516">
        <f t="shared" si="150"/>
        <v>31.445393969295882</v>
      </c>
      <c r="Q516">
        <f t="shared" si="148"/>
        <v>79.871300682011537</v>
      </c>
      <c r="R516">
        <f t="shared" si="151"/>
        <v>7501.2726572146157</v>
      </c>
      <c r="S516">
        <f t="shared" si="152"/>
        <v>18027.571875065165</v>
      </c>
      <c r="T516">
        <f t="shared" si="153"/>
        <v>47773.065468922687</v>
      </c>
      <c r="U516">
        <v>111</v>
      </c>
      <c r="V516">
        <v>0.13</v>
      </c>
      <c r="W516">
        <v>0.22</v>
      </c>
    </row>
    <row r="517" spans="1:25" x14ac:dyDescent="0.25">
      <c r="A517" t="s">
        <v>123</v>
      </c>
      <c r="B517" t="s">
        <v>124</v>
      </c>
      <c r="C517">
        <v>6</v>
      </c>
      <c r="D517">
        <v>2</v>
      </c>
      <c r="E517">
        <f t="shared" si="145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f t="shared" si="149"/>
        <v>21.554535391180867</v>
      </c>
      <c r="P517">
        <f t="shared" si="150"/>
        <v>34.25124686096953</v>
      </c>
      <c r="Q517">
        <f t="shared" si="148"/>
        <v>86.998167026862603</v>
      </c>
      <c r="R517">
        <f t="shared" si="151"/>
        <v>9776.9844196191934</v>
      </c>
      <c r="S517">
        <f t="shared" si="152"/>
        <v>23496.71814376158</v>
      </c>
      <c r="T517">
        <f t="shared" si="153"/>
        <v>62266.303080968188</v>
      </c>
      <c r="U517">
        <v>111</v>
      </c>
      <c r="V517">
        <v>0.13</v>
      </c>
      <c r="W517">
        <v>0.22</v>
      </c>
    </row>
    <row r="518" spans="1:25" x14ac:dyDescent="0.25">
      <c r="A518" t="s">
        <v>123</v>
      </c>
      <c r="B518" t="s">
        <v>124</v>
      </c>
      <c r="C518">
        <v>7</v>
      </c>
      <c r="D518">
        <v>2</v>
      </c>
      <c r="E518">
        <f t="shared" si="145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f t="shared" si="149"/>
        <v>26.061529933700164</v>
      </c>
      <c r="P518">
        <f t="shared" si="150"/>
        <v>36.414704182626018</v>
      </c>
      <c r="Q518">
        <f t="shared" si="148"/>
        <v>92.493348623870091</v>
      </c>
      <c r="R518">
        <f t="shared" si="151"/>
        <v>11821.325186971071</v>
      </c>
      <c r="S518">
        <f t="shared" si="152"/>
        <v>28409.817800939851</v>
      </c>
      <c r="T518">
        <f t="shared" si="153"/>
        <v>75286.017172490596</v>
      </c>
      <c r="U518">
        <v>111</v>
      </c>
      <c r="V518">
        <v>0.13</v>
      </c>
      <c r="W518">
        <v>0.22</v>
      </c>
    </row>
    <row r="519" spans="1:25" x14ac:dyDescent="0.25">
      <c r="A519" t="s">
        <v>123</v>
      </c>
      <c r="B519" t="s">
        <v>124</v>
      </c>
      <c r="C519">
        <v>8</v>
      </c>
      <c r="D519">
        <v>2</v>
      </c>
      <c r="E519">
        <f t="shared" si="145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f t="shared" si="149"/>
        <v>29.943518855926555</v>
      </c>
      <c r="P519">
        <f t="shared" si="150"/>
        <v>38.082841381307588</v>
      </c>
      <c r="Q519">
        <f t="shared" si="148"/>
        <v>96.73041710852128</v>
      </c>
      <c r="R519">
        <f t="shared" si="151"/>
        <v>13582.167836600664</v>
      </c>
      <c r="S519">
        <f t="shared" si="152"/>
        <v>32641.595377555062</v>
      </c>
      <c r="T519">
        <f t="shared" si="153"/>
        <v>86500.227750520906</v>
      </c>
      <c r="U519">
        <v>111</v>
      </c>
      <c r="V519">
        <v>0.13</v>
      </c>
      <c r="W519">
        <v>0.22</v>
      </c>
    </row>
    <row r="520" spans="1:25" x14ac:dyDescent="0.25">
      <c r="A520" t="s">
        <v>123</v>
      </c>
      <c r="B520" t="s">
        <v>124</v>
      </c>
      <c r="C520">
        <v>9</v>
      </c>
      <c r="D520">
        <v>2</v>
      </c>
      <c r="E520">
        <f t="shared" si="145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f t="shared" si="149"/>
        <v>33.191169266138274</v>
      </c>
      <c r="P520">
        <f t="shared" si="150"/>
        <v>39.369061213688937</v>
      </c>
      <c r="Q520">
        <f t="shared" si="148"/>
        <v>99.997415482769895</v>
      </c>
      <c r="R520">
        <f t="shared" si="151"/>
        <v>15055.279034998446</v>
      </c>
      <c r="S520">
        <f t="shared" si="152"/>
        <v>36181.877036766273</v>
      </c>
      <c r="T520">
        <f t="shared" si="153"/>
        <v>95881.974147430621</v>
      </c>
      <c r="U520">
        <v>111</v>
      </c>
      <c r="V520">
        <v>0.13</v>
      </c>
      <c r="W520">
        <v>0.22</v>
      </c>
    </row>
    <row r="521" spans="1:25" x14ac:dyDescent="0.25">
      <c r="A521" t="s">
        <v>123</v>
      </c>
      <c r="B521" t="s">
        <v>124</v>
      </c>
      <c r="C521">
        <v>10</v>
      </c>
      <c r="D521">
        <v>2</v>
      </c>
      <c r="E521">
        <f t="shared" si="145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f t="shared" si="149"/>
        <v>35.852318504040518</v>
      </c>
      <c r="P521">
        <f t="shared" si="150"/>
        <v>40.360803055138561</v>
      </c>
      <c r="Q521">
        <f t="shared" si="148"/>
        <v>102.51643976005195</v>
      </c>
      <c r="R521">
        <f t="shared" si="151"/>
        <v>16262.357460260959</v>
      </c>
      <c r="S521">
        <f t="shared" si="152"/>
        <v>39082.810526942943</v>
      </c>
      <c r="T521">
        <f t="shared" si="153"/>
        <v>103569.44789639879</v>
      </c>
      <c r="U521">
        <v>111</v>
      </c>
      <c r="V521">
        <v>0.13</v>
      </c>
      <c r="W521">
        <v>0.22</v>
      </c>
    </row>
    <row r="522" spans="1:25" x14ac:dyDescent="0.25">
      <c r="A522" t="s">
        <v>125</v>
      </c>
      <c r="B522" t="s">
        <v>126</v>
      </c>
      <c r="C522">
        <v>1</v>
      </c>
      <c r="D522">
        <v>1</v>
      </c>
      <c r="E522">
        <f t="shared" si="145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f t="shared" si="149"/>
        <v>5.5493212288959877E-2</v>
      </c>
      <c r="P522">
        <f t="shared" si="150"/>
        <v>5.0953193492557105</v>
      </c>
      <c r="Q522">
        <f t="shared" ref="Q522:Q531" si="154">136*(1-EXP(-0.1*(E522)))</f>
        <v>12.942111147109506</v>
      </c>
      <c r="R522">
        <f t="shared" si="151"/>
        <v>25.171327616078905</v>
      </c>
      <c r="S522">
        <f t="shared" si="152"/>
        <v>60.493457380627028</v>
      </c>
      <c r="T522">
        <f t="shared" si="153"/>
        <v>160.30766205866161</v>
      </c>
      <c r="U522">
        <v>136</v>
      </c>
      <c r="V522">
        <v>0.1</v>
      </c>
      <c r="W522">
        <v>0</v>
      </c>
      <c r="Y522" t="s">
        <v>728</v>
      </c>
    </row>
    <row r="523" spans="1:25" x14ac:dyDescent="0.25">
      <c r="A523" t="s">
        <v>125</v>
      </c>
      <c r="B523" t="s">
        <v>126</v>
      </c>
      <c r="C523">
        <v>2</v>
      </c>
      <c r="D523">
        <v>1</v>
      </c>
      <c r="E523">
        <f t="shared" si="145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f t="shared" si="149"/>
        <v>0.35960673313758373</v>
      </c>
      <c r="P523">
        <f t="shared" si="150"/>
        <v>9.7057549533049112</v>
      </c>
      <c r="Q523">
        <f t="shared" si="154"/>
        <v>24.652617581394473</v>
      </c>
      <c r="R523">
        <f t="shared" si="151"/>
        <v>163.11506433652227</v>
      </c>
      <c r="S523">
        <f t="shared" si="152"/>
        <v>392.00928703802515</v>
      </c>
      <c r="T523">
        <f t="shared" si="153"/>
        <v>1038.8246106507665</v>
      </c>
      <c r="U523">
        <v>136</v>
      </c>
      <c r="V523">
        <v>0.1</v>
      </c>
      <c r="W523">
        <v>0</v>
      </c>
    </row>
    <row r="524" spans="1:25" x14ac:dyDescent="0.25">
      <c r="A524" t="s">
        <v>125</v>
      </c>
      <c r="B524" t="s">
        <v>126</v>
      </c>
      <c r="C524">
        <v>3</v>
      </c>
      <c r="D524">
        <v>1</v>
      </c>
      <c r="E524">
        <f t="shared" si="145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f t="shared" si="149"/>
        <v>1.0142401313462461</v>
      </c>
      <c r="P524">
        <f t="shared" si="150"/>
        <v>13.877449601293845</v>
      </c>
      <c r="Q524">
        <f t="shared" si="154"/>
        <v>35.248721987286366</v>
      </c>
      <c r="R524">
        <f t="shared" si="151"/>
        <v>460.05213204372916</v>
      </c>
      <c r="S524">
        <f t="shared" si="152"/>
        <v>1105.6287720349176</v>
      </c>
      <c r="T524">
        <f t="shared" si="153"/>
        <v>2929.9162458925316</v>
      </c>
      <c r="U524">
        <v>136</v>
      </c>
      <c r="V524">
        <v>0.1</v>
      </c>
      <c r="W524">
        <v>0</v>
      </c>
    </row>
    <row r="525" spans="1:25" x14ac:dyDescent="0.25">
      <c r="A525" t="s">
        <v>125</v>
      </c>
      <c r="B525" t="s">
        <v>126</v>
      </c>
      <c r="C525">
        <v>4</v>
      </c>
      <c r="D525">
        <v>1</v>
      </c>
      <c r="E525">
        <f t="shared" si="145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f t="shared" si="149"/>
        <v>2.0377748823399293</v>
      </c>
      <c r="P525">
        <f t="shared" si="150"/>
        <v>17.652155015414586</v>
      </c>
      <c r="Q525">
        <f t="shared" si="154"/>
        <v>44.83647373915305</v>
      </c>
      <c r="R525">
        <f t="shared" si="151"/>
        <v>924.32023765543681</v>
      </c>
      <c r="S525">
        <f t="shared" si="152"/>
        <v>2221.3896603110716</v>
      </c>
      <c r="T525">
        <f t="shared" si="153"/>
        <v>5886.6825998243394</v>
      </c>
      <c r="U525">
        <v>136</v>
      </c>
      <c r="V525">
        <v>0.1</v>
      </c>
      <c r="W525">
        <v>0</v>
      </c>
    </row>
    <row r="526" spans="1:25" x14ac:dyDescent="0.25">
      <c r="A526" t="s">
        <v>125</v>
      </c>
      <c r="B526" t="s">
        <v>126</v>
      </c>
      <c r="C526">
        <v>5</v>
      </c>
      <c r="D526">
        <v>1</v>
      </c>
      <c r="E526">
        <f t="shared" si="145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f t="shared" si="149"/>
        <v>3.4035288637362187</v>
      </c>
      <c r="P526">
        <f t="shared" si="150"/>
        <v>21.06764971617396</v>
      </c>
      <c r="Q526">
        <f t="shared" si="154"/>
        <v>53.511830279081856</v>
      </c>
      <c r="R526">
        <f t="shared" si="151"/>
        <v>1543.8165596502884</v>
      </c>
      <c r="S526">
        <f t="shared" si="152"/>
        <v>3710.2056228077104</v>
      </c>
      <c r="T526">
        <f t="shared" si="153"/>
        <v>9832.0449004404327</v>
      </c>
      <c r="U526">
        <v>136</v>
      </c>
      <c r="V526">
        <v>0.1</v>
      </c>
      <c r="W526">
        <v>0</v>
      </c>
    </row>
    <row r="527" spans="1:25" x14ac:dyDescent="0.25">
      <c r="A527" t="s">
        <v>125</v>
      </c>
      <c r="B527" t="s">
        <v>126</v>
      </c>
      <c r="C527">
        <v>6</v>
      </c>
      <c r="D527">
        <v>1</v>
      </c>
      <c r="E527">
        <f t="shared" si="145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f t="shared" si="149"/>
        <v>5.0620417105033466</v>
      </c>
      <c r="P527">
        <f t="shared" si="150"/>
        <v>24.158117122524573</v>
      </c>
      <c r="Q527">
        <f t="shared" si="154"/>
        <v>61.361617491212414</v>
      </c>
      <c r="R527">
        <f t="shared" si="151"/>
        <v>2296.1062271517753</v>
      </c>
      <c r="S527">
        <f t="shared" si="152"/>
        <v>5518.1596422777584</v>
      </c>
      <c r="T527">
        <f t="shared" si="153"/>
        <v>14623.123052036059</v>
      </c>
      <c r="U527">
        <v>136</v>
      </c>
      <c r="V527">
        <v>0.1</v>
      </c>
      <c r="W527">
        <v>0</v>
      </c>
    </row>
    <row r="528" spans="1:25" x14ac:dyDescent="0.25">
      <c r="A528" t="s">
        <v>125</v>
      </c>
      <c r="B528" t="s">
        <v>126</v>
      </c>
      <c r="C528">
        <v>7</v>
      </c>
      <c r="D528">
        <v>1</v>
      </c>
      <c r="E528">
        <f t="shared" si="145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f t="shared" si="149"/>
        <v>6.9546121770560472</v>
      </c>
      <c r="P528">
        <f t="shared" si="150"/>
        <v>26.954487671011147</v>
      </c>
      <c r="Q528">
        <f t="shared" si="154"/>
        <v>68.464398684368319</v>
      </c>
      <c r="R528">
        <f t="shared" si="151"/>
        <v>3154.5627713873805</v>
      </c>
      <c r="S528">
        <f t="shared" si="152"/>
        <v>7581.2611665161767</v>
      </c>
      <c r="T528">
        <f t="shared" si="153"/>
        <v>20090.342091267867</v>
      </c>
      <c r="U528">
        <v>136</v>
      </c>
      <c r="V528">
        <v>0.1</v>
      </c>
      <c r="W528">
        <v>0</v>
      </c>
    </row>
    <row r="529" spans="1:25" x14ac:dyDescent="0.25">
      <c r="A529" t="s">
        <v>125</v>
      </c>
      <c r="B529" t="s">
        <v>126</v>
      </c>
      <c r="C529">
        <v>8</v>
      </c>
      <c r="D529">
        <v>1</v>
      </c>
      <c r="E529">
        <f t="shared" si="145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f t="shared" si="149"/>
        <v>9.0214285789135484</v>
      </c>
      <c r="P529">
        <f t="shared" si="150"/>
        <v>29.484748377975539</v>
      </c>
      <c r="Q529">
        <f t="shared" si="154"/>
        <v>74.891260880057871</v>
      </c>
      <c r="R529">
        <f t="shared" si="151"/>
        <v>4092.0560363752252</v>
      </c>
      <c r="S529">
        <f t="shared" si="152"/>
        <v>9834.3091477414673</v>
      </c>
      <c r="T529">
        <f t="shared" si="153"/>
        <v>26060.919241514886</v>
      </c>
      <c r="U529">
        <v>136</v>
      </c>
      <c r="V529">
        <v>0.1</v>
      </c>
      <c r="W529">
        <v>0</v>
      </c>
    </row>
    <row r="530" spans="1:25" x14ac:dyDescent="0.25">
      <c r="A530" t="s">
        <v>125</v>
      </c>
      <c r="B530" t="s">
        <v>126</v>
      </c>
      <c r="C530">
        <v>9</v>
      </c>
      <c r="D530">
        <v>1</v>
      </c>
      <c r="E530">
        <f t="shared" si="145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f t="shared" si="149"/>
        <v>11.206244704065377</v>
      </c>
      <c r="P530">
        <f t="shared" si="150"/>
        <v>31.774222943023037</v>
      </c>
      <c r="Q530">
        <f t="shared" si="154"/>
        <v>80.70652627527852</v>
      </c>
      <c r="R530">
        <f t="shared" si="151"/>
        <v>5083.0731391647432</v>
      </c>
      <c r="S530">
        <f t="shared" si="152"/>
        <v>12215.989279415388</v>
      </c>
      <c r="T530">
        <f t="shared" si="153"/>
        <v>32372.371590450777</v>
      </c>
      <c r="U530">
        <v>136</v>
      </c>
      <c r="V530">
        <v>0.1</v>
      </c>
      <c r="W530">
        <v>0</v>
      </c>
    </row>
    <row r="531" spans="1:25" x14ac:dyDescent="0.25">
      <c r="A531" t="s">
        <v>125</v>
      </c>
      <c r="B531" t="s">
        <v>126</v>
      </c>
      <c r="C531">
        <v>10</v>
      </c>
      <c r="D531">
        <v>1</v>
      </c>
      <c r="E531">
        <f t="shared" si="145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f t="shared" si="149"/>
        <v>13.458838780245086</v>
      </c>
      <c r="P531">
        <f t="shared" si="150"/>
        <v>33.845825197119623</v>
      </c>
      <c r="Q531">
        <f t="shared" si="154"/>
        <v>85.968396000683839</v>
      </c>
      <c r="R531">
        <f t="shared" si="151"/>
        <v>6104.8338399565846</v>
      </c>
      <c r="S531">
        <f t="shared" si="152"/>
        <v>14671.554530056677</v>
      </c>
      <c r="T531">
        <f t="shared" si="153"/>
        <v>38879.619504650196</v>
      </c>
      <c r="U531">
        <v>136</v>
      </c>
      <c r="V531">
        <v>0.1</v>
      </c>
      <c r="W531">
        <v>0</v>
      </c>
    </row>
    <row r="532" spans="1:25" x14ac:dyDescent="0.25">
      <c r="A532" t="s">
        <v>127</v>
      </c>
      <c r="B532" t="s">
        <v>128</v>
      </c>
      <c r="C532">
        <v>1</v>
      </c>
      <c r="D532">
        <v>2</v>
      </c>
      <c r="E532">
        <f t="shared" si="145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f t="shared" si="149"/>
        <v>0.77275059917875455</v>
      </c>
      <c r="P532">
        <f t="shared" si="150"/>
        <v>11.517515551485086</v>
      </c>
      <c r="Q532">
        <f t="shared" ref="Q532:Q541" si="155">62.2*(1-EXP(-0.31*(E532+0.05)))</f>
        <v>29.25448950077212</v>
      </c>
      <c r="R532">
        <f t="shared" si="151"/>
        <v>350.51419254962514</v>
      </c>
      <c r="S532">
        <f t="shared" si="152"/>
        <v>842.37969850907257</v>
      </c>
      <c r="T532">
        <f t="shared" si="153"/>
        <v>2232.3062010490421</v>
      </c>
      <c r="U532">
        <v>62.2</v>
      </c>
      <c r="V532">
        <v>0.31</v>
      </c>
      <c r="W532">
        <v>-0.05</v>
      </c>
      <c r="Y532" t="s">
        <v>748</v>
      </c>
    </row>
    <row r="533" spans="1:25" x14ac:dyDescent="0.25">
      <c r="A533" t="s">
        <v>127</v>
      </c>
      <c r="B533" t="s">
        <v>128</v>
      </c>
      <c r="C533">
        <v>2</v>
      </c>
      <c r="D533">
        <v>2</v>
      </c>
      <c r="E533">
        <f t="shared" si="145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f t="shared" si="149"/>
        <v>2.7156419601989099</v>
      </c>
      <c r="P533">
        <f t="shared" si="150"/>
        <v>17.510687355599771</v>
      </c>
      <c r="Q533">
        <f t="shared" si="155"/>
        <v>44.477145883223415</v>
      </c>
      <c r="R533">
        <f t="shared" si="151"/>
        <v>1231.7959377121272</v>
      </c>
      <c r="S533">
        <f t="shared" si="152"/>
        <v>2960.3363078878328</v>
      </c>
      <c r="T533">
        <f t="shared" si="153"/>
        <v>7844.8912159027568</v>
      </c>
      <c r="U533">
        <v>62.2</v>
      </c>
      <c r="V533">
        <v>0.31</v>
      </c>
      <c r="W533">
        <v>-0.05</v>
      </c>
    </row>
    <row r="534" spans="1:25" x14ac:dyDescent="0.25">
      <c r="A534" t="s">
        <v>127</v>
      </c>
      <c r="B534" t="s">
        <v>128</v>
      </c>
      <c r="C534">
        <v>3</v>
      </c>
      <c r="D534">
        <v>2</v>
      </c>
      <c r="E534">
        <f t="shared" si="145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f t="shared" si="149"/>
        <v>4.5087379013840909</v>
      </c>
      <c r="P534">
        <f t="shared" si="150"/>
        <v>20.734680791172504</v>
      </c>
      <c r="Q534">
        <f t="shared" si="155"/>
        <v>52.666089209578161</v>
      </c>
      <c r="R534">
        <f t="shared" si="151"/>
        <v>2045.1315425715502</v>
      </c>
      <c r="S534">
        <f t="shared" si="152"/>
        <v>4915.0001023108625</v>
      </c>
      <c r="T534">
        <f t="shared" si="153"/>
        <v>13024.750271123785</v>
      </c>
      <c r="U534">
        <v>62.2</v>
      </c>
      <c r="V534">
        <v>0.31</v>
      </c>
      <c r="W534">
        <v>-0.05</v>
      </c>
    </row>
    <row r="535" spans="1:25" x14ac:dyDescent="0.25">
      <c r="A535" t="s">
        <v>127</v>
      </c>
      <c r="B535" t="s">
        <v>128</v>
      </c>
      <c r="C535">
        <v>4</v>
      </c>
      <c r="D535">
        <v>2</v>
      </c>
      <c r="E535">
        <f t="shared" si="145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f t="shared" si="149"/>
        <v>5.7373949712100849</v>
      </c>
      <c r="P535">
        <f t="shared" si="150"/>
        <v>22.469010126680601</v>
      </c>
      <c r="Q535">
        <f t="shared" si="155"/>
        <v>57.071285721768724</v>
      </c>
      <c r="R535">
        <f t="shared" si="151"/>
        <v>2602.4416775725908</v>
      </c>
      <c r="S535">
        <f t="shared" si="152"/>
        <v>6254.3659638851022</v>
      </c>
      <c r="T535">
        <f t="shared" si="153"/>
        <v>16574.069804295519</v>
      </c>
      <c r="U535">
        <v>62.2</v>
      </c>
      <c r="V535">
        <v>0.31</v>
      </c>
      <c r="W535">
        <v>-0.05</v>
      </c>
    </row>
    <row r="536" spans="1:25" x14ac:dyDescent="0.25">
      <c r="A536" t="s">
        <v>127</v>
      </c>
      <c r="B536" t="s">
        <v>128</v>
      </c>
      <c r="C536">
        <v>5</v>
      </c>
      <c r="D536">
        <v>2</v>
      </c>
      <c r="E536">
        <f t="shared" si="145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f t="shared" si="149"/>
        <v>6.482177276008799</v>
      </c>
      <c r="P536">
        <f t="shared" si="150"/>
        <v>23.401982945674451</v>
      </c>
      <c r="Q536">
        <f t="shared" si="155"/>
        <v>59.441036682013106</v>
      </c>
      <c r="R536">
        <f t="shared" si="151"/>
        <v>2940.2696501024207</v>
      </c>
      <c r="S536">
        <f t="shared" si="152"/>
        <v>7066.257270133191</v>
      </c>
      <c r="T536">
        <f t="shared" si="153"/>
        <v>18725.581765852956</v>
      </c>
      <c r="U536">
        <v>62.2</v>
      </c>
      <c r="V536">
        <v>0.31</v>
      </c>
      <c r="W536">
        <v>-0.05</v>
      </c>
    </row>
    <row r="537" spans="1:25" x14ac:dyDescent="0.25">
      <c r="A537" t="s">
        <v>127</v>
      </c>
      <c r="B537" t="s">
        <v>128</v>
      </c>
      <c r="C537">
        <v>6</v>
      </c>
      <c r="D537">
        <v>2</v>
      </c>
      <c r="E537">
        <f t="shared" si="145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f t="shared" si="149"/>
        <v>6.9082430636609002</v>
      </c>
      <c r="P537">
        <f t="shared" si="150"/>
        <v>23.903870484079214</v>
      </c>
      <c r="Q537">
        <f t="shared" si="155"/>
        <v>60.715831029561201</v>
      </c>
      <c r="R537">
        <f t="shared" si="151"/>
        <v>3133.5300703345247</v>
      </c>
      <c r="S537">
        <f t="shared" si="152"/>
        <v>7530.7139397609344</v>
      </c>
      <c r="T537">
        <f t="shared" si="153"/>
        <v>19956.391940366477</v>
      </c>
      <c r="U537">
        <v>62.2</v>
      </c>
      <c r="V537">
        <v>0.31</v>
      </c>
      <c r="W537">
        <v>-0.05</v>
      </c>
    </row>
    <row r="538" spans="1:25" x14ac:dyDescent="0.25">
      <c r="A538" t="s">
        <v>127</v>
      </c>
      <c r="B538" t="s">
        <v>128</v>
      </c>
      <c r="C538">
        <v>7</v>
      </c>
      <c r="D538">
        <v>2</v>
      </c>
      <c r="E538">
        <f t="shared" si="145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f t="shared" si="149"/>
        <v>7.1449769749297847</v>
      </c>
      <c r="P538">
        <f t="shared" si="150"/>
        <v>24.173858093662137</v>
      </c>
      <c r="Q538">
        <f t="shared" si="155"/>
        <v>61.401599557901832</v>
      </c>
      <c r="R538">
        <f t="shared" si="151"/>
        <v>3240.9108939090565</v>
      </c>
      <c r="S538">
        <f t="shared" si="152"/>
        <v>7788.7788846648809</v>
      </c>
      <c r="T538">
        <f t="shared" si="153"/>
        <v>20640.264044361935</v>
      </c>
      <c r="U538">
        <v>62.2</v>
      </c>
      <c r="V538">
        <v>0.31</v>
      </c>
      <c r="W538">
        <v>-0.05</v>
      </c>
    </row>
    <row r="539" spans="1:25" x14ac:dyDescent="0.25">
      <c r="A539" t="s">
        <v>127</v>
      </c>
      <c r="B539" t="s">
        <v>128</v>
      </c>
      <c r="C539">
        <v>8</v>
      </c>
      <c r="D539">
        <v>2</v>
      </c>
      <c r="E539">
        <f t="shared" si="145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f t="shared" si="149"/>
        <v>7.2745349154031826</v>
      </c>
      <c r="P539">
        <f t="shared" si="150"/>
        <v>24.319096426456756</v>
      </c>
      <c r="Q539">
        <f t="shared" si="155"/>
        <v>61.770504923200164</v>
      </c>
      <c r="R539">
        <f t="shared" si="151"/>
        <v>3299.6774570688749</v>
      </c>
      <c r="S539">
        <f t="shared" si="152"/>
        <v>7930.0107115329847</v>
      </c>
      <c r="T539">
        <f t="shared" si="153"/>
        <v>21014.528385562407</v>
      </c>
      <c r="U539">
        <v>62.2</v>
      </c>
      <c r="V539">
        <v>0.31</v>
      </c>
      <c r="W539">
        <v>-0.05</v>
      </c>
    </row>
    <row r="540" spans="1:25" x14ac:dyDescent="0.25">
      <c r="A540" t="s">
        <v>127</v>
      </c>
      <c r="B540" t="s">
        <v>128</v>
      </c>
      <c r="C540">
        <v>9</v>
      </c>
      <c r="D540">
        <v>2</v>
      </c>
      <c r="E540">
        <f t="shared" si="145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f t="shared" si="149"/>
        <v>7.344873276202005</v>
      </c>
      <c r="P540">
        <f t="shared" si="150"/>
        <v>24.397226579709145</v>
      </c>
      <c r="Q540">
        <f t="shared" si="155"/>
        <v>61.968955512461228</v>
      </c>
      <c r="R540">
        <f t="shared" si="151"/>
        <v>3331.5824387885464</v>
      </c>
      <c r="S540">
        <f t="shared" si="152"/>
        <v>8006.686947340896</v>
      </c>
      <c r="T540">
        <f t="shared" si="153"/>
        <v>21217.720410453374</v>
      </c>
      <c r="U540">
        <v>62.2</v>
      </c>
      <c r="V540">
        <v>0.31</v>
      </c>
      <c r="W540">
        <v>-0.05</v>
      </c>
    </row>
    <row r="541" spans="1:25" x14ac:dyDescent="0.25">
      <c r="A541" t="s">
        <v>127</v>
      </c>
      <c r="B541" t="s">
        <v>128</v>
      </c>
      <c r="C541">
        <v>10</v>
      </c>
      <c r="D541">
        <v>2</v>
      </c>
      <c r="E541">
        <f t="shared" si="145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f t="shared" si="149"/>
        <v>7.3828982702121877</v>
      </c>
      <c r="P541">
        <f t="shared" si="150"/>
        <v>24.43925626105969</v>
      </c>
      <c r="Q541">
        <f t="shared" si="155"/>
        <v>62.075710903091611</v>
      </c>
      <c r="R541">
        <f t="shared" si="151"/>
        <v>3348.8303064528977</v>
      </c>
      <c r="S541">
        <f t="shared" si="152"/>
        <v>8048.1382034436365</v>
      </c>
      <c r="T541">
        <f t="shared" si="153"/>
        <v>21327.566239125637</v>
      </c>
      <c r="U541">
        <v>62.2</v>
      </c>
      <c r="V541">
        <v>0.31</v>
      </c>
      <c r="W541">
        <v>-0.05</v>
      </c>
    </row>
    <row r="542" spans="1:25" x14ac:dyDescent="0.25">
      <c r="A542" t="s">
        <v>129</v>
      </c>
      <c r="B542" t="s">
        <v>130</v>
      </c>
      <c r="C542">
        <v>1</v>
      </c>
      <c r="D542">
        <v>2</v>
      </c>
      <c r="E542">
        <f t="shared" si="145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f t="shared" si="149"/>
        <v>4.4702735380298265E-2</v>
      </c>
      <c r="P542">
        <f t="shared" si="150"/>
        <v>5.1260281366992722</v>
      </c>
      <c r="Q542">
        <f t="shared" ref="Q542:Q551" si="156">158*(1-EXP(-0.043*(E542)))</f>
        <v>13.020111467216152</v>
      </c>
      <c r="R542">
        <f t="shared" si="151"/>
        <v>20.276843800880997</v>
      </c>
      <c r="S542">
        <f t="shared" si="152"/>
        <v>48.730698872581094</v>
      </c>
      <c r="T542">
        <f t="shared" si="153"/>
        <v>129.1363520123399</v>
      </c>
      <c r="U542">
        <v>158</v>
      </c>
      <c r="V542">
        <v>4.2999999999999997E-2</v>
      </c>
      <c r="W542">
        <v>0</v>
      </c>
      <c r="Y542" t="s">
        <v>749</v>
      </c>
    </row>
    <row r="543" spans="1:25" x14ac:dyDescent="0.25">
      <c r="A543" t="s">
        <v>129</v>
      </c>
      <c r="B543" t="s">
        <v>130</v>
      </c>
      <c r="C543">
        <v>2</v>
      </c>
      <c r="D543">
        <v>2</v>
      </c>
      <c r="E543">
        <f t="shared" si="145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f t="shared" si="149"/>
        <v>0.2915234107370489</v>
      </c>
      <c r="P543">
        <f t="shared" si="150"/>
        <v>9.8296419840066989</v>
      </c>
      <c r="Q543">
        <f t="shared" si="156"/>
        <v>24.967290639377016</v>
      </c>
      <c r="R543">
        <f t="shared" si="151"/>
        <v>132.23295204481903</v>
      </c>
      <c r="S543">
        <f t="shared" si="152"/>
        <v>317.79128104979344</v>
      </c>
      <c r="T543">
        <f t="shared" si="153"/>
        <v>842.1468947819526</v>
      </c>
      <c r="U543">
        <v>158</v>
      </c>
      <c r="V543">
        <v>4.2999999999999997E-2</v>
      </c>
      <c r="W543">
        <v>0</v>
      </c>
    </row>
    <row r="544" spans="1:25" x14ac:dyDescent="0.25">
      <c r="A544" t="s">
        <v>129</v>
      </c>
      <c r="B544" t="s">
        <v>130</v>
      </c>
      <c r="C544">
        <v>3</v>
      </c>
      <c r="D544">
        <v>2</v>
      </c>
      <c r="E544">
        <f t="shared" si="145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f t="shared" si="149"/>
        <v>0.83168509193668805</v>
      </c>
      <c r="P544">
        <f t="shared" si="150"/>
        <v>14.145650916183214</v>
      </c>
      <c r="Q544">
        <f t="shared" si="156"/>
        <v>35.929953327105366</v>
      </c>
      <c r="R544">
        <f t="shared" si="151"/>
        <v>377.24646058580981</v>
      </c>
      <c r="S544">
        <f t="shared" si="152"/>
        <v>906.624514745998</v>
      </c>
      <c r="T544">
        <f t="shared" si="153"/>
        <v>2402.5549640768945</v>
      </c>
      <c r="U544">
        <v>158</v>
      </c>
      <c r="V544">
        <v>4.2999999999999997E-2</v>
      </c>
      <c r="W544">
        <v>0</v>
      </c>
    </row>
    <row r="545" spans="1:25" x14ac:dyDescent="0.25">
      <c r="A545" t="s">
        <v>129</v>
      </c>
      <c r="B545" t="s">
        <v>130</v>
      </c>
      <c r="C545">
        <v>4</v>
      </c>
      <c r="D545">
        <v>2</v>
      </c>
      <c r="E545">
        <f t="shared" si="145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f t="shared" si="149"/>
        <v>1.6931421322324676</v>
      </c>
      <c r="P545">
        <f t="shared" si="150"/>
        <v>18.105995814243027</v>
      </c>
      <c r="Q545">
        <f t="shared" si="156"/>
        <v>45.989229368177291</v>
      </c>
      <c r="R545">
        <f t="shared" si="151"/>
        <v>767.99726584738755</v>
      </c>
      <c r="S545">
        <f t="shared" si="152"/>
        <v>1845.703594922825</v>
      </c>
      <c r="T545">
        <f t="shared" si="153"/>
        <v>4891.1145265454861</v>
      </c>
      <c r="U545">
        <v>158</v>
      </c>
      <c r="V545">
        <v>4.2999999999999997E-2</v>
      </c>
      <c r="W545">
        <v>0</v>
      </c>
    </row>
    <row r="546" spans="1:25" x14ac:dyDescent="0.25">
      <c r="A546" t="s">
        <v>129</v>
      </c>
      <c r="B546" t="s">
        <v>130</v>
      </c>
      <c r="C546">
        <v>5</v>
      </c>
      <c r="D546">
        <v>2</v>
      </c>
      <c r="E546">
        <f t="shared" si="145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f t="shared" si="149"/>
        <v>2.8672891874892144</v>
      </c>
      <c r="P546">
        <f t="shared" si="150"/>
        <v>21.739985446344871</v>
      </c>
      <c r="Q546">
        <f t="shared" si="156"/>
        <v>55.219563033715971</v>
      </c>
      <c r="R546">
        <f t="shared" si="151"/>
        <v>1300.5820447465842</v>
      </c>
      <c r="S546">
        <f t="shared" si="152"/>
        <v>3125.6477883840048</v>
      </c>
      <c r="T546">
        <f t="shared" si="153"/>
        <v>8282.9666392176132</v>
      </c>
      <c r="U546">
        <v>158</v>
      </c>
      <c r="V546">
        <v>4.2999999999999997E-2</v>
      </c>
      <c r="W546">
        <v>0</v>
      </c>
    </row>
    <row r="547" spans="1:25" x14ac:dyDescent="0.25">
      <c r="A547" t="s">
        <v>129</v>
      </c>
      <c r="B547" t="s">
        <v>130</v>
      </c>
      <c r="C547">
        <v>6</v>
      </c>
      <c r="D547">
        <v>2</v>
      </c>
      <c r="E547">
        <f t="shared" si="145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f t="shared" si="149"/>
        <v>4.3246851796066172</v>
      </c>
      <c r="P547">
        <f t="shared" si="150"/>
        <v>25.074513369075369</v>
      </c>
      <c r="Q547">
        <f t="shared" si="156"/>
        <v>63.689263957451438</v>
      </c>
      <c r="R547">
        <f t="shared" si="151"/>
        <v>1961.6465330109577</v>
      </c>
      <c r="S547">
        <f t="shared" si="152"/>
        <v>4714.3632131962449</v>
      </c>
      <c r="T547">
        <f t="shared" si="153"/>
        <v>12493.062514970048</v>
      </c>
      <c r="U547">
        <v>158</v>
      </c>
      <c r="V547">
        <v>4.2999999999999997E-2</v>
      </c>
      <c r="W547">
        <v>0</v>
      </c>
    </row>
    <row r="548" spans="1:25" x14ac:dyDescent="0.25">
      <c r="A548" t="s">
        <v>129</v>
      </c>
      <c r="B548" t="s">
        <v>130</v>
      </c>
      <c r="C548">
        <v>7</v>
      </c>
      <c r="D548">
        <v>2</v>
      </c>
      <c r="E548">
        <f t="shared" si="145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f t="shared" si="149"/>
        <v>6.0250819002095559</v>
      </c>
      <c r="P548">
        <f t="shared" si="150"/>
        <v>28.134256954815374</v>
      </c>
      <c r="Q548">
        <f t="shared" si="156"/>
        <v>71.461012665231053</v>
      </c>
      <c r="R548">
        <f t="shared" si="151"/>
        <v>2732.9344287040649</v>
      </c>
      <c r="S548">
        <f t="shared" si="152"/>
        <v>6567.9750749917439</v>
      </c>
      <c r="T548">
        <f t="shared" si="153"/>
        <v>17405.133948728122</v>
      </c>
      <c r="U548">
        <v>158</v>
      </c>
      <c r="V548">
        <v>4.2999999999999997E-2</v>
      </c>
      <c r="W548">
        <v>0</v>
      </c>
    </row>
    <row r="549" spans="1:25" x14ac:dyDescent="0.25">
      <c r="A549" t="s">
        <v>129</v>
      </c>
      <c r="B549" t="s">
        <v>130</v>
      </c>
      <c r="C549">
        <v>8</v>
      </c>
      <c r="D549">
        <v>2</v>
      </c>
      <c r="E549">
        <f t="shared" si="145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f t="shared" si="149"/>
        <v>7.9238918771271942</v>
      </c>
      <c r="P549">
        <f t="shared" si="150"/>
        <v>30.941860018103274</v>
      </c>
      <c r="Q549">
        <f t="shared" si="156"/>
        <v>78.592324445982314</v>
      </c>
      <c r="R549">
        <f t="shared" si="151"/>
        <v>3594.2211705995564</v>
      </c>
      <c r="S549">
        <f t="shared" si="152"/>
        <v>8637.8783239595214</v>
      </c>
      <c r="T549">
        <f t="shared" si="153"/>
        <v>22890.377558492732</v>
      </c>
      <c r="U549">
        <v>158</v>
      </c>
      <c r="V549">
        <v>4.2999999999999997E-2</v>
      </c>
      <c r="W549">
        <v>0</v>
      </c>
    </row>
    <row r="550" spans="1:25" x14ac:dyDescent="0.25">
      <c r="A550" t="s">
        <v>129</v>
      </c>
      <c r="B550" t="s">
        <v>130</v>
      </c>
      <c r="C550">
        <v>9</v>
      </c>
      <c r="D550">
        <v>2</v>
      </c>
      <c r="E550">
        <f t="shared" si="145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f t="shared" si="149"/>
        <v>9.9763005497434492</v>
      </c>
      <c r="P550">
        <f t="shared" si="150"/>
        <v>33.518100392532268</v>
      </c>
      <c r="Q550">
        <f t="shared" si="156"/>
        <v>85.135974997031965</v>
      </c>
      <c r="R550">
        <f t="shared" si="151"/>
        <v>4525.1791917625033</v>
      </c>
      <c r="S550">
        <f t="shared" si="152"/>
        <v>10875.220359919498</v>
      </c>
      <c r="T550">
        <f t="shared" si="153"/>
        <v>28819.33395378667</v>
      </c>
      <c r="U550">
        <v>158</v>
      </c>
      <c r="V550">
        <v>4.2999999999999997E-2</v>
      </c>
      <c r="W550">
        <v>0</v>
      </c>
    </row>
    <row r="551" spans="1:25" x14ac:dyDescent="0.25">
      <c r="A551" t="s">
        <v>129</v>
      </c>
      <c r="B551" t="s">
        <v>130</v>
      </c>
      <c r="C551">
        <v>10</v>
      </c>
      <c r="D551">
        <v>2</v>
      </c>
      <c r="E551">
        <f t="shared" si="145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f t="shared" si="149"/>
        <v>12.139788251601704</v>
      </c>
      <c r="P551">
        <f t="shared" si="150"/>
        <v>35.882043698344752</v>
      </c>
      <c r="Q551">
        <f t="shared" si="156"/>
        <v>91.140390993795677</v>
      </c>
      <c r="R551">
        <f t="shared" si="151"/>
        <v>5506.5218729766148</v>
      </c>
      <c r="S551">
        <f t="shared" si="152"/>
        <v>13233.650259496793</v>
      </c>
      <c r="T551">
        <f t="shared" si="153"/>
        <v>35069.1731876665</v>
      </c>
      <c r="U551">
        <v>158</v>
      </c>
      <c r="V551">
        <v>4.2999999999999997E-2</v>
      </c>
      <c r="W551">
        <v>0</v>
      </c>
    </row>
    <row r="552" spans="1:25" x14ac:dyDescent="0.25">
      <c r="A552" t="s">
        <v>131</v>
      </c>
      <c r="B552" t="s">
        <v>132</v>
      </c>
      <c r="C552">
        <v>1</v>
      </c>
      <c r="D552">
        <v>2</v>
      </c>
      <c r="E552">
        <f t="shared" si="145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f t="shared" si="149"/>
        <v>8.0479844273819684E-2</v>
      </c>
      <c r="P552">
        <f t="shared" si="150"/>
        <v>5.9316432662091669</v>
      </c>
      <c r="Q552">
        <f t="shared" ref="Q552:Q561" si="157">45.7*(1-EXP(-0.2*(E552)))</f>
        <v>15.066373896171283</v>
      </c>
      <c r="R552">
        <f t="shared" si="151"/>
        <v>36.505086715089078</v>
      </c>
      <c r="S552">
        <f t="shared" si="152"/>
        <v>87.731522987476765</v>
      </c>
      <c r="T552">
        <f t="shared" si="153"/>
        <v>232.48853591681342</v>
      </c>
      <c r="U552">
        <v>45.7</v>
      </c>
      <c r="V552">
        <v>0.2</v>
      </c>
      <c r="W552">
        <v>0</v>
      </c>
      <c r="Y552" t="s">
        <v>728</v>
      </c>
    </row>
    <row r="553" spans="1:25" x14ac:dyDescent="0.25">
      <c r="A553" t="s">
        <v>131</v>
      </c>
      <c r="B553" t="s">
        <v>132</v>
      </c>
      <c r="C553">
        <v>2</v>
      </c>
      <c r="D553">
        <v>2</v>
      </c>
      <c r="E553">
        <f t="shared" si="145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f t="shared" si="149"/>
        <v>0.35629213680593108</v>
      </c>
      <c r="P553">
        <f t="shared" si="150"/>
        <v>9.9077426534814865</v>
      </c>
      <c r="Q553">
        <f t="shared" si="157"/>
        <v>25.165666339842975</v>
      </c>
      <c r="R553">
        <f t="shared" si="151"/>
        <v>161.61158694284325</v>
      </c>
      <c r="S553">
        <f t="shared" si="152"/>
        <v>388.39602725989727</v>
      </c>
      <c r="T553">
        <f t="shared" si="153"/>
        <v>1029.2494722387278</v>
      </c>
      <c r="U553">
        <v>45.7</v>
      </c>
      <c r="V553">
        <v>0.2</v>
      </c>
      <c r="W553">
        <v>0</v>
      </c>
    </row>
    <row r="554" spans="1:25" x14ac:dyDescent="0.25">
      <c r="A554" t="s">
        <v>131</v>
      </c>
      <c r="B554" t="s">
        <v>132</v>
      </c>
      <c r="C554">
        <v>3</v>
      </c>
      <c r="D554">
        <v>2</v>
      </c>
      <c r="E554">
        <f t="shared" si="145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f t="shared" si="149"/>
        <v>0.71097215166475058</v>
      </c>
      <c r="P554">
        <f t="shared" si="150"/>
        <v>12.573001777800146</v>
      </c>
      <c r="Q554">
        <f t="shared" si="157"/>
        <v>31.935424515612372</v>
      </c>
      <c r="R554">
        <f t="shared" si="151"/>
        <v>322.49192680133109</v>
      </c>
      <c r="S554">
        <f t="shared" si="152"/>
        <v>775.03467147640254</v>
      </c>
      <c r="T554">
        <f t="shared" si="153"/>
        <v>2053.8418794124668</v>
      </c>
      <c r="U554">
        <v>45.7</v>
      </c>
      <c r="V554">
        <v>0.2</v>
      </c>
      <c r="W554">
        <v>0</v>
      </c>
    </row>
    <row r="555" spans="1:25" x14ac:dyDescent="0.25">
      <c r="A555" t="s">
        <v>131</v>
      </c>
      <c r="B555" t="s">
        <v>132</v>
      </c>
      <c r="C555">
        <v>4</v>
      </c>
      <c r="D555">
        <v>2</v>
      </c>
      <c r="E555">
        <f t="shared" si="145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f t="shared" si="149"/>
        <v>1.0451784700884894</v>
      </c>
      <c r="P555">
        <f t="shared" si="150"/>
        <v>14.359578396710337</v>
      </c>
      <c r="Q555">
        <f t="shared" si="157"/>
        <v>36.473329127644256</v>
      </c>
      <c r="R555">
        <f t="shared" si="151"/>
        <v>474.0855431269286</v>
      </c>
      <c r="S555">
        <f t="shared" si="152"/>
        <v>1139.3548260680811</v>
      </c>
      <c r="T555">
        <f t="shared" si="153"/>
        <v>3019.2902890804148</v>
      </c>
      <c r="U555">
        <v>45.7</v>
      </c>
      <c r="V555">
        <v>0.2</v>
      </c>
      <c r="W555">
        <v>0</v>
      </c>
    </row>
    <row r="556" spans="1:25" x14ac:dyDescent="0.25">
      <c r="A556" t="s">
        <v>131</v>
      </c>
      <c r="B556" t="s">
        <v>132</v>
      </c>
      <c r="C556">
        <v>5</v>
      </c>
      <c r="D556">
        <v>2</v>
      </c>
      <c r="E556">
        <f t="shared" si="145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f t="shared" si="149"/>
        <v>1.3184910861486607</v>
      </c>
      <c r="P556">
        <f t="shared" si="150"/>
        <v>15.557156518144412</v>
      </c>
      <c r="Q556">
        <f t="shared" si="157"/>
        <v>39.515177556086805</v>
      </c>
      <c r="R556">
        <f t="shared" si="151"/>
        <v>598.05820783112767</v>
      </c>
      <c r="S556">
        <f t="shared" si="152"/>
        <v>1437.2944192048249</v>
      </c>
      <c r="T556">
        <f t="shared" si="153"/>
        <v>3808.8302108927855</v>
      </c>
      <c r="U556">
        <v>45.7</v>
      </c>
      <c r="V556">
        <v>0.2</v>
      </c>
      <c r="W556">
        <v>0</v>
      </c>
    </row>
    <row r="557" spans="1:25" x14ac:dyDescent="0.25">
      <c r="A557" t="s">
        <v>131</v>
      </c>
      <c r="B557" t="s">
        <v>132</v>
      </c>
      <c r="C557">
        <v>6</v>
      </c>
      <c r="D557">
        <v>2</v>
      </c>
      <c r="E557">
        <f t="shared" si="145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f t="shared" si="149"/>
        <v>1.5256142830221278</v>
      </c>
      <c r="P557">
        <f t="shared" si="150"/>
        <v>16.359917139635375</v>
      </c>
      <c r="Q557">
        <f t="shared" si="157"/>
        <v>41.554189534673853</v>
      </c>
      <c r="R557">
        <f t="shared" si="151"/>
        <v>692.00782131257438</v>
      </c>
      <c r="S557">
        <f t="shared" si="152"/>
        <v>1663.0805607127479</v>
      </c>
      <c r="T557">
        <f t="shared" si="153"/>
        <v>4407.1634858887819</v>
      </c>
      <c r="U557">
        <v>45.7</v>
      </c>
      <c r="V557">
        <v>0.2</v>
      </c>
      <c r="W557">
        <v>0</v>
      </c>
    </row>
    <row r="558" spans="1:25" x14ac:dyDescent="0.25">
      <c r="A558" t="s">
        <v>131</v>
      </c>
      <c r="B558" t="s">
        <v>132</v>
      </c>
      <c r="C558">
        <v>7</v>
      </c>
      <c r="D558">
        <v>2</v>
      </c>
      <c r="E558">
        <f t="shared" si="145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f t="shared" si="149"/>
        <v>1.6757287015856983</v>
      </c>
      <c r="P558">
        <f t="shared" si="150"/>
        <v>16.898023676388796</v>
      </c>
      <c r="Q558">
        <f t="shared" si="157"/>
        <v>42.920980138027545</v>
      </c>
      <c r="R558">
        <f t="shared" si="151"/>
        <v>760.09865717706373</v>
      </c>
      <c r="S558">
        <f t="shared" si="152"/>
        <v>1826.7211179453586</v>
      </c>
      <c r="T558">
        <f t="shared" si="153"/>
        <v>4840.8109625552006</v>
      </c>
      <c r="U558">
        <v>45.7</v>
      </c>
      <c r="V558">
        <v>0.2</v>
      </c>
      <c r="W558">
        <v>0</v>
      </c>
    </row>
    <row r="559" spans="1:25" x14ac:dyDescent="0.25">
      <c r="A559" t="s">
        <v>131</v>
      </c>
      <c r="B559" t="s">
        <v>132</v>
      </c>
      <c r="C559">
        <v>8</v>
      </c>
      <c r="D559">
        <v>2</v>
      </c>
      <c r="E559">
        <f t="shared" si="145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f t="shared" si="149"/>
        <v>1.7815785625344518</v>
      </c>
      <c r="P559">
        <f t="shared" si="150"/>
        <v>17.258727274877426</v>
      </c>
      <c r="Q559">
        <f t="shared" si="157"/>
        <v>43.837167278188666</v>
      </c>
      <c r="R559">
        <f t="shared" si="151"/>
        <v>808.11140356816679</v>
      </c>
      <c r="S559">
        <f t="shared" si="152"/>
        <v>1942.1086363089805</v>
      </c>
      <c r="T559">
        <f t="shared" si="153"/>
        <v>5146.5878862187983</v>
      </c>
      <c r="U559">
        <v>45.7</v>
      </c>
      <c r="V559">
        <v>0.2</v>
      </c>
      <c r="W559">
        <v>0</v>
      </c>
    </row>
    <row r="560" spans="1:25" x14ac:dyDescent="0.25">
      <c r="A560" t="s">
        <v>131</v>
      </c>
      <c r="B560" t="s">
        <v>132</v>
      </c>
      <c r="C560">
        <v>9</v>
      </c>
      <c r="D560">
        <v>2</v>
      </c>
      <c r="E560">
        <f t="shared" si="145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f t="shared" si="149"/>
        <v>1.8549273239369155</v>
      </c>
      <c r="P560">
        <f t="shared" si="150"/>
        <v>17.50051412762155</v>
      </c>
      <c r="Q560">
        <f t="shared" si="157"/>
        <v>44.451305884158735</v>
      </c>
      <c r="R560">
        <f t="shared" si="151"/>
        <v>841.38188165621079</v>
      </c>
      <c r="S560">
        <f t="shared" si="152"/>
        <v>2022.0665264508791</v>
      </c>
      <c r="T560">
        <f t="shared" si="153"/>
        <v>5358.4762950948298</v>
      </c>
      <c r="U560">
        <v>45.7</v>
      </c>
      <c r="V560">
        <v>0.2</v>
      </c>
      <c r="W560">
        <v>0</v>
      </c>
    </row>
    <row r="561" spans="1:25" x14ac:dyDescent="0.25">
      <c r="A561" t="s">
        <v>131</v>
      </c>
      <c r="B561" t="s">
        <v>132</v>
      </c>
      <c r="C561">
        <v>10</v>
      </c>
      <c r="D561">
        <v>2</v>
      </c>
      <c r="E561">
        <f t="shared" si="145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f t="shared" si="149"/>
        <v>1.9051851552504522</v>
      </c>
      <c r="P561">
        <f t="shared" si="150"/>
        <v>17.662588701883799</v>
      </c>
      <c r="Q561">
        <f t="shared" si="157"/>
        <v>44.862975302784847</v>
      </c>
      <c r="R561">
        <f t="shared" si="151"/>
        <v>864.17847758364348</v>
      </c>
      <c r="S561">
        <f t="shared" si="152"/>
        <v>2076.8528660986385</v>
      </c>
      <c r="T561">
        <f t="shared" si="153"/>
        <v>5503.6600951613918</v>
      </c>
      <c r="U561">
        <v>45.7</v>
      </c>
      <c r="V561">
        <v>0.2</v>
      </c>
      <c r="W561">
        <v>0</v>
      </c>
    </row>
    <row r="562" spans="1:25" x14ac:dyDescent="0.25">
      <c r="A562" t="s">
        <v>133</v>
      </c>
      <c r="B562" t="s">
        <v>134</v>
      </c>
      <c r="C562">
        <v>1</v>
      </c>
      <c r="D562">
        <v>3</v>
      </c>
      <c r="E562">
        <f t="shared" si="145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f t="shared" si="149"/>
        <v>1.0132493897372563</v>
      </c>
      <c r="P562">
        <f t="shared" si="150"/>
        <v>11.632568048143371</v>
      </c>
      <c r="Q562">
        <f t="shared" ref="Q562:Q571" si="158">114*(1-EXP(-0.1*(E562)))</f>
        <v>29.546722842284161</v>
      </c>
      <c r="R562">
        <f t="shared" si="151"/>
        <v>459.60273867480845</v>
      </c>
      <c r="S562">
        <f t="shared" si="152"/>
        <v>1104.5487591319595</v>
      </c>
      <c r="T562">
        <f t="shared" si="153"/>
        <v>2927.0542116996926</v>
      </c>
      <c r="U562">
        <v>114</v>
      </c>
      <c r="V562">
        <v>0.1</v>
      </c>
      <c r="W562">
        <v>0</v>
      </c>
      <c r="Y562" t="s">
        <v>728</v>
      </c>
    </row>
    <row r="563" spans="1:25" x14ac:dyDescent="0.25">
      <c r="A563" t="s">
        <v>133</v>
      </c>
      <c r="B563" t="s">
        <v>134</v>
      </c>
      <c r="C563">
        <v>2</v>
      </c>
      <c r="D563">
        <v>3</v>
      </c>
      <c r="E563">
        <f t="shared" si="145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f t="shared" si="149"/>
        <v>5.650045747883131</v>
      </c>
      <c r="P563">
        <f t="shared" si="150"/>
        <v>20.250186411527949</v>
      </c>
      <c r="Q563">
        <f t="shared" si="158"/>
        <v>51.435473485280994</v>
      </c>
      <c r="R563">
        <f t="shared" si="151"/>
        <v>2562.820689226774</v>
      </c>
      <c r="S563">
        <f t="shared" si="152"/>
        <v>6159.1460928305069</v>
      </c>
      <c r="T563">
        <f t="shared" si="153"/>
        <v>16321.737146000843</v>
      </c>
      <c r="U563">
        <v>114</v>
      </c>
      <c r="V563">
        <v>0.1</v>
      </c>
      <c r="W563">
        <v>0</v>
      </c>
    </row>
    <row r="564" spans="1:25" x14ac:dyDescent="0.25">
      <c r="A564" t="s">
        <v>133</v>
      </c>
      <c r="B564" t="s">
        <v>134</v>
      </c>
      <c r="C564">
        <v>3</v>
      </c>
      <c r="D564">
        <v>3</v>
      </c>
      <c r="E564">
        <f t="shared" si="145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f t="shared" si="149"/>
        <v>13.212613096263208</v>
      </c>
      <c r="P564">
        <f t="shared" si="150"/>
        <v>26.634275114004609</v>
      </c>
      <c r="Q564">
        <f t="shared" si="158"/>
        <v>67.651058789571707</v>
      </c>
      <c r="R564">
        <f t="shared" si="151"/>
        <v>5993.1476155814644</v>
      </c>
      <c r="S564">
        <f t="shared" si="152"/>
        <v>14403.142551265233</v>
      </c>
      <c r="T564">
        <f t="shared" si="153"/>
        <v>38168.327760852866</v>
      </c>
      <c r="U564">
        <v>114</v>
      </c>
      <c r="V564">
        <v>0.1</v>
      </c>
      <c r="W564">
        <v>0</v>
      </c>
    </row>
    <row r="565" spans="1:25" x14ac:dyDescent="0.25">
      <c r="A565" t="s">
        <v>133</v>
      </c>
      <c r="B565" t="s">
        <v>134</v>
      </c>
      <c r="C565">
        <v>4</v>
      </c>
      <c r="D565">
        <v>3</v>
      </c>
      <c r="E565">
        <f t="shared" ref="E565:E628" si="159">C565*D565</f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f t="shared" si="149"/>
        <v>21.930454529672875</v>
      </c>
      <c r="P565">
        <f t="shared" si="150"/>
        <v>31.363724347247629</v>
      </c>
      <c r="Q565">
        <f t="shared" si="158"/>
        <v>79.663859842008975</v>
      </c>
      <c r="R565">
        <f t="shared" si="151"/>
        <v>9947.4986753603225</v>
      </c>
      <c r="S565">
        <f t="shared" si="152"/>
        <v>23906.509674021447</v>
      </c>
      <c r="T565">
        <f t="shared" si="153"/>
        <v>63352.25063615683</v>
      </c>
      <c r="U565">
        <v>114</v>
      </c>
      <c r="V565">
        <v>0.1</v>
      </c>
      <c r="W565">
        <v>0</v>
      </c>
    </row>
    <row r="566" spans="1:25" x14ac:dyDescent="0.25">
      <c r="A566" t="s">
        <v>133</v>
      </c>
      <c r="B566" t="s">
        <v>134</v>
      </c>
      <c r="C566">
        <v>5</v>
      </c>
      <c r="D566">
        <v>3</v>
      </c>
      <c r="E566">
        <f t="shared" si="159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f t="shared" si="149"/>
        <v>30.452441187409729</v>
      </c>
      <c r="P566">
        <f t="shared" si="150"/>
        <v>34.867386513023227</v>
      </c>
      <c r="Q566">
        <f t="shared" si="158"/>
        <v>88.563161743079007</v>
      </c>
      <c r="R566">
        <f t="shared" si="151"/>
        <v>13813.011397614886</v>
      </c>
      <c r="S566">
        <f t="shared" si="152"/>
        <v>33196.374423491674</v>
      </c>
      <c r="T566">
        <f t="shared" si="153"/>
        <v>87970.392222252936</v>
      </c>
      <c r="U566">
        <v>114</v>
      </c>
      <c r="V566">
        <v>0.1</v>
      </c>
      <c r="W566">
        <v>0</v>
      </c>
    </row>
    <row r="567" spans="1:25" x14ac:dyDescent="0.25">
      <c r="A567" t="s">
        <v>133</v>
      </c>
      <c r="B567" t="s">
        <v>134</v>
      </c>
      <c r="C567">
        <v>6</v>
      </c>
      <c r="D567">
        <v>3</v>
      </c>
      <c r="E567">
        <f t="shared" si="159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f t="shared" si="149"/>
        <v>38.044210688328377</v>
      </c>
      <c r="P567">
        <f t="shared" si="150"/>
        <v>37.462963284542965</v>
      </c>
      <c r="Q567">
        <f t="shared" si="158"/>
        <v>95.155926742739126</v>
      </c>
      <c r="R567">
        <f t="shared" si="151"/>
        <v>17256.584213301328</v>
      </c>
      <c r="S567">
        <f t="shared" si="152"/>
        <v>41472.204309784494</v>
      </c>
      <c r="T567">
        <f t="shared" si="153"/>
        <v>109901.3414209289</v>
      </c>
      <c r="U567">
        <v>114</v>
      </c>
      <c r="V567">
        <v>0.1</v>
      </c>
      <c r="W567">
        <v>0</v>
      </c>
    </row>
    <row r="568" spans="1:25" x14ac:dyDescent="0.25">
      <c r="A568" t="s">
        <v>133</v>
      </c>
      <c r="B568" t="s">
        <v>134</v>
      </c>
      <c r="C568">
        <v>7</v>
      </c>
      <c r="D568">
        <v>3</v>
      </c>
      <c r="E568">
        <f t="shared" si="159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f t="shared" si="149"/>
        <v>44.429910633084837</v>
      </c>
      <c r="P568">
        <f t="shared" si="150"/>
        <v>39.385813850063023</v>
      </c>
      <c r="Q568">
        <f t="shared" si="158"/>
        <v>100.03996717916007</v>
      </c>
      <c r="R568">
        <f t="shared" si="151"/>
        <v>20153.092430026416</v>
      </c>
      <c r="S568">
        <f t="shared" si="152"/>
        <v>48433.291107970232</v>
      </c>
      <c r="T568">
        <f t="shared" si="153"/>
        <v>128348.22143612111</v>
      </c>
      <c r="U568">
        <v>114</v>
      </c>
      <c r="V568">
        <v>0.1</v>
      </c>
      <c r="W568">
        <v>0</v>
      </c>
    </row>
    <row r="569" spans="1:25" x14ac:dyDescent="0.25">
      <c r="A569" t="s">
        <v>133</v>
      </c>
      <c r="B569" t="s">
        <v>134</v>
      </c>
      <c r="C569">
        <v>8</v>
      </c>
      <c r="D569">
        <v>3</v>
      </c>
      <c r="E569">
        <f t="shared" si="159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f t="shared" si="149"/>
        <v>49.603030832113362</v>
      </c>
      <c r="P569">
        <f t="shared" si="150"/>
        <v>40.81029658464842</v>
      </c>
      <c r="Q569">
        <f t="shared" si="158"/>
        <v>103.65815332500698</v>
      </c>
      <c r="R569">
        <f t="shared" si="151"/>
        <v>22499.58307196404</v>
      </c>
      <c r="S569">
        <f t="shared" si="152"/>
        <v>54072.538024426911</v>
      </c>
      <c r="T569">
        <f t="shared" si="153"/>
        <v>143292.22576473129</v>
      </c>
      <c r="U569">
        <v>114</v>
      </c>
      <c r="V569">
        <v>0.1</v>
      </c>
      <c r="W569">
        <v>0</v>
      </c>
    </row>
    <row r="570" spans="1:25" x14ac:dyDescent="0.25">
      <c r="A570" t="s">
        <v>133</v>
      </c>
      <c r="B570" t="s">
        <v>134</v>
      </c>
      <c r="C570">
        <v>9</v>
      </c>
      <c r="D570">
        <v>3</v>
      </c>
      <c r="E570">
        <f t="shared" si="159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f t="shared" si="149"/>
        <v>53.688220868751316</v>
      </c>
      <c r="P570">
        <f t="shared" si="150"/>
        <v>41.865579349475802</v>
      </c>
      <c r="Q570">
        <f t="shared" si="158"/>
        <v>106.33857154766854</v>
      </c>
      <c r="R570">
        <f t="shared" si="151"/>
        <v>24352.596306280138</v>
      </c>
      <c r="S570">
        <f t="shared" si="152"/>
        <v>58525.826258784276</v>
      </c>
      <c r="T570">
        <f t="shared" si="153"/>
        <v>155093.43958577834</v>
      </c>
      <c r="U570">
        <v>114</v>
      </c>
      <c r="V570">
        <v>0.1</v>
      </c>
      <c r="W570">
        <v>0</v>
      </c>
    </row>
    <row r="571" spans="1:25" x14ac:dyDescent="0.25">
      <c r="A571" t="s">
        <v>133</v>
      </c>
      <c r="B571" t="s">
        <v>134</v>
      </c>
      <c r="C571">
        <v>10</v>
      </c>
      <c r="D571">
        <v>3</v>
      </c>
      <c r="E571">
        <f t="shared" si="159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f t="shared" si="149"/>
        <v>56.857453685651627</v>
      </c>
      <c r="P571">
        <f t="shared" si="150"/>
        <v>42.647352049631301</v>
      </c>
      <c r="Q571">
        <f t="shared" si="158"/>
        <v>108.32427420606351</v>
      </c>
      <c r="R571">
        <f t="shared" si="151"/>
        <v>25790.137840376858</v>
      </c>
      <c r="S571">
        <f t="shared" si="152"/>
        <v>61980.624466178459</v>
      </c>
      <c r="T571">
        <f t="shared" si="153"/>
        <v>164248.6548353729</v>
      </c>
      <c r="U571">
        <v>114</v>
      </c>
      <c r="V571">
        <v>0.1</v>
      </c>
      <c r="W571">
        <v>0</v>
      </c>
    </row>
    <row r="572" spans="1:25" x14ac:dyDescent="0.25">
      <c r="A572" t="s">
        <v>135</v>
      </c>
      <c r="B572" t="s">
        <v>136</v>
      </c>
      <c r="C572">
        <v>1</v>
      </c>
      <c r="D572">
        <v>2</v>
      </c>
      <c r="E572">
        <f t="shared" si="159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f t="shared" si="149"/>
        <v>3.3956176932488723E-2</v>
      </c>
      <c r="P572">
        <f t="shared" si="150"/>
        <v>4.2785920807721345</v>
      </c>
      <c r="Q572">
        <f t="shared" ref="Q572:Q581" si="160">60.5*(1-EXP(-0.099*(E572)))</f>
        <v>10.867623885161221</v>
      </c>
      <c r="R572">
        <f t="shared" si="151"/>
        <v>15.402281088118915</v>
      </c>
      <c r="S572">
        <f t="shared" si="152"/>
        <v>37.015816121410516</v>
      </c>
      <c r="T572">
        <f t="shared" si="153"/>
        <v>98.09191272173787</v>
      </c>
      <c r="U572">
        <v>60.5</v>
      </c>
      <c r="V572">
        <v>9.9000000000000005E-2</v>
      </c>
      <c r="W572">
        <v>0</v>
      </c>
      <c r="Y572" t="s">
        <v>750</v>
      </c>
    </row>
    <row r="573" spans="1:25" x14ac:dyDescent="0.25">
      <c r="A573" t="s">
        <v>135</v>
      </c>
      <c r="B573" t="s">
        <v>136</v>
      </c>
      <c r="C573">
        <v>2</v>
      </c>
      <c r="D573">
        <v>2</v>
      </c>
      <c r="E573">
        <f t="shared" si="159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f t="shared" si="149"/>
        <v>0.20483194631379331</v>
      </c>
      <c r="P573">
        <f t="shared" si="150"/>
        <v>7.7886200377118602</v>
      </c>
      <c r="Q573">
        <f t="shared" si="160"/>
        <v>19.783094895788125</v>
      </c>
      <c r="R573">
        <f t="shared" si="151"/>
        <v>92.910318473838259</v>
      </c>
      <c r="S573">
        <f t="shared" si="152"/>
        <v>223.28843661100279</v>
      </c>
      <c r="T573">
        <f t="shared" si="153"/>
        <v>591.71435701915743</v>
      </c>
      <c r="U573">
        <v>60.5</v>
      </c>
      <c r="V573">
        <v>9.9000000000000005E-2</v>
      </c>
      <c r="W573">
        <v>0</v>
      </c>
    </row>
    <row r="574" spans="1:25" x14ac:dyDescent="0.25">
      <c r="A574" t="s">
        <v>135</v>
      </c>
      <c r="B574" t="s">
        <v>136</v>
      </c>
      <c r="C574">
        <v>3</v>
      </c>
      <c r="D574">
        <v>2</v>
      </c>
      <c r="E574">
        <f t="shared" si="159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f t="shared" si="149"/>
        <v>0.52635941956984167</v>
      </c>
      <c r="P574">
        <f t="shared" si="150"/>
        <v>10.66814115725618</v>
      </c>
      <c r="Q574">
        <f t="shared" si="160"/>
        <v>27.097078539430697</v>
      </c>
      <c r="R574">
        <f t="shared" si="151"/>
        <v>238.75290053153907</v>
      </c>
      <c r="S574">
        <f t="shared" si="152"/>
        <v>573.7873120200411</v>
      </c>
      <c r="T574">
        <f t="shared" si="153"/>
        <v>1520.5363768531088</v>
      </c>
      <c r="U574">
        <v>60.5</v>
      </c>
      <c r="V574">
        <v>9.9000000000000005E-2</v>
      </c>
      <c r="W574">
        <v>0</v>
      </c>
    </row>
    <row r="575" spans="1:25" x14ac:dyDescent="0.25">
      <c r="A575" t="s">
        <v>135</v>
      </c>
      <c r="B575" t="s">
        <v>136</v>
      </c>
      <c r="C575">
        <v>4</v>
      </c>
      <c r="D575">
        <v>2</v>
      </c>
      <c r="E575">
        <f t="shared" si="159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f t="shared" si="149"/>
        <v>0.95915927150425351</v>
      </c>
      <c r="P575">
        <f t="shared" si="150"/>
        <v>13.030413475204041</v>
      </c>
      <c r="Q575">
        <f t="shared" si="160"/>
        <v>33.097250227018264</v>
      </c>
      <c r="R575">
        <f t="shared" si="151"/>
        <v>435.06784457378302</v>
      </c>
      <c r="S575">
        <f t="shared" si="152"/>
        <v>1045.5848223354553</v>
      </c>
      <c r="T575">
        <f t="shared" si="153"/>
        <v>2770.7997791889566</v>
      </c>
      <c r="U575">
        <v>60.5</v>
      </c>
      <c r="V575">
        <v>9.9000000000000005E-2</v>
      </c>
      <c r="W575">
        <v>0</v>
      </c>
    </row>
    <row r="576" spans="1:25" x14ac:dyDescent="0.25">
      <c r="A576" t="s">
        <v>135</v>
      </c>
      <c r="B576" t="s">
        <v>136</v>
      </c>
      <c r="C576">
        <v>5</v>
      </c>
      <c r="D576">
        <v>2</v>
      </c>
      <c r="E576">
        <f t="shared" si="159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f t="shared" si="149"/>
        <v>1.4539114892034266</v>
      </c>
      <c r="P576">
        <f t="shared" si="150"/>
        <v>14.968350469750487</v>
      </c>
      <c r="Q576">
        <f t="shared" si="160"/>
        <v>38.019610193166237</v>
      </c>
      <c r="R576">
        <f t="shared" si="151"/>
        <v>659.48394244968597</v>
      </c>
      <c r="S576">
        <f t="shared" si="152"/>
        <v>1584.916948929791</v>
      </c>
      <c r="T576">
        <f t="shared" si="153"/>
        <v>4200.0299146639463</v>
      </c>
      <c r="U576">
        <v>60.5</v>
      </c>
      <c r="V576">
        <v>9.9000000000000005E-2</v>
      </c>
      <c r="W576">
        <v>0</v>
      </c>
    </row>
    <row r="577" spans="1:25" x14ac:dyDescent="0.25">
      <c r="A577" t="s">
        <v>135</v>
      </c>
      <c r="B577" t="s">
        <v>136</v>
      </c>
      <c r="C577">
        <v>6</v>
      </c>
      <c r="D577">
        <v>2</v>
      </c>
      <c r="E577">
        <f t="shared" si="159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f t="shared" si="149"/>
        <v>1.968129121612461</v>
      </c>
      <c r="P577">
        <f t="shared" si="150"/>
        <v>16.558175557356925</v>
      </c>
      <c r="Q577">
        <f t="shared" si="160"/>
        <v>42.057765915686595</v>
      </c>
      <c r="R577">
        <f t="shared" si="151"/>
        <v>892.72941441720616</v>
      </c>
      <c r="S577">
        <f t="shared" si="152"/>
        <v>2145.4684316683638</v>
      </c>
      <c r="T577">
        <f t="shared" si="153"/>
        <v>5685.4913439211641</v>
      </c>
      <c r="U577">
        <v>60.5</v>
      </c>
      <c r="V577">
        <v>9.9000000000000005E-2</v>
      </c>
      <c r="W577">
        <v>0</v>
      </c>
    </row>
    <row r="578" spans="1:25" x14ac:dyDescent="0.25">
      <c r="A578" t="s">
        <v>135</v>
      </c>
      <c r="B578" t="s">
        <v>136</v>
      </c>
      <c r="C578">
        <v>7</v>
      </c>
      <c r="D578">
        <v>2</v>
      </c>
      <c r="E578">
        <f t="shared" si="159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f t="shared" ref="O578:O591" si="161">R578*0.00220462</f>
        <v>2.4707968479792131</v>
      </c>
      <c r="P578">
        <f t="shared" ref="P578:P641" si="162">Q578/2.54</f>
        <v>17.86242013099146</v>
      </c>
      <c r="Q578">
        <f t="shared" si="160"/>
        <v>45.370547132718308</v>
      </c>
      <c r="R578">
        <f t="shared" ref="R578:R641" si="163">L578*(Q578^M578)</f>
        <v>1120.7359308992993</v>
      </c>
      <c r="S578">
        <f t="shared" ref="S578:S641" si="164">R578/20/5.7/3.65*1000</f>
        <v>2693.429298003603</v>
      </c>
      <c r="T578">
        <f t="shared" ref="T578:T641" si="165">S578*2.65</f>
        <v>7137.5876397095481</v>
      </c>
      <c r="U578">
        <v>60.5</v>
      </c>
      <c r="V578">
        <v>9.9000000000000005E-2</v>
      </c>
      <c r="W578">
        <v>0</v>
      </c>
    </row>
    <row r="579" spans="1:25" x14ac:dyDescent="0.25">
      <c r="A579" t="s">
        <v>135</v>
      </c>
      <c r="B579" t="s">
        <v>136</v>
      </c>
      <c r="C579">
        <v>8</v>
      </c>
      <c r="D579">
        <v>2</v>
      </c>
      <c r="E579">
        <f t="shared" si="159"/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f t="shared" si="161"/>
        <v>2.941927648731653</v>
      </c>
      <c r="P579">
        <f t="shared" si="162"/>
        <v>18.932383060319836</v>
      </c>
      <c r="Q579">
        <f t="shared" si="160"/>
        <v>48.088252973212384</v>
      </c>
      <c r="R579">
        <f t="shared" si="163"/>
        <v>1334.4375215373411</v>
      </c>
      <c r="S579">
        <f t="shared" si="164"/>
        <v>3207.0115874485491</v>
      </c>
      <c r="T579">
        <f t="shared" si="165"/>
        <v>8498.580706738654</v>
      </c>
      <c r="U579">
        <v>60.5</v>
      </c>
      <c r="V579">
        <v>9.9000000000000005E-2</v>
      </c>
      <c r="W579">
        <v>0</v>
      </c>
    </row>
    <row r="580" spans="1:25" x14ac:dyDescent="0.25">
      <c r="A580" t="s">
        <v>135</v>
      </c>
      <c r="B580" t="s">
        <v>136</v>
      </c>
      <c r="C580">
        <v>9</v>
      </c>
      <c r="D580">
        <v>2</v>
      </c>
      <c r="E580">
        <f t="shared" si="159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f t="shared" si="161"/>
        <v>3.3703835388024546</v>
      </c>
      <c r="P580">
        <f t="shared" si="162"/>
        <v>19.810148391515881</v>
      </c>
      <c r="Q580">
        <f t="shared" si="160"/>
        <v>50.317776914450334</v>
      </c>
      <c r="R580">
        <f t="shared" si="163"/>
        <v>1528.7820752793925</v>
      </c>
      <c r="S580">
        <f t="shared" si="164"/>
        <v>3674.0737209310082</v>
      </c>
      <c r="T580">
        <f t="shared" si="165"/>
        <v>9736.2953604671711</v>
      </c>
      <c r="U580">
        <v>60.5</v>
      </c>
      <c r="V580">
        <v>9.9000000000000005E-2</v>
      </c>
      <c r="W580">
        <v>0</v>
      </c>
    </row>
    <row r="581" spans="1:25" x14ac:dyDescent="0.25">
      <c r="A581" t="s">
        <v>135</v>
      </c>
      <c r="B581" t="s">
        <v>136</v>
      </c>
      <c r="C581">
        <v>10</v>
      </c>
      <c r="D581">
        <v>2</v>
      </c>
      <c r="E581">
        <f t="shared" si="159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f t="shared" si="161"/>
        <v>3.7514421734161894</v>
      </c>
      <c r="P581">
        <f t="shared" si="162"/>
        <v>20.530240607358657</v>
      </c>
      <c r="Q581">
        <f t="shared" si="160"/>
        <v>52.146811142690986</v>
      </c>
      <c r="R581">
        <f t="shared" si="163"/>
        <v>1701.6275700194089</v>
      </c>
      <c r="S581">
        <f t="shared" si="164"/>
        <v>4089.4678443148491</v>
      </c>
      <c r="T581">
        <f t="shared" si="165"/>
        <v>10837.08978743435</v>
      </c>
      <c r="U581">
        <v>60.5</v>
      </c>
      <c r="V581">
        <v>9.9000000000000005E-2</v>
      </c>
      <c r="W581">
        <v>0</v>
      </c>
    </row>
    <row r="582" spans="1:25" x14ac:dyDescent="0.25">
      <c r="A582" t="s">
        <v>137</v>
      </c>
      <c r="B582" t="s">
        <v>138</v>
      </c>
      <c r="C582">
        <v>1</v>
      </c>
      <c r="D582">
        <v>1</v>
      </c>
      <c r="E582">
        <f t="shared" si="159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f t="shared" si="161"/>
        <v>4.9266076436141004E-2</v>
      </c>
      <c r="P582">
        <f t="shared" si="162"/>
        <v>5.6035809773118128</v>
      </c>
      <c r="Q582">
        <f t="shared" ref="Q582:Q591" si="166">50*(1-EXP(-0.335*(E582)))</f>
        <v>14.233095682372005</v>
      </c>
      <c r="R582">
        <f t="shared" si="163"/>
        <v>22.34674294714781</v>
      </c>
      <c r="S582">
        <f t="shared" si="164"/>
        <v>53.705222175313168</v>
      </c>
      <c r="T582">
        <f t="shared" si="165"/>
        <v>142.31883876457988</v>
      </c>
      <c r="U582">
        <v>50</v>
      </c>
      <c r="V582">
        <v>0.33500000000000002</v>
      </c>
      <c r="W582">
        <v>0</v>
      </c>
      <c r="Y582" t="s">
        <v>751</v>
      </c>
    </row>
    <row r="583" spans="1:25" x14ac:dyDescent="0.25">
      <c r="A583" t="s">
        <v>137</v>
      </c>
      <c r="B583" t="s">
        <v>138</v>
      </c>
      <c r="C583">
        <v>2</v>
      </c>
      <c r="D583">
        <v>1</v>
      </c>
      <c r="E583">
        <f t="shared" si="159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f t="shared" si="161"/>
        <v>0.22563902603855754</v>
      </c>
      <c r="P583">
        <f t="shared" si="162"/>
        <v>9.6120358703436519</v>
      </c>
      <c r="Q583">
        <f t="shared" si="166"/>
        <v>24.414571110672878</v>
      </c>
      <c r="R583">
        <f t="shared" si="163"/>
        <v>102.34826230305337</v>
      </c>
      <c r="S583">
        <f t="shared" si="164"/>
        <v>245.97034920224314</v>
      </c>
      <c r="T583">
        <f t="shared" si="165"/>
        <v>651.82142538594428</v>
      </c>
      <c r="U583">
        <v>50</v>
      </c>
      <c r="V583">
        <v>0.33500000000000002</v>
      </c>
      <c r="W583">
        <v>0</v>
      </c>
    </row>
    <row r="584" spans="1:25" x14ac:dyDescent="0.25">
      <c r="A584" t="s">
        <v>137</v>
      </c>
      <c r="B584" t="s">
        <v>138</v>
      </c>
      <c r="C584">
        <v>3</v>
      </c>
      <c r="D584">
        <v>1</v>
      </c>
      <c r="E584">
        <f t="shared" si="159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f t="shared" si="161"/>
        <v>0.47113422091654195</v>
      </c>
      <c r="P584">
        <f t="shared" si="162"/>
        <v>12.479436322755602</v>
      </c>
      <c r="Q584">
        <f t="shared" si="166"/>
        <v>31.697768259799229</v>
      </c>
      <c r="R584">
        <f t="shared" si="163"/>
        <v>213.70314200022767</v>
      </c>
      <c r="S584">
        <f t="shared" si="164"/>
        <v>513.58601778473371</v>
      </c>
      <c r="T584">
        <f t="shared" si="165"/>
        <v>1361.0029471295443</v>
      </c>
      <c r="U584">
        <v>50</v>
      </c>
      <c r="V584">
        <v>0.33500000000000002</v>
      </c>
      <c r="W584">
        <v>0</v>
      </c>
    </row>
    <row r="585" spans="1:25" x14ac:dyDescent="0.25">
      <c r="A585" t="s">
        <v>137</v>
      </c>
      <c r="B585" t="s">
        <v>138</v>
      </c>
      <c r="C585">
        <v>4</v>
      </c>
      <c r="D585">
        <v>1</v>
      </c>
      <c r="E585">
        <f t="shared" si="159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f t="shared" si="161"/>
        <v>0.72362605313298989</v>
      </c>
      <c r="P585">
        <f t="shared" si="162"/>
        <v>14.530597075190434</v>
      </c>
      <c r="Q585">
        <f t="shared" si="166"/>
        <v>36.907716570983702</v>
      </c>
      <c r="R585">
        <f t="shared" si="163"/>
        <v>328.23164678402168</v>
      </c>
      <c r="S585">
        <f t="shared" si="164"/>
        <v>788.8287593944284</v>
      </c>
      <c r="T585">
        <f t="shared" si="165"/>
        <v>2090.3962123952351</v>
      </c>
      <c r="U585">
        <v>50</v>
      </c>
      <c r="V585">
        <v>0.33500000000000002</v>
      </c>
      <c r="W585">
        <v>0</v>
      </c>
    </row>
    <row r="586" spans="1:25" x14ac:dyDescent="0.25">
      <c r="A586" t="s">
        <v>137</v>
      </c>
      <c r="B586" t="s">
        <v>138</v>
      </c>
      <c r="C586">
        <v>5</v>
      </c>
      <c r="D586">
        <v>1</v>
      </c>
      <c r="E586">
        <f t="shared" si="159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f t="shared" si="161"/>
        <v>0.94913977708671626</v>
      </c>
      <c r="P586">
        <f t="shared" si="162"/>
        <v>15.997870482638643</v>
      </c>
      <c r="Q586">
        <f t="shared" si="166"/>
        <v>40.634591025902154</v>
      </c>
      <c r="R586">
        <f t="shared" si="163"/>
        <v>430.52307294985815</v>
      </c>
      <c r="S586">
        <f t="shared" si="164"/>
        <v>1034.6625161015577</v>
      </c>
      <c r="T586">
        <f t="shared" si="165"/>
        <v>2741.8556676691278</v>
      </c>
      <c r="U586">
        <v>50</v>
      </c>
      <c r="V586">
        <v>0.33500000000000002</v>
      </c>
      <c r="W586">
        <v>0</v>
      </c>
    </row>
    <row r="587" spans="1:25" x14ac:dyDescent="0.25">
      <c r="A587" t="s">
        <v>137</v>
      </c>
      <c r="B587" t="s">
        <v>138</v>
      </c>
      <c r="C587">
        <v>6</v>
      </c>
      <c r="D587">
        <v>1</v>
      </c>
      <c r="E587">
        <f t="shared" si="159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f t="shared" si="161"/>
        <v>1.1354176474011326</v>
      </c>
      <c r="P587">
        <f t="shared" si="162"/>
        <v>17.047467034078643</v>
      </c>
      <c r="Q587">
        <f t="shared" si="166"/>
        <v>43.300566266559755</v>
      </c>
      <c r="R587">
        <f t="shared" si="163"/>
        <v>515.01739410924904</v>
      </c>
      <c r="S587">
        <f t="shared" si="164"/>
        <v>1237.7250519328265</v>
      </c>
      <c r="T587">
        <f t="shared" si="165"/>
        <v>3279.9713876219903</v>
      </c>
      <c r="U587">
        <v>50</v>
      </c>
      <c r="V587">
        <v>0.33500000000000002</v>
      </c>
      <c r="W587">
        <v>0</v>
      </c>
    </row>
    <row r="588" spans="1:25" x14ac:dyDescent="0.25">
      <c r="A588" t="s">
        <v>137</v>
      </c>
      <c r="B588" t="s">
        <v>138</v>
      </c>
      <c r="C588">
        <v>7</v>
      </c>
      <c r="D588">
        <v>1</v>
      </c>
      <c r="E588">
        <f t="shared" si="159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f t="shared" si="161"/>
        <v>1.2821567714150832</v>
      </c>
      <c r="P588">
        <f t="shared" si="162"/>
        <v>17.798283422627978</v>
      </c>
      <c r="Q588">
        <f t="shared" si="166"/>
        <v>45.207639893475069</v>
      </c>
      <c r="R588">
        <f t="shared" si="163"/>
        <v>581.57722029877402</v>
      </c>
      <c r="S588">
        <f t="shared" si="164"/>
        <v>1397.686181924475</v>
      </c>
      <c r="T588">
        <f t="shared" si="165"/>
        <v>3703.8683820998585</v>
      </c>
      <c r="U588">
        <v>50</v>
      </c>
      <c r="V588">
        <v>0.33500000000000002</v>
      </c>
      <c r="W588">
        <v>0</v>
      </c>
    </row>
    <row r="589" spans="1:25" x14ac:dyDescent="0.25">
      <c r="A589" t="s">
        <v>137</v>
      </c>
      <c r="B589" t="s">
        <v>138</v>
      </c>
      <c r="C589">
        <v>8</v>
      </c>
      <c r="D589">
        <v>1</v>
      </c>
      <c r="E589">
        <f t="shared" si="159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f t="shared" si="161"/>
        <v>1.3942857702158813</v>
      </c>
      <c r="P589">
        <f t="shared" si="162"/>
        <v>18.335370981215004</v>
      </c>
      <c r="Q589">
        <f t="shared" si="166"/>
        <v>46.571842292286107</v>
      </c>
      <c r="R589">
        <f t="shared" si="163"/>
        <v>632.43813909693336</v>
      </c>
      <c r="S589">
        <f t="shared" si="164"/>
        <v>1519.9186231601377</v>
      </c>
      <c r="T589">
        <f t="shared" si="165"/>
        <v>4027.7843513743646</v>
      </c>
      <c r="U589">
        <v>50</v>
      </c>
      <c r="V589">
        <v>0.33500000000000002</v>
      </c>
      <c r="W589">
        <v>0</v>
      </c>
    </row>
    <row r="590" spans="1:25" x14ac:dyDescent="0.25">
      <c r="A590" t="s">
        <v>137</v>
      </c>
      <c r="B590" t="s">
        <v>138</v>
      </c>
      <c r="C590">
        <v>9</v>
      </c>
      <c r="D590">
        <v>1</v>
      </c>
      <c r="E590">
        <f t="shared" si="159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f t="shared" si="161"/>
        <v>1.4782544566298856</v>
      </c>
      <c r="P590">
        <f t="shared" si="162"/>
        <v>18.719570167578411</v>
      </c>
      <c r="Q590">
        <f t="shared" si="166"/>
        <v>47.547708225649167</v>
      </c>
      <c r="R590">
        <f t="shared" si="163"/>
        <v>670.5257398689505</v>
      </c>
      <c r="S590">
        <f t="shared" si="164"/>
        <v>1611.4533522445338</v>
      </c>
      <c r="T590">
        <f t="shared" si="165"/>
        <v>4270.3513834480145</v>
      </c>
      <c r="U590">
        <v>50</v>
      </c>
      <c r="V590">
        <v>0.33500000000000002</v>
      </c>
      <c r="W590">
        <v>0</v>
      </c>
    </row>
    <row r="591" spans="1:25" x14ac:dyDescent="0.25">
      <c r="A591" t="s">
        <v>137</v>
      </c>
      <c r="B591" t="s">
        <v>138</v>
      </c>
      <c r="C591">
        <v>10</v>
      </c>
      <c r="D591">
        <v>1</v>
      </c>
      <c r="E591">
        <f t="shared" si="159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f t="shared" si="161"/>
        <v>1.5402780654167569</v>
      </c>
      <c r="P591">
        <f t="shared" si="162"/>
        <v>18.994402478329821</v>
      </c>
      <c r="Q591">
        <f t="shared" si="166"/>
        <v>48.245782294957749</v>
      </c>
      <c r="R591">
        <f t="shared" si="163"/>
        <v>698.65920903228539</v>
      </c>
      <c r="S591">
        <f t="shared" si="164"/>
        <v>1679.0656309355575</v>
      </c>
      <c r="T591">
        <f t="shared" si="165"/>
        <v>4449.5239219792275</v>
      </c>
      <c r="U591">
        <v>50</v>
      </c>
      <c r="V591">
        <v>0.33500000000000002</v>
      </c>
      <c r="W591">
        <v>0</v>
      </c>
    </row>
  </sheetData>
  <hyperlinks>
    <hyperlink ref="Y58" r:id="rId1"/>
    <hyperlink ref="Z58" r:id="rId2"/>
    <hyperlink ref="AA58" r:id="rId3"/>
    <hyperlink ref="AB58" r:id="rId4"/>
    <hyperlink ref="AC58" r:id="rId5"/>
    <hyperlink ref="AD58" r:id="rId6"/>
    <hyperlink ref="AE58" r:id="rId7"/>
    <hyperlink ref="AF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88" r:id="rId19"/>
    <hyperlink ref="AA88" r:id="rId20"/>
    <hyperlink ref="AB88" r:id="rId21"/>
    <hyperlink ref="Y118" r:id="rId22"/>
    <hyperlink ref="Z118" r:id="rId23"/>
    <hyperlink ref="AA118" r:id="rId24"/>
    <hyperlink ref="Y128" r:id="rId25"/>
    <hyperlink ref="Z128" r:id="rId26"/>
    <hyperlink ref="AA128" r:id="rId27"/>
    <hyperlink ref="AB128" r:id="rId28"/>
    <hyperlink ref="AC128" r:id="rId29"/>
    <hyperlink ref="AD128" r:id="rId30"/>
    <hyperlink ref="AE128" r:id="rId31"/>
    <hyperlink ref="AF128" r:id="rId32"/>
    <hyperlink ref="AG128" r:id="rId33"/>
    <hyperlink ref="AH128" r:id="rId34"/>
    <hyperlink ref="AI128" r:id="rId35"/>
    <hyperlink ref="Y138" r:id="rId36"/>
    <hyperlink ref="Z138" r:id="rId37"/>
    <hyperlink ref="AA138" r:id="rId38"/>
    <hyperlink ref="AB138" r:id="rId39"/>
    <hyperlink ref="AC138" r:id="rId40"/>
    <hyperlink ref="AD138" r:id="rId41"/>
    <hyperlink ref="AE138" r:id="rId42"/>
    <hyperlink ref="AF138" r:id="rId43"/>
    <hyperlink ref="Y148" r:id="rId44"/>
    <hyperlink ref="Z148" r:id="rId45"/>
    <hyperlink ref="AA148" r:id="rId46"/>
    <hyperlink ref="AB148" r:id="rId47"/>
    <hyperlink ref="Y158" r:id="rId48"/>
    <hyperlink ref="Z158" r:id="rId49"/>
    <hyperlink ref="AA158" r:id="rId50"/>
    <hyperlink ref="Z258" r:id="rId51"/>
    <hyperlink ref="AA258" r:id="rId52"/>
    <hyperlink ref="AB258" r:id="rId53"/>
    <hyperlink ref="Y288" r:id="rId54"/>
    <hyperlink ref="Z288" r:id="rId55"/>
    <hyperlink ref="AA288" r:id="rId56"/>
    <hyperlink ref="Y328" r:id="rId57"/>
    <hyperlink ref="Z328" r:id="rId58"/>
    <hyperlink ref="AA328" r:id="rId59"/>
    <hyperlink ref="AB328" r:id="rId60"/>
    <hyperlink ref="AC328" r:id="rId61"/>
    <hyperlink ref="AD328" r:id="rId62"/>
    <hyperlink ref="AE328" r:id="rId63"/>
    <hyperlink ref="AF328" r:id="rId64"/>
    <hyperlink ref="AG328" r:id="rId65"/>
    <hyperlink ref="AH328" r:id="rId66"/>
    <hyperlink ref="Y348" r:id="rId67"/>
    <hyperlink ref="Z348" r:id="rId68"/>
    <hyperlink ref="AB348" r:id="rId69"/>
    <hyperlink ref="Y368" r:id="rId70"/>
    <hyperlink ref="X385" r:id="rId71"/>
    <hyperlink ref="Z385" r:id="rId72"/>
    <hyperlink ref="Y408" r:id="rId73"/>
    <hyperlink ref="AB408" r:id="rId74"/>
    <hyperlink ref="AC408" r:id="rId75"/>
    <hyperlink ref="AF408" r:id="rId76"/>
    <hyperlink ref="AA428" r:id="rId77"/>
    <hyperlink ref="AB428" r:id="rId78"/>
    <hyperlink ref="AC428" r:id="rId79"/>
    <hyperlink ref="AD428" r:id="rId80"/>
    <hyperlink ref="AE428" r:id="rId81"/>
    <hyperlink ref="AF428" r:id="rId82"/>
    <hyperlink ref="Y478" r:id="rId83"/>
    <hyperlink ref="Z478" r:id="rId84"/>
    <hyperlink ref="AA478" r:id="rId85"/>
    <hyperlink ref="Y498" r:id="rId86"/>
    <hyperlink ref="AA498" r:id="rId87"/>
    <hyperlink ref="AB498" r:id="rId88"/>
    <hyperlink ref="AD498" r:id="rId89"/>
    <hyperlink ref="AE498" r:id="rId90"/>
    <hyperlink ref="Y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Normal="100" workbookViewId="0">
      <selection activeCell="D44" sqref="D44"/>
    </sheetView>
  </sheetViews>
  <sheetFormatPr defaultRowHeight="15" x14ac:dyDescent="0.25"/>
  <cols>
    <col min="1" max="1" width="13.7109375"/>
    <col min="2" max="2" width="5.140625"/>
    <col min="3" max="3" width="14.5703125"/>
    <col min="4" max="4" width="10"/>
    <col min="5" max="5" width="11.7109375"/>
    <col min="6" max="6" width="8.140625"/>
    <col min="7" max="1025" width="8.5703125"/>
  </cols>
  <sheetData>
    <row r="1" spans="1:6" x14ac:dyDescent="0.25">
      <c r="C1" s="5" t="s">
        <v>752</v>
      </c>
      <c r="D1" t="s">
        <v>753</v>
      </c>
      <c r="E1" t="s">
        <v>754</v>
      </c>
      <c r="F1" t="s">
        <v>755</v>
      </c>
    </row>
    <row r="2" spans="1:6" x14ac:dyDescent="0.25">
      <c r="A2" t="s">
        <v>756</v>
      </c>
      <c r="B2" t="s">
        <v>21</v>
      </c>
      <c r="C2">
        <v>3</v>
      </c>
      <c r="D2">
        <v>1</v>
      </c>
      <c r="E2">
        <v>10</v>
      </c>
      <c r="F2">
        <f t="shared" ref="F2:F33" si="0">E2*D2</f>
        <v>10</v>
      </c>
    </row>
    <row r="3" spans="1:6" x14ac:dyDescent="0.25">
      <c r="A3" t="s">
        <v>757</v>
      </c>
      <c r="B3" t="s">
        <v>23</v>
      </c>
      <c r="C3">
        <v>3</v>
      </c>
      <c r="D3">
        <v>3</v>
      </c>
      <c r="E3">
        <v>10</v>
      </c>
      <c r="F3">
        <f t="shared" si="0"/>
        <v>30</v>
      </c>
    </row>
    <row r="4" spans="1:6" x14ac:dyDescent="0.25">
      <c r="A4" t="s">
        <v>758</v>
      </c>
      <c r="B4" t="s">
        <v>25</v>
      </c>
      <c r="C4">
        <v>3</v>
      </c>
      <c r="D4">
        <v>3</v>
      </c>
      <c r="E4">
        <v>10</v>
      </c>
      <c r="F4">
        <f t="shared" si="0"/>
        <v>30</v>
      </c>
    </row>
    <row r="5" spans="1:6" x14ac:dyDescent="0.25">
      <c r="A5" t="s">
        <v>759</v>
      </c>
      <c r="B5" t="s">
        <v>27</v>
      </c>
      <c r="C5">
        <v>1</v>
      </c>
      <c r="D5">
        <v>1</v>
      </c>
      <c r="E5">
        <v>10</v>
      </c>
      <c r="F5">
        <f t="shared" si="0"/>
        <v>10</v>
      </c>
    </row>
    <row r="6" spans="1:6" x14ac:dyDescent="0.25">
      <c r="A6" t="s">
        <v>760</v>
      </c>
      <c r="B6" t="s">
        <v>29</v>
      </c>
      <c r="C6">
        <v>2</v>
      </c>
      <c r="D6">
        <v>7</v>
      </c>
      <c r="E6">
        <v>10</v>
      </c>
      <c r="F6">
        <f t="shared" si="0"/>
        <v>70</v>
      </c>
    </row>
    <row r="7" spans="1:6" x14ac:dyDescent="0.25">
      <c r="A7" t="s">
        <v>761</v>
      </c>
      <c r="B7" s="2" t="s">
        <v>31</v>
      </c>
      <c r="C7">
        <v>3</v>
      </c>
      <c r="D7">
        <v>1</v>
      </c>
      <c r="E7">
        <v>10</v>
      </c>
      <c r="F7">
        <f t="shared" si="0"/>
        <v>10</v>
      </c>
    </row>
    <row r="8" spans="1:6" x14ac:dyDescent="0.25">
      <c r="A8" t="s">
        <v>762</v>
      </c>
      <c r="B8" t="s">
        <v>33</v>
      </c>
      <c r="C8">
        <v>1</v>
      </c>
      <c r="D8">
        <v>2</v>
      </c>
      <c r="E8">
        <v>10</v>
      </c>
      <c r="F8">
        <f t="shared" si="0"/>
        <v>20</v>
      </c>
    </row>
    <row r="9" spans="1:6" x14ac:dyDescent="0.25">
      <c r="A9" t="s">
        <v>763</v>
      </c>
      <c r="B9" t="s">
        <v>35</v>
      </c>
      <c r="C9">
        <v>3</v>
      </c>
      <c r="D9">
        <v>1</v>
      </c>
      <c r="E9">
        <v>10</v>
      </c>
      <c r="F9">
        <f t="shared" si="0"/>
        <v>10</v>
      </c>
    </row>
    <row r="10" spans="1:6" x14ac:dyDescent="0.25">
      <c r="A10" t="s">
        <v>764</v>
      </c>
      <c r="B10" t="s">
        <v>37</v>
      </c>
      <c r="C10">
        <v>3</v>
      </c>
      <c r="D10">
        <v>9</v>
      </c>
      <c r="E10">
        <v>10</v>
      </c>
      <c r="F10">
        <f t="shared" si="0"/>
        <v>90</v>
      </c>
    </row>
    <row r="11" spans="1:6" x14ac:dyDescent="0.25">
      <c r="A11" t="s">
        <v>765</v>
      </c>
      <c r="B11" t="s">
        <v>39</v>
      </c>
      <c r="C11">
        <v>2</v>
      </c>
      <c r="D11">
        <v>2</v>
      </c>
      <c r="E11">
        <v>10</v>
      </c>
      <c r="F11">
        <f t="shared" si="0"/>
        <v>20</v>
      </c>
    </row>
    <row r="12" spans="1:6" x14ac:dyDescent="0.25">
      <c r="A12" t="s">
        <v>766</v>
      </c>
      <c r="B12" t="s">
        <v>41</v>
      </c>
      <c r="C12">
        <v>3</v>
      </c>
      <c r="D12">
        <v>4</v>
      </c>
      <c r="E12">
        <v>10</v>
      </c>
      <c r="F12">
        <f t="shared" si="0"/>
        <v>40</v>
      </c>
    </row>
    <row r="13" spans="1:6" x14ac:dyDescent="0.25">
      <c r="A13" t="s">
        <v>767</v>
      </c>
      <c r="B13" t="s">
        <v>43</v>
      </c>
      <c r="C13">
        <v>1</v>
      </c>
      <c r="D13">
        <v>2</v>
      </c>
      <c r="E13">
        <v>10</v>
      </c>
      <c r="F13">
        <f t="shared" si="0"/>
        <v>20</v>
      </c>
    </row>
    <row r="14" spans="1:6" x14ac:dyDescent="0.25">
      <c r="A14" t="s">
        <v>768</v>
      </c>
      <c r="B14" t="s">
        <v>45</v>
      </c>
      <c r="C14">
        <v>2</v>
      </c>
      <c r="D14">
        <v>5</v>
      </c>
      <c r="E14">
        <v>10</v>
      </c>
      <c r="F14">
        <f t="shared" si="0"/>
        <v>50</v>
      </c>
    </row>
    <row r="15" spans="1:6" x14ac:dyDescent="0.25">
      <c r="A15" t="s">
        <v>769</v>
      </c>
      <c r="B15" s="2" t="s">
        <v>47</v>
      </c>
      <c r="C15">
        <v>2</v>
      </c>
      <c r="D15">
        <v>1</v>
      </c>
      <c r="E15">
        <v>10</v>
      </c>
      <c r="F15">
        <f t="shared" si="0"/>
        <v>10</v>
      </c>
    </row>
    <row r="16" spans="1:6" x14ac:dyDescent="0.25">
      <c r="A16" t="s">
        <v>770</v>
      </c>
      <c r="B16" s="2" t="s">
        <v>49</v>
      </c>
      <c r="C16">
        <v>1</v>
      </c>
      <c r="D16">
        <v>2</v>
      </c>
      <c r="E16">
        <v>10</v>
      </c>
      <c r="F16">
        <f t="shared" si="0"/>
        <v>20</v>
      </c>
    </row>
    <row r="17" spans="1:6" x14ac:dyDescent="0.25">
      <c r="A17" t="s">
        <v>771</v>
      </c>
      <c r="B17" s="2" t="s">
        <v>51</v>
      </c>
      <c r="C17">
        <v>3</v>
      </c>
      <c r="D17">
        <v>2</v>
      </c>
      <c r="E17">
        <v>10</v>
      </c>
      <c r="F17">
        <f t="shared" si="0"/>
        <v>20</v>
      </c>
    </row>
    <row r="18" spans="1:6" x14ac:dyDescent="0.25">
      <c r="A18" t="s">
        <v>772</v>
      </c>
      <c r="B18" t="s">
        <v>53</v>
      </c>
      <c r="C18">
        <v>3</v>
      </c>
      <c r="D18">
        <v>2</v>
      </c>
      <c r="E18">
        <v>10</v>
      </c>
      <c r="F18">
        <f t="shared" si="0"/>
        <v>20</v>
      </c>
    </row>
    <row r="19" spans="1:6" x14ac:dyDescent="0.25">
      <c r="A19" t="s">
        <v>773</v>
      </c>
      <c r="B19" t="s">
        <v>55</v>
      </c>
      <c r="C19">
        <v>3</v>
      </c>
      <c r="D19">
        <v>1</v>
      </c>
      <c r="E19">
        <v>10</v>
      </c>
      <c r="F19">
        <f t="shared" si="0"/>
        <v>10</v>
      </c>
    </row>
    <row r="20" spans="1:6" x14ac:dyDescent="0.25">
      <c r="A20" t="s">
        <v>774</v>
      </c>
      <c r="B20" t="s">
        <v>57</v>
      </c>
      <c r="C20">
        <v>1</v>
      </c>
      <c r="D20">
        <v>2</v>
      </c>
      <c r="E20">
        <v>10</v>
      </c>
      <c r="F20">
        <f t="shared" si="0"/>
        <v>20</v>
      </c>
    </row>
    <row r="21" spans="1:6" x14ac:dyDescent="0.25">
      <c r="A21" t="s">
        <v>775</v>
      </c>
      <c r="B21" t="s">
        <v>59</v>
      </c>
      <c r="C21">
        <v>3</v>
      </c>
      <c r="D21">
        <v>2</v>
      </c>
      <c r="E21">
        <v>10</v>
      </c>
      <c r="F21">
        <f t="shared" si="0"/>
        <v>20</v>
      </c>
    </row>
    <row r="22" spans="1:6" x14ac:dyDescent="0.25">
      <c r="A22" t="s">
        <v>776</v>
      </c>
      <c r="B22" t="s">
        <v>61</v>
      </c>
      <c r="C22">
        <v>2</v>
      </c>
      <c r="D22">
        <v>1</v>
      </c>
      <c r="E22">
        <v>10</v>
      </c>
      <c r="F22">
        <f t="shared" si="0"/>
        <v>10</v>
      </c>
    </row>
    <row r="23" spans="1:6" x14ac:dyDescent="0.25">
      <c r="A23" t="s">
        <v>777</v>
      </c>
      <c r="B23" t="s">
        <v>63</v>
      </c>
      <c r="C23">
        <v>1</v>
      </c>
      <c r="D23">
        <v>2</v>
      </c>
      <c r="E23">
        <v>10</v>
      </c>
      <c r="F23">
        <f t="shared" si="0"/>
        <v>20</v>
      </c>
    </row>
    <row r="24" spans="1:6" x14ac:dyDescent="0.25">
      <c r="A24" t="s">
        <v>778</v>
      </c>
      <c r="B24" t="s">
        <v>65</v>
      </c>
      <c r="C24">
        <v>2</v>
      </c>
      <c r="D24">
        <v>3</v>
      </c>
      <c r="E24">
        <v>10</v>
      </c>
      <c r="F24">
        <f t="shared" si="0"/>
        <v>30</v>
      </c>
    </row>
    <row r="25" spans="1:6" x14ac:dyDescent="0.25">
      <c r="A25" t="s">
        <v>779</v>
      </c>
      <c r="B25" t="s">
        <v>67</v>
      </c>
      <c r="C25">
        <v>2</v>
      </c>
      <c r="D25">
        <v>1</v>
      </c>
      <c r="E25">
        <v>10</v>
      </c>
      <c r="F25">
        <f t="shared" si="0"/>
        <v>10</v>
      </c>
    </row>
    <row r="26" spans="1:6" x14ac:dyDescent="0.25">
      <c r="A26" t="s">
        <v>780</v>
      </c>
      <c r="B26" t="s">
        <v>69</v>
      </c>
      <c r="C26">
        <v>2</v>
      </c>
      <c r="D26">
        <v>1</v>
      </c>
      <c r="E26">
        <v>10</v>
      </c>
      <c r="F26">
        <f t="shared" si="0"/>
        <v>10</v>
      </c>
    </row>
    <row r="27" spans="1:6" x14ac:dyDescent="0.25">
      <c r="A27" t="s">
        <v>781</v>
      </c>
      <c r="B27" s="2" t="s">
        <v>71</v>
      </c>
      <c r="C27">
        <v>2</v>
      </c>
      <c r="D27">
        <v>1</v>
      </c>
      <c r="E27">
        <v>10</v>
      </c>
      <c r="F27">
        <f t="shared" si="0"/>
        <v>10</v>
      </c>
    </row>
    <row r="28" spans="1:6" x14ac:dyDescent="0.25">
      <c r="A28" t="s">
        <v>782</v>
      </c>
      <c r="B28" t="s">
        <v>73</v>
      </c>
      <c r="C28">
        <v>1</v>
      </c>
      <c r="D28">
        <v>2</v>
      </c>
      <c r="E28">
        <v>10</v>
      </c>
      <c r="F28">
        <f t="shared" si="0"/>
        <v>20</v>
      </c>
    </row>
    <row r="29" spans="1:6" x14ac:dyDescent="0.25">
      <c r="A29" t="s">
        <v>783</v>
      </c>
      <c r="B29" t="s">
        <v>75</v>
      </c>
      <c r="C29">
        <v>1</v>
      </c>
      <c r="D29">
        <v>2</v>
      </c>
      <c r="E29">
        <v>10</v>
      </c>
      <c r="F29">
        <f t="shared" si="0"/>
        <v>20</v>
      </c>
    </row>
    <row r="30" spans="1:6" x14ac:dyDescent="0.25">
      <c r="A30" t="s">
        <v>784</v>
      </c>
      <c r="B30" t="s">
        <v>77</v>
      </c>
      <c r="C30">
        <v>3</v>
      </c>
      <c r="D30">
        <v>3</v>
      </c>
      <c r="E30">
        <v>10</v>
      </c>
      <c r="F30">
        <f t="shared" si="0"/>
        <v>30</v>
      </c>
    </row>
    <row r="31" spans="1:6" x14ac:dyDescent="0.25">
      <c r="A31" t="s">
        <v>785</v>
      </c>
      <c r="B31" t="s">
        <v>79</v>
      </c>
      <c r="C31">
        <v>3</v>
      </c>
      <c r="D31">
        <v>2</v>
      </c>
      <c r="E31">
        <v>10</v>
      </c>
      <c r="F31">
        <f t="shared" si="0"/>
        <v>20</v>
      </c>
    </row>
    <row r="32" spans="1:6" x14ac:dyDescent="0.25">
      <c r="A32" t="s">
        <v>786</v>
      </c>
      <c r="B32" t="s">
        <v>81</v>
      </c>
      <c r="C32">
        <v>1</v>
      </c>
      <c r="D32">
        <v>2</v>
      </c>
      <c r="E32">
        <v>10</v>
      </c>
      <c r="F32">
        <f t="shared" si="0"/>
        <v>20</v>
      </c>
    </row>
    <row r="33" spans="1:6" x14ac:dyDescent="0.25">
      <c r="A33" t="s">
        <v>787</v>
      </c>
      <c r="B33" t="s">
        <v>83</v>
      </c>
      <c r="C33">
        <v>2</v>
      </c>
      <c r="D33">
        <v>7</v>
      </c>
      <c r="E33">
        <v>10</v>
      </c>
      <c r="F33">
        <f t="shared" si="0"/>
        <v>70</v>
      </c>
    </row>
    <row r="34" spans="1:6" x14ac:dyDescent="0.25">
      <c r="A34" t="s">
        <v>788</v>
      </c>
      <c r="B34" t="s">
        <v>85</v>
      </c>
      <c r="C34">
        <v>2</v>
      </c>
      <c r="D34">
        <v>7</v>
      </c>
      <c r="E34">
        <v>10</v>
      </c>
      <c r="F34">
        <f t="shared" ref="F34:F65" si="1">E34*D34</f>
        <v>70</v>
      </c>
    </row>
    <row r="35" spans="1:6" x14ac:dyDescent="0.25">
      <c r="A35" t="s">
        <v>789</v>
      </c>
      <c r="B35" t="s">
        <v>87</v>
      </c>
      <c r="C35">
        <v>1</v>
      </c>
      <c r="D35">
        <v>2</v>
      </c>
      <c r="E35">
        <v>10</v>
      </c>
      <c r="F35">
        <f t="shared" si="1"/>
        <v>20</v>
      </c>
    </row>
    <row r="36" spans="1:6" x14ac:dyDescent="0.25">
      <c r="A36" t="s">
        <v>790</v>
      </c>
      <c r="B36" t="s">
        <v>89</v>
      </c>
      <c r="C36">
        <v>2</v>
      </c>
      <c r="D36">
        <v>8</v>
      </c>
      <c r="E36">
        <v>10</v>
      </c>
      <c r="F36">
        <f t="shared" si="1"/>
        <v>80</v>
      </c>
    </row>
    <row r="37" spans="1:6" x14ac:dyDescent="0.25">
      <c r="A37" t="s">
        <v>791</v>
      </c>
      <c r="B37" t="s">
        <v>91</v>
      </c>
      <c r="C37">
        <v>1</v>
      </c>
      <c r="D37">
        <v>2</v>
      </c>
      <c r="E37">
        <v>10</v>
      </c>
      <c r="F37">
        <f t="shared" si="1"/>
        <v>20</v>
      </c>
    </row>
    <row r="38" spans="1:6" x14ac:dyDescent="0.25">
      <c r="A38" t="s">
        <v>792</v>
      </c>
      <c r="B38" t="s">
        <v>93</v>
      </c>
      <c r="C38">
        <v>3</v>
      </c>
      <c r="D38">
        <v>9</v>
      </c>
      <c r="E38">
        <v>10</v>
      </c>
      <c r="F38">
        <f t="shared" si="1"/>
        <v>90</v>
      </c>
    </row>
    <row r="39" spans="1:6" x14ac:dyDescent="0.25">
      <c r="A39" t="s">
        <v>793</v>
      </c>
      <c r="B39" t="s">
        <v>95</v>
      </c>
      <c r="C39">
        <v>1</v>
      </c>
      <c r="D39">
        <v>2</v>
      </c>
      <c r="E39">
        <v>10</v>
      </c>
      <c r="F39">
        <f t="shared" si="1"/>
        <v>20</v>
      </c>
    </row>
    <row r="40" spans="1:6" x14ac:dyDescent="0.25">
      <c r="A40" t="s">
        <v>794</v>
      </c>
      <c r="B40" t="s">
        <v>97</v>
      </c>
      <c r="C40">
        <v>1</v>
      </c>
      <c r="D40">
        <v>2</v>
      </c>
      <c r="E40">
        <v>10</v>
      </c>
      <c r="F40">
        <f t="shared" si="1"/>
        <v>20</v>
      </c>
    </row>
    <row r="41" spans="1:6" x14ac:dyDescent="0.25">
      <c r="A41" t="s">
        <v>795</v>
      </c>
      <c r="B41" t="s">
        <v>99</v>
      </c>
      <c r="C41">
        <v>1</v>
      </c>
      <c r="D41">
        <v>2</v>
      </c>
      <c r="E41">
        <v>10</v>
      </c>
      <c r="F41">
        <f t="shared" si="1"/>
        <v>20</v>
      </c>
    </row>
    <row r="42" spans="1:6" x14ac:dyDescent="0.25">
      <c r="A42" t="s">
        <v>796</v>
      </c>
      <c r="B42" t="s">
        <v>101</v>
      </c>
      <c r="C42">
        <v>1</v>
      </c>
      <c r="D42">
        <v>2</v>
      </c>
      <c r="E42">
        <v>10</v>
      </c>
      <c r="F42">
        <f t="shared" si="1"/>
        <v>20</v>
      </c>
    </row>
    <row r="43" spans="1:6" x14ac:dyDescent="0.25">
      <c r="A43" t="s">
        <v>797</v>
      </c>
      <c r="B43" t="s">
        <v>103</v>
      </c>
      <c r="C43">
        <v>3</v>
      </c>
      <c r="D43">
        <v>1</v>
      </c>
      <c r="E43">
        <v>10</v>
      </c>
      <c r="F43">
        <f t="shared" si="1"/>
        <v>10</v>
      </c>
    </row>
    <row r="44" spans="1:6" x14ac:dyDescent="0.25">
      <c r="A44" t="s">
        <v>798</v>
      </c>
      <c r="B44" s="2" t="s">
        <v>105</v>
      </c>
      <c r="C44">
        <v>2</v>
      </c>
      <c r="D44">
        <v>3</v>
      </c>
      <c r="E44">
        <v>10</v>
      </c>
      <c r="F44">
        <f t="shared" si="1"/>
        <v>30</v>
      </c>
    </row>
    <row r="45" spans="1:6" x14ac:dyDescent="0.25">
      <c r="A45" t="s">
        <v>799</v>
      </c>
      <c r="B45" t="s">
        <v>107</v>
      </c>
      <c r="C45">
        <v>2</v>
      </c>
      <c r="D45">
        <v>5</v>
      </c>
      <c r="E45">
        <v>10</v>
      </c>
      <c r="F45">
        <f t="shared" si="1"/>
        <v>50</v>
      </c>
    </row>
    <row r="46" spans="1:6" x14ac:dyDescent="0.25">
      <c r="A46" t="s">
        <v>800</v>
      </c>
      <c r="B46" t="s">
        <v>109</v>
      </c>
      <c r="C46">
        <v>2</v>
      </c>
      <c r="D46">
        <v>5</v>
      </c>
      <c r="E46">
        <v>10</v>
      </c>
      <c r="F46">
        <f t="shared" si="1"/>
        <v>50</v>
      </c>
    </row>
    <row r="47" spans="1:6" x14ac:dyDescent="0.25">
      <c r="A47" t="s">
        <v>801</v>
      </c>
      <c r="B47" t="s">
        <v>111</v>
      </c>
      <c r="C47">
        <v>1</v>
      </c>
      <c r="D47">
        <v>2</v>
      </c>
      <c r="E47">
        <v>10</v>
      </c>
      <c r="F47">
        <f t="shared" si="1"/>
        <v>20</v>
      </c>
    </row>
    <row r="48" spans="1:6" x14ac:dyDescent="0.25">
      <c r="A48" t="s">
        <v>802</v>
      </c>
      <c r="B48" t="s">
        <v>113</v>
      </c>
      <c r="C48">
        <v>3</v>
      </c>
      <c r="D48">
        <v>2</v>
      </c>
      <c r="E48">
        <v>10</v>
      </c>
      <c r="F48">
        <f t="shared" si="1"/>
        <v>20</v>
      </c>
    </row>
    <row r="49" spans="1:6" x14ac:dyDescent="0.25">
      <c r="A49" t="s">
        <v>803</v>
      </c>
      <c r="B49" t="s">
        <v>115</v>
      </c>
      <c r="C49">
        <v>3</v>
      </c>
      <c r="D49">
        <v>7</v>
      </c>
      <c r="E49">
        <v>10</v>
      </c>
      <c r="F49">
        <f t="shared" si="1"/>
        <v>70</v>
      </c>
    </row>
    <row r="50" spans="1:6" x14ac:dyDescent="0.25">
      <c r="A50" t="s">
        <v>804</v>
      </c>
      <c r="B50" t="s">
        <v>117</v>
      </c>
      <c r="C50">
        <v>1</v>
      </c>
      <c r="D50">
        <v>2</v>
      </c>
      <c r="E50">
        <v>10</v>
      </c>
      <c r="F50">
        <f t="shared" si="1"/>
        <v>20</v>
      </c>
    </row>
    <row r="51" spans="1:6" x14ac:dyDescent="0.25">
      <c r="A51" t="s">
        <v>805</v>
      </c>
      <c r="B51" t="s">
        <v>119</v>
      </c>
      <c r="C51">
        <v>3</v>
      </c>
      <c r="D51">
        <v>3</v>
      </c>
      <c r="E51">
        <v>10</v>
      </c>
      <c r="F51">
        <f t="shared" si="1"/>
        <v>30</v>
      </c>
    </row>
    <row r="52" spans="1:6" x14ac:dyDescent="0.25">
      <c r="A52" t="s">
        <v>806</v>
      </c>
      <c r="B52" t="s">
        <v>121</v>
      </c>
      <c r="C52">
        <v>3</v>
      </c>
      <c r="D52">
        <v>7</v>
      </c>
      <c r="E52">
        <v>10</v>
      </c>
      <c r="F52">
        <f t="shared" si="1"/>
        <v>70</v>
      </c>
    </row>
    <row r="53" spans="1:6" x14ac:dyDescent="0.25">
      <c r="A53" t="s">
        <v>807</v>
      </c>
      <c r="B53" t="s">
        <v>123</v>
      </c>
      <c r="C53">
        <v>1</v>
      </c>
      <c r="D53">
        <v>2</v>
      </c>
      <c r="E53">
        <v>10</v>
      </c>
      <c r="F53">
        <f t="shared" si="1"/>
        <v>20</v>
      </c>
    </row>
    <row r="54" spans="1:6" x14ac:dyDescent="0.25">
      <c r="A54" t="s">
        <v>808</v>
      </c>
      <c r="B54" t="s">
        <v>125</v>
      </c>
      <c r="C54">
        <v>3</v>
      </c>
      <c r="D54">
        <v>1</v>
      </c>
      <c r="E54">
        <v>10</v>
      </c>
      <c r="F54">
        <f t="shared" si="1"/>
        <v>10</v>
      </c>
    </row>
    <row r="55" spans="1:6" x14ac:dyDescent="0.25">
      <c r="A55" t="s">
        <v>809</v>
      </c>
      <c r="B55" t="s">
        <v>127</v>
      </c>
      <c r="C55">
        <v>3</v>
      </c>
      <c r="D55">
        <v>2</v>
      </c>
      <c r="E55">
        <v>10</v>
      </c>
      <c r="F55">
        <f t="shared" si="1"/>
        <v>20</v>
      </c>
    </row>
    <row r="56" spans="1:6" x14ac:dyDescent="0.25">
      <c r="A56" t="s">
        <v>810</v>
      </c>
      <c r="B56" t="s">
        <v>129</v>
      </c>
      <c r="C56">
        <v>1</v>
      </c>
      <c r="D56">
        <v>2</v>
      </c>
      <c r="E56">
        <v>10</v>
      </c>
      <c r="F56">
        <f t="shared" si="1"/>
        <v>20</v>
      </c>
    </row>
    <row r="57" spans="1:6" x14ac:dyDescent="0.25">
      <c r="A57" t="s">
        <v>811</v>
      </c>
      <c r="B57" t="s">
        <v>131</v>
      </c>
      <c r="C57">
        <v>3</v>
      </c>
      <c r="D57">
        <v>2</v>
      </c>
      <c r="E57">
        <v>10</v>
      </c>
      <c r="F57">
        <f t="shared" si="1"/>
        <v>20</v>
      </c>
    </row>
    <row r="58" spans="1:6" x14ac:dyDescent="0.25">
      <c r="A58" t="s">
        <v>812</v>
      </c>
      <c r="B58" t="s">
        <v>133</v>
      </c>
      <c r="C58">
        <v>2</v>
      </c>
      <c r="D58">
        <v>3</v>
      </c>
      <c r="E58">
        <v>10</v>
      </c>
      <c r="F58">
        <f t="shared" si="1"/>
        <v>30</v>
      </c>
    </row>
    <row r="59" spans="1:6" x14ac:dyDescent="0.25">
      <c r="A59" t="s">
        <v>813</v>
      </c>
      <c r="B59" t="s">
        <v>135</v>
      </c>
      <c r="C59">
        <v>3</v>
      </c>
      <c r="D59">
        <v>2</v>
      </c>
      <c r="E59">
        <v>10</v>
      </c>
      <c r="F59">
        <f t="shared" si="1"/>
        <v>20</v>
      </c>
    </row>
    <row r="60" spans="1:6" x14ac:dyDescent="0.25">
      <c r="A60" t="s">
        <v>814</v>
      </c>
      <c r="B60" t="s">
        <v>137</v>
      </c>
      <c r="C60">
        <v>2</v>
      </c>
      <c r="D60">
        <v>1</v>
      </c>
      <c r="E60">
        <v>10</v>
      </c>
      <c r="F60">
        <f t="shared" si="1"/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length_weight_v15_data</vt:lpstr>
      <vt:lpstr>Recruit_weights</vt:lpstr>
      <vt:lpstr>scrap</vt:lpstr>
      <vt:lpstr>length_weight_v15_calc_doc</vt:lpstr>
      <vt:lpstr>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4</cp:revision>
  <dcterms:created xsi:type="dcterms:W3CDTF">2018-06-28T16:53:20Z</dcterms:created>
  <dcterms:modified xsi:type="dcterms:W3CDTF">2018-07-18T21:29:06Z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