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Portatil Lenovo\Desktop\Universidade\2º ano\1º semestre\Lab mec newt\"/>
    </mc:Choice>
  </mc:AlternateContent>
  <xr:revisionPtr revIDLastSave="0" documentId="13_ncr:1_{ED115436-4D98-4050-8AB2-B934E6B987D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arte 1-A" sheetId="1" r:id="rId1"/>
    <sheet name="Parte 1-A(2)" sheetId="4" r:id="rId2"/>
    <sheet name="Parte 1-B" sheetId="2" r:id="rId3"/>
    <sheet name="Parte 2" sheetId="3" r:id="rId4"/>
  </sheets>
  <definedNames>
    <definedName name="_xlchart.v1.0" hidden="1">'Parte 1-A'!$B$5:$B$104</definedName>
    <definedName name="_xlchart.v1.1" hidden="1">'Parte 1-A'!$B$5:$B$104</definedName>
    <definedName name="_xlchart.v1.2" hidden="1">'Parte 1-A'!$B$5:$B$104</definedName>
    <definedName name="Tabela1A">Tabela1[Periodo(s)]</definedName>
    <definedName name="Tabela1B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F4" i="2"/>
  <c r="K5" i="1"/>
  <c r="C13" i="4"/>
  <c r="C12" i="4"/>
  <c r="C11" i="4"/>
  <c r="C10" i="4"/>
  <c r="C9" i="4"/>
  <c r="C8" i="4"/>
  <c r="C7" i="4"/>
  <c r="C6" i="4"/>
  <c r="A4" i="4" s="1"/>
  <c r="C5" i="4"/>
  <c r="C4" i="4"/>
  <c r="M4" i="3"/>
  <c r="M6" i="3" s="1"/>
  <c r="M8" i="3" s="1"/>
  <c r="F7" i="4" l="1"/>
  <c r="F10" i="4" s="1"/>
  <c r="I51" i="4"/>
  <c r="I54" i="4" s="1"/>
  <c r="F55" i="4"/>
  <c r="F58" i="4" s="1"/>
  <c r="I40" i="4"/>
  <c r="I43" i="4" s="1"/>
  <c r="F43" i="4"/>
  <c r="F46" i="4" s="1"/>
  <c r="I21" i="4"/>
  <c r="I18" i="4"/>
  <c r="I29" i="4"/>
  <c r="I32" i="4" s="1"/>
  <c r="F31" i="4"/>
  <c r="F34" i="4" s="1"/>
  <c r="I10" i="4"/>
  <c r="F19" i="4"/>
  <c r="F22" i="4" s="1"/>
  <c r="I7" i="4"/>
  <c r="F69" i="1"/>
  <c r="H60" i="1"/>
  <c r="H13" i="3" l="1"/>
  <c r="J13" i="3" s="1"/>
  <c r="F11" i="3"/>
  <c r="D11" i="3"/>
  <c r="B11" i="3"/>
  <c r="F5" i="1" l="1"/>
  <c r="E5" i="1"/>
  <c r="D5" i="1"/>
  <c r="G5" i="1"/>
  <c r="H5" i="1" s="1"/>
  <c r="J3" i="3"/>
  <c r="D14" i="2"/>
  <c r="D13" i="2"/>
  <c r="D12" i="2"/>
  <c r="D11" i="2"/>
  <c r="D10" i="2"/>
  <c r="D9" i="2"/>
  <c r="D8" i="2"/>
  <c r="D7" i="2"/>
  <c r="D6" i="2"/>
  <c r="D5" i="2"/>
  <c r="D4" i="2"/>
  <c r="L5" i="1" l="1"/>
  <c r="P70" i="1" s="1"/>
  <c r="Q70" i="1" s="1"/>
  <c r="O13" i="1"/>
  <c r="P13" i="1" s="1"/>
  <c r="O12" i="1"/>
  <c r="J5" i="1"/>
  <c r="O7" i="1" s="1"/>
  <c r="P59" i="1"/>
  <c r="Q59" i="1" s="1"/>
  <c r="P108" i="1"/>
  <c r="Q108" i="1" s="1"/>
  <c r="P67" i="1"/>
  <c r="Q67" i="1" s="1"/>
  <c r="P107" i="1"/>
  <c r="Q107" i="1" s="1"/>
  <c r="P112" i="1"/>
  <c r="Q112" i="1" s="1"/>
  <c r="P35" i="1"/>
  <c r="Q35" i="1" s="1"/>
  <c r="P105" i="1"/>
  <c r="Q105" i="1" s="1"/>
  <c r="P42" i="1"/>
  <c r="Q42" i="1" s="1"/>
  <c r="O14" i="1"/>
  <c r="P14" i="1" s="1"/>
  <c r="O5" i="1"/>
  <c r="P5" i="1" s="1"/>
  <c r="P97" i="1" l="1"/>
  <c r="Q97" i="1" s="1"/>
  <c r="P27" i="1"/>
  <c r="Q27" i="1" s="1"/>
  <c r="P57" i="1"/>
  <c r="Q57" i="1" s="1"/>
  <c r="P88" i="1"/>
  <c r="Q88" i="1" s="1"/>
  <c r="P111" i="1"/>
  <c r="Q111" i="1" s="1"/>
  <c r="P78" i="1"/>
  <c r="Q78" i="1" s="1"/>
  <c r="P41" i="1"/>
  <c r="Q41" i="1" s="1"/>
  <c r="P48" i="1"/>
  <c r="Q48" i="1" s="1"/>
  <c r="P103" i="1"/>
  <c r="Q103" i="1" s="1"/>
  <c r="P62" i="1"/>
  <c r="Q62" i="1" s="1"/>
  <c r="P100" i="1"/>
  <c r="Q100" i="1" s="1"/>
  <c r="P33" i="1"/>
  <c r="Q33" i="1" s="1"/>
  <c r="P32" i="1"/>
  <c r="Q32" i="1" s="1"/>
  <c r="P63" i="1"/>
  <c r="Q63" i="1" s="1"/>
  <c r="O8" i="1"/>
  <c r="P50" i="1"/>
  <c r="Q50" i="1" s="1"/>
  <c r="P52" i="1"/>
  <c r="Q52" i="1" s="1"/>
  <c r="P28" i="1"/>
  <c r="Q28" i="1" s="1"/>
  <c r="P24" i="1"/>
  <c r="Q24" i="1" s="1"/>
  <c r="P47" i="1"/>
  <c r="Q47" i="1" s="1"/>
  <c r="P96" i="1"/>
  <c r="Q96" i="1" s="1"/>
  <c r="P20" i="1"/>
  <c r="Q20" i="1" s="1"/>
  <c r="P75" i="1"/>
  <c r="Q75" i="1" s="1"/>
  <c r="P92" i="1"/>
  <c r="Q92" i="1" s="1"/>
  <c r="P53" i="1"/>
  <c r="Q53" i="1" s="1"/>
  <c r="P7" i="1"/>
  <c r="P117" i="1"/>
  <c r="Q117" i="1" s="1"/>
  <c r="P83" i="1"/>
  <c r="Q83" i="1" s="1"/>
  <c r="P89" i="1"/>
  <c r="Q89" i="1" s="1"/>
  <c r="P25" i="1"/>
  <c r="Q25" i="1" s="1"/>
  <c r="P114" i="1"/>
  <c r="Q114" i="1" s="1"/>
  <c r="P80" i="1"/>
  <c r="Q80" i="1" s="1"/>
  <c r="P101" i="1"/>
  <c r="Q101" i="1" s="1"/>
  <c r="P43" i="1"/>
  <c r="Q43" i="1" s="1"/>
  <c r="P95" i="1"/>
  <c r="Q95" i="1" s="1"/>
  <c r="P31" i="1"/>
  <c r="Q31" i="1" s="1"/>
  <c r="P60" i="1"/>
  <c r="Q60" i="1" s="1"/>
  <c r="P110" i="1"/>
  <c r="Q110" i="1" s="1"/>
  <c r="P46" i="1"/>
  <c r="Q46" i="1" s="1"/>
  <c r="O9" i="1"/>
  <c r="P9" i="1" s="1"/>
  <c r="P39" i="1"/>
  <c r="Q39" i="1" s="1"/>
  <c r="P54" i="1"/>
  <c r="Q54" i="1" s="1"/>
  <c r="P93" i="1"/>
  <c r="Q93" i="1" s="1"/>
  <c r="P98" i="1"/>
  <c r="Q98" i="1" s="1"/>
  <c r="P81" i="1"/>
  <c r="Q81" i="1" s="1"/>
  <c r="P85" i="1"/>
  <c r="Q85" i="1" s="1"/>
  <c r="P90" i="1"/>
  <c r="Q90" i="1" s="1"/>
  <c r="P72" i="1"/>
  <c r="Q72" i="1" s="1"/>
  <c r="P69" i="1"/>
  <c r="Q69" i="1" s="1"/>
  <c r="P19" i="1"/>
  <c r="Q19" i="1" s="1"/>
  <c r="P87" i="1"/>
  <c r="Q87" i="1" s="1"/>
  <c r="P23" i="1"/>
  <c r="Q23" i="1" s="1"/>
  <c r="P36" i="1"/>
  <c r="Q36" i="1" s="1"/>
  <c r="P102" i="1"/>
  <c r="Q102" i="1" s="1"/>
  <c r="P38" i="1"/>
  <c r="Q38" i="1" s="1"/>
  <c r="O6" i="1"/>
  <c r="P6" i="1" s="1"/>
  <c r="P12" i="1"/>
  <c r="P84" i="1"/>
  <c r="Q84" i="1" s="1"/>
  <c r="P61" i="1"/>
  <c r="Q61" i="1" s="1"/>
  <c r="P82" i="1"/>
  <c r="Q82" i="1" s="1"/>
  <c r="P73" i="1"/>
  <c r="Q73" i="1" s="1"/>
  <c r="P45" i="1"/>
  <c r="Q45" i="1" s="1"/>
  <c r="P66" i="1"/>
  <c r="Q66" i="1" s="1"/>
  <c r="P64" i="1"/>
  <c r="Q64" i="1" s="1"/>
  <c r="P37" i="1"/>
  <c r="Q37" i="1" s="1"/>
  <c r="P106" i="1"/>
  <c r="Q106" i="1" s="1"/>
  <c r="P79" i="1"/>
  <c r="Q79" i="1" s="1"/>
  <c r="P109" i="1"/>
  <c r="Q109" i="1" s="1"/>
  <c r="P99" i="1"/>
  <c r="Q99" i="1" s="1"/>
  <c r="P94" i="1"/>
  <c r="Q94" i="1" s="1"/>
  <c r="P30" i="1"/>
  <c r="Q30" i="1" s="1"/>
  <c r="O10" i="1"/>
  <c r="P10" i="1" s="1"/>
  <c r="P118" i="1"/>
  <c r="Q118" i="1" s="1"/>
  <c r="P21" i="1"/>
  <c r="Q21" i="1" s="1"/>
  <c r="P58" i="1"/>
  <c r="Q58" i="1" s="1"/>
  <c r="P65" i="1"/>
  <c r="Q65" i="1" s="1"/>
  <c r="P68" i="1"/>
  <c r="Q68" i="1" s="1"/>
  <c r="P34" i="1"/>
  <c r="Q34" i="1" s="1"/>
  <c r="P56" i="1"/>
  <c r="Q56" i="1" s="1"/>
  <c r="P116" i="1"/>
  <c r="Q116" i="1" s="1"/>
  <c r="P74" i="1"/>
  <c r="Q74" i="1" s="1"/>
  <c r="P71" i="1"/>
  <c r="Q71" i="1" s="1"/>
  <c r="P77" i="1"/>
  <c r="Q77" i="1" s="1"/>
  <c r="P91" i="1"/>
  <c r="Q91" i="1" s="1"/>
  <c r="P86" i="1"/>
  <c r="Q86" i="1" s="1"/>
  <c r="P22" i="1"/>
  <c r="Q22" i="1" s="1"/>
  <c r="O11" i="1"/>
  <c r="P8" i="1"/>
  <c r="P76" i="1"/>
  <c r="Q76" i="1" s="1"/>
  <c r="P113" i="1"/>
  <c r="Q113" i="1" s="1"/>
  <c r="P49" i="1"/>
  <c r="Q49" i="1" s="1"/>
  <c r="P115" i="1"/>
  <c r="Q115" i="1" s="1"/>
  <c r="P104" i="1"/>
  <c r="Q104" i="1" s="1"/>
  <c r="P40" i="1"/>
  <c r="Q40" i="1" s="1"/>
  <c r="P44" i="1"/>
  <c r="Q44" i="1" s="1"/>
  <c r="P26" i="1"/>
  <c r="Q26" i="1" s="1"/>
  <c r="P55" i="1"/>
  <c r="Q55" i="1" s="1"/>
  <c r="P29" i="1"/>
  <c r="Q29" i="1" s="1"/>
  <c r="P51" i="1"/>
  <c r="Q51" i="1" s="1"/>
  <c r="P11" i="1" l="1"/>
</calcChain>
</file>

<file path=xl/sharedStrings.xml><?xml version="1.0" encoding="utf-8"?>
<sst xmlns="http://schemas.openxmlformats.org/spreadsheetml/2006/main" count="59" uniqueCount="39">
  <si>
    <t>Periodo</t>
  </si>
  <si>
    <t>Parte 1-A</t>
  </si>
  <si>
    <t>Parte 1-B</t>
  </si>
  <si>
    <t>Ensaio 1</t>
  </si>
  <si>
    <t>Ensaio 2</t>
  </si>
  <si>
    <t>Ensaio 3</t>
  </si>
  <si>
    <t>Comprimento do Pêndulo(L)</t>
  </si>
  <si>
    <r>
      <t>Incerteza do Comprimento do Pêndulo (</t>
    </r>
    <r>
      <rPr>
        <sz val="11"/>
        <color theme="1"/>
        <rFont val="Calibri"/>
        <family val="2"/>
      </rPr>
      <t>ΔL)</t>
    </r>
  </si>
  <si>
    <t>ΔL/L</t>
  </si>
  <si>
    <t>Média</t>
  </si>
  <si>
    <t>Desvio Padrão</t>
  </si>
  <si>
    <t>Periodo(s)</t>
  </si>
  <si>
    <t>Coluna1</t>
  </si>
  <si>
    <t>Mínimo</t>
  </si>
  <si>
    <t>Máximo</t>
  </si>
  <si>
    <t>Tamanho</t>
  </si>
  <si>
    <t>Est.Classes</t>
  </si>
  <si>
    <t>Classes</t>
  </si>
  <si>
    <t>Incremento</t>
  </si>
  <si>
    <t>Classe</t>
  </si>
  <si>
    <t>Corte</t>
  </si>
  <si>
    <t>Frequência</t>
  </si>
  <si>
    <t xml:space="preserve"> </t>
  </si>
  <si>
    <t>Pontos</t>
  </si>
  <si>
    <t>Valor</t>
  </si>
  <si>
    <t>Incremento 2</t>
  </si>
  <si>
    <t>FDM</t>
  </si>
  <si>
    <t>Desv.Pad.Med.</t>
  </si>
  <si>
    <t>Conjunto1</t>
  </si>
  <si>
    <t>Conjunto2</t>
  </si>
  <si>
    <t>Conjunto3</t>
  </si>
  <si>
    <t>Conjunto4</t>
  </si>
  <si>
    <t>Conjunto5</t>
  </si>
  <si>
    <t>Conjunto6</t>
  </si>
  <si>
    <t>Conjunto7</t>
  </si>
  <si>
    <t>Conjunto8</t>
  </si>
  <si>
    <t>Conjunto9</t>
  </si>
  <si>
    <t>Conjunto10</t>
  </si>
  <si>
    <t>Desvio Padrão da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</si>
</sst>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"/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2" borderId="1" xfId="0" applyNumberFormat="1" applyFont="1" applyFill="1" applyBorder="1"/>
    <xf numFmtId="2" fontId="0" fillId="0" borderId="1" xfId="0" applyNumberFormat="1" applyFont="1" applyBorder="1"/>
    <xf numFmtId="1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1"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'Parte 1-A'!$P$19:$P$118</c:f>
              <c:numCache>
                <c:formatCode>General</c:formatCode>
                <c:ptCount val="100"/>
                <c:pt idx="0">
                  <c:v>1.6473</c:v>
                </c:pt>
                <c:pt idx="1">
                  <c:v>1.6545999999999998</c:v>
                </c:pt>
                <c:pt idx="2">
                  <c:v>1.6618999999999999</c:v>
                </c:pt>
                <c:pt idx="3">
                  <c:v>1.6692</c:v>
                </c:pt>
                <c:pt idx="4">
                  <c:v>1.6764999999999999</c:v>
                </c:pt>
                <c:pt idx="5">
                  <c:v>1.6838</c:v>
                </c:pt>
                <c:pt idx="6">
                  <c:v>1.6910999999999998</c:v>
                </c:pt>
                <c:pt idx="7">
                  <c:v>1.6983999999999999</c:v>
                </c:pt>
                <c:pt idx="8">
                  <c:v>1.7057</c:v>
                </c:pt>
                <c:pt idx="9">
                  <c:v>1.7129999999999999</c:v>
                </c:pt>
                <c:pt idx="10">
                  <c:v>1.7202999999999999</c:v>
                </c:pt>
                <c:pt idx="11">
                  <c:v>1.7276</c:v>
                </c:pt>
                <c:pt idx="12">
                  <c:v>1.7348999999999999</c:v>
                </c:pt>
                <c:pt idx="13">
                  <c:v>1.7422</c:v>
                </c:pt>
                <c:pt idx="14">
                  <c:v>1.7494999999999998</c:v>
                </c:pt>
                <c:pt idx="15">
                  <c:v>1.7567999999999999</c:v>
                </c:pt>
                <c:pt idx="16">
                  <c:v>1.7641</c:v>
                </c:pt>
                <c:pt idx="17">
                  <c:v>1.7713999999999999</c:v>
                </c:pt>
                <c:pt idx="18">
                  <c:v>1.7786999999999999</c:v>
                </c:pt>
                <c:pt idx="19">
                  <c:v>1.786</c:v>
                </c:pt>
                <c:pt idx="20">
                  <c:v>1.7932999999999999</c:v>
                </c:pt>
                <c:pt idx="21">
                  <c:v>1.8006</c:v>
                </c:pt>
                <c:pt idx="22">
                  <c:v>1.8079000000000001</c:v>
                </c:pt>
                <c:pt idx="23">
                  <c:v>1.8151999999999999</c:v>
                </c:pt>
                <c:pt idx="24">
                  <c:v>1.8225</c:v>
                </c:pt>
                <c:pt idx="25">
                  <c:v>1.8297999999999999</c:v>
                </c:pt>
                <c:pt idx="26">
                  <c:v>1.8371</c:v>
                </c:pt>
                <c:pt idx="27">
                  <c:v>1.8444</c:v>
                </c:pt>
                <c:pt idx="28">
                  <c:v>1.8516999999999999</c:v>
                </c:pt>
                <c:pt idx="29">
                  <c:v>1.859</c:v>
                </c:pt>
                <c:pt idx="30">
                  <c:v>1.8662999999999998</c:v>
                </c:pt>
                <c:pt idx="31">
                  <c:v>1.8735999999999999</c:v>
                </c:pt>
                <c:pt idx="32">
                  <c:v>1.8809</c:v>
                </c:pt>
                <c:pt idx="33">
                  <c:v>1.8881999999999999</c:v>
                </c:pt>
                <c:pt idx="34">
                  <c:v>1.8955</c:v>
                </c:pt>
                <c:pt idx="35">
                  <c:v>1.9028</c:v>
                </c:pt>
                <c:pt idx="36">
                  <c:v>1.9100999999999999</c:v>
                </c:pt>
                <c:pt idx="37">
                  <c:v>1.9174</c:v>
                </c:pt>
                <c:pt idx="38">
                  <c:v>1.9247000000000001</c:v>
                </c:pt>
                <c:pt idx="39">
                  <c:v>1.9319999999999999</c:v>
                </c:pt>
                <c:pt idx="40">
                  <c:v>1.9393</c:v>
                </c:pt>
                <c:pt idx="41">
                  <c:v>1.9466000000000001</c:v>
                </c:pt>
                <c:pt idx="42">
                  <c:v>1.9539</c:v>
                </c:pt>
                <c:pt idx="43">
                  <c:v>1.9612000000000001</c:v>
                </c:pt>
                <c:pt idx="44">
                  <c:v>1.9684999999999999</c:v>
                </c:pt>
                <c:pt idx="45">
                  <c:v>1.9758</c:v>
                </c:pt>
                <c:pt idx="46">
                  <c:v>1.9830999999999999</c:v>
                </c:pt>
                <c:pt idx="47">
                  <c:v>1.9903999999999999</c:v>
                </c:pt>
                <c:pt idx="48">
                  <c:v>1.9977</c:v>
                </c:pt>
                <c:pt idx="49">
                  <c:v>2.0049999999999999</c:v>
                </c:pt>
                <c:pt idx="50">
                  <c:v>2.0122999999999998</c:v>
                </c:pt>
                <c:pt idx="51">
                  <c:v>2.0196000000000001</c:v>
                </c:pt>
                <c:pt idx="52">
                  <c:v>2.0268999999999999</c:v>
                </c:pt>
                <c:pt idx="53">
                  <c:v>2.0342000000000002</c:v>
                </c:pt>
                <c:pt idx="54">
                  <c:v>2.0415000000000001</c:v>
                </c:pt>
                <c:pt idx="55">
                  <c:v>2.0488</c:v>
                </c:pt>
                <c:pt idx="56">
                  <c:v>2.0560999999999998</c:v>
                </c:pt>
                <c:pt idx="57">
                  <c:v>2.0634000000000001</c:v>
                </c:pt>
                <c:pt idx="58">
                  <c:v>2.0707</c:v>
                </c:pt>
                <c:pt idx="59">
                  <c:v>2.0779999999999998</c:v>
                </c:pt>
                <c:pt idx="60">
                  <c:v>2.0853000000000002</c:v>
                </c:pt>
                <c:pt idx="61">
                  <c:v>2.0926</c:v>
                </c:pt>
                <c:pt idx="62">
                  <c:v>2.0998999999999999</c:v>
                </c:pt>
                <c:pt idx="63">
                  <c:v>2.1072000000000002</c:v>
                </c:pt>
                <c:pt idx="64">
                  <c:v>2.1145</c:v>
                </c:pt>
                <c:pt idx="65">
                  <c:v>2.1217999999999999</c:v>
                </c:pt>
                <c:pt idx="66">
                  <c:v>2.1291000000000002</c:v>
                </c:pt>
                <c:pt idx="67">
                  <c:v>2.1364000000000001</c:v>
                </c:pt>
                <c:pt idx="68">
                  <c:v>2.1436999999999999</c:v>
                </c:pt>
                <c:pt idx="69">
                  <c:v>2.1509999999999998</c:v>
                </c:pt>
                <c:pt idx="70">
                  <c:v>2.1583000000000001</c:v>
                </c:pt>
                <c:pt idx="71">
                  <c:v>2.1656</c:v>
                </c:pt>
                <c:pt idx="72">
                  <c:v>2.1729000000000003</c:v>
                </c:pt>
                <c:pt idx="73">
                  <c:v>2.1802000000000001</c:v>
                </c:pt>
                <c:pt idx="74">
                  <c:v>2.1875</c:v>
                </c:pt>
                <c:pt idx="75">
                  <c:v>2.1947999999999999</c:v>
                </c:pt>
                <c:pt idx="76">
                  <c:v>2.2021000000000002</c:v>
                </c:pt>
                <c:pt idx="77">
                  <c:v>2.2094</c:v>
                </c:pt>
                <c:pt idx="78">
                  <c:v>2.2166999999999999</c:v>
                </c:pt>
                <c:pt idx="79">
                  <c:v>2.2240000000000002</c:v>
                </c:pt>
                <c:pt idx="80">
                  <c:v>2.2313000000000001</c:v>
                </c:pt>
                <c:pt idx="81">
                  <c:v>2.2385999999999999</c:v>
                </c:pt>
                <c:pt idx="82">
                  <c:v>2.2458999999999998</c:v>
                </c:pt>
                <c:pt idx="83">
                  <c:v>2.2532000000000001</c:v>
                </c:pt>
                <c:pt idx="84">
                  <c:v>2.2605</c:v>
                </c:pt>
                <c:pt idx="85">
                  <c:v>2.2678000000000003</c:v>
                </c:pt>
                <c:pt idx="86">
                  <c:v>2.2751000000000001</c:v>
                </c:pt>
                <c:pt idx="87">
                  <c:v>2.2824</c:v>
                </c:pt>
                <c:pt idx="88">
                  <c:v>2.2896999999999998</c:v>
                </c:pt>
                <c:pt idx="89">
                  <c:v>2.2970000000000002</c:v>
                </c:pt>
                <c:pt idx="90">
                  <c:v>2.3043</c:v>
                </c:pt>
                <c:pt idx="91">
                  <c:v>2.3116000000000003</c:v>
                </c:pt>
                <c:pt idx="92">
                  <c:v>2.3189000000000002</c:v>
                </c:pt>
                <c:pt idx="93">
                  <c:v>2.3262</c:v>
                </c:pt>
                <c:pt idx="94">
                  <c:v>2.3334999999999999</c:v>
                </c:pt>
                <c:pt idx="95">
                  <c:v>2.3408000000000002</c:v>
                </c:pt>
                <c:pt idx="96">
                  <c:v>2.3481000000000001</c:v>
                </c:pt>
                <c:pt idx="97">
                  <c:v>2.3553999999999999</c:v>
                </c:pt>
                <c:pt idx="98">
                  <c:v>2.3627000000000002</c:v>
                </c:pt>
                <c:pt idx="99">
                  <c:v>2.37</c:v>
                </c:pt>
              </c:numCache>
            </c:numRef>
          </c:xVal>
          <c:yVal>
            <c:numRef>
              <c:f>'Parte 1-A'!$Q$19:$Q$118</c:f>
              <c:numCache>
                <c:formatCode>General</c:formatCode>
                <c:ptCount val="100"/>
                <c:pt idx="0">
                  <c:v>3.6361735084429594E-2</c:v>
                </c:pt>
                <c:pt idx="1">
                  <c:v>4.1981065517748585E-2</c:v>
                </c:pt>
                <c:pt idx="2">
                  <c:v>4.8350774186265467E-2</c:v>
                </c:pt>
                <c:pt idx="3">
                  <c:v>5.5551338020490185E-2</c:v>
                </c:pt>
                <c:pt idx="4">
                  <c:v>6.3668809867772624E-2</c:v>
                </c:pt>
                <c:pt idx="5">
                  <c:v>7.2794749558092994E-2</c:v>
                </c:pt>
                <c:pt idx="6">
                  <c:v>8.3026073003902953E-2</c:v>
                </c:pt>
                <c:pt idx="7">
                  <c:v>9.4464809731015717E-2</c:v>
                </c:pt>
                <c:pt idx="8">
                  <c:v>0.10721775951792729</c:v>
                </c:pt>
                <c:pt idx="9">
                  <c:v>0.12139603933537325</c:v>
                </c:pt>
                <c:pt idx="10">
                  <c:v>0.13711451254745907</c:v>
                </c:pt>
                <c:pt idx="11">
                  <c:v>0.1544910933778606</c:v>
                </c:pt>
                <c:pt idx="12">
                  <c:v>0.17364592097217671</c:v>
                </c:pt>
                <c:pt idx="13">
                  <c:v>0.1947003990076519</c:v>
                </c:pt>
                <c:pt idx="14">
                  <c:v>0.21777609871473586</c:v>
                </c:pt>
                <c:pt idx="15">
                  <c:v>0.24299352537434005</c:v>
                </c:pt>
                <c:pt idx="16">
                  <c:v>0.27047075082491617</c:v>
                </c:pt>
                <c:pt idx="17">
                  <c:v>0.30032191723062396</c:v>
                </c:pt>
                <c:pt idx="18">
                  <c:v>0.33265562029241691</c:v>
                </c:pt>
                <c:pt idx="19">
                  <c:v>0.36757318318517596</c:v>
                </c:pt>
                <c:pt idx="20">
                  <c:v>0.40516683572391765</c:v>
                </c:pt>
                <c:pt idx="21">
                  <c:v>0.44551781653959682</c:v>
                </c:pt>
                <c:pt idx="22">
                  <c:v>0.48869441931085777</c:v>
                </c:pt>
                <c:pt idx="23">
                  <c:v>0.53475000727605859</c:v>
                </c:pt>
                <c:pt idx="24">
                  <c:v>0.58372102325769859</c:v>
                </c:pt>
                <c:pt idx="25">
                  <c:v>0.63562502518303543</c:v>
                </c:pt>
                <c:pt idx="26">
                  <c:v>0.69045877949202128</c:v>
                </c:pt>
                <c:pt idx="27">
                  <c:v>0.74819644679855724</c:v>
                </c:pt>
                <c:pt idx="28">
                  <c:v>0.80878789562860043</c:v>
                </c:pt>
                <c:pt idx="29">
                  <c:v>0.87215718091855399</c:v>
                </c:pt>
                <c:pt idx="30">
                  <c:v>0.93820122414809914</c:v>
                </c:pt>
                <c:pt idx="31">
                  <c:v>1.0067887314420212</c:v>
                </c:pt>
                <c:pt idx="32">
                  <c:v>1.0777593846577276</c:v>
                </c:pt>
                <c:pt idx="33">
                  <c:v>1.1509233383475146</c:v>
                </c:pt>
                <c:pt idx="34">
                  <c:v>1.226061052532754</c:v>
                </c:pt>
                <c:pt idx="35">
                  <c:v>1.3029234874570601</c:v>
                </c:pt>
                <c:pt idx="36">
                  <c:v>1.3812326819237597</c:v>
                </c:pt>
                <c:pt idx="37">
                  <c:v>1.4606827315179438</c:v>
                </c:pt>
                <c:pt idx="38">
                  <c:v>1.5409411770355848</c:v>
                </c:pt>
                <c:pt idx="39">
                  <c:v>1.6216508068834565</c:v>
                </c:pt>
                <c:pt idx="40">
                  <c:v>1.7024318701858754</c:v>
                </c:pt>
                <c:pt idx="41">
                  <c:v>1.7828846899682886</c:v>
                </c:pt>
                <c:pt idx="42">
                  <c:v>1.8625926582300079</c:v>
                </c:pt>
                <c:pt idx="43">
                  <c:v>1.9411255871280351</c:v>
                </c:pt>
                <c:pt idx="44">
                  <c:v>2.0180433830395921</c:v>
                </c:pt>
                <c:pt idx="45">
                  <c:v>2.0929000031261507</c:v>
                </c:pt>
                <c:pt idx="46">
                  <c:v>2.1652476473600255</c:v>
                </c:pt>
                <c:pt idx="47">
                  <c:v>2.2346411329662659</c:v>
                </c:pt>
                <c:pt idx="48">
                  <c:v>2.3006423930375988</c:v>
                </c:pt>
                <c:pt idx="49">
                  <c:v>2.3628250368460977</c:v>
                </c:pt>
                <c:pt idx="50">
                  <c:v>2.4207789062300828</c:v>
                </c:pt>
                <c:pt idx="51">
                  <c:v>2.474114560484912</c:v>
                </c:pt>
                <c:pt idx="52">
                  <c:v>2.5224676215117228</c:v>
                </c:pt>
                <c:pt idx="53">
                  <c:v>2.5655029116297876</c:v>
                </c:pt>
                <c:pt idx="54">
                  <c:v>2.6029183184554898</c:v>
                </c:pt>
                <c:pt idx="55">
                  <c:v>2.6344483245815509</c:v>
                </c:pt>
                <c:pt idx="56">
                  <c:v>2.6598671444075239</c:v>
                </c:pt>
                <c:pt idx="57">
                  <c:v>2.6789914162989992</c:v>
                </c:pt>
                <c:pt idx="58">
                  <c:v>2.6916824051786845</c:v>
                </c:pt>
                <c:pt idx="59">
                  <c:v>2.697847678540092</c:v>
                </c:pt>
                <c:pt idx="60">
                  <c:v>2.6974422275608849</c:v>
                </c:pt>
                <c:pt idx="61">
                  <c:v>2.690469014294202</c:v>
                </c:pt>
                <c:pt idx="62">
                  <c:v>2.6769789356320874</c:v>
                </c:pt>
                <c:pt idx="63">
                  <c:v>2.6570702046543309</c:v>
                </c:pt>
                <c:pt idx="64">
                  <c:v>2.6308871598817585</c:v>
                </c:pt>
                <c:pt idx="65">
                  <c:v>2.5986185226289717</c:v>
                </c:pt>
                <c:pt idx="66">
                  <c:v>2.5604951318875315</c:v>
                </c:pt>
                <c:pt idx="67">
                  <c:v>2.516787194767991</c:v>
                </c:pt>
                <c:pt idx="68">
                  <c:v>2.4678010983064413</c:v>
                </c:pt>
                <c:pt idx="69">
                  <c:v>2.4138758352384513</c:v>
                </c:pt>
                <c:pt idx="70">
                  <c:v>2.3553791020257546</c:v>
                </c:pt>
                <c:pt idx="71">
                  <c:v>2.2927031318836071</c:v>
                </c:pt>
                <c:pt idx="72">
                  <c:v>2.2262603287245266</c:v>
                </c:pt>
                <c:pt idx="73">
                  <c:v>2.1564787697658674</c:v>
                </c:pt>
                <c:pt idx="74">
                  <c:v>2.0837976450348243</c:v>
                </c:pt>
                <c:pt idx="75">
                  <c:v>2.0086627011694613</c:v>
                </c:pt>
                <c:pt idx="76">
                  <c:v>1.9315217548121053</c:v>
                </c:pt>
                <c:pt idx="77">
                  <c:v>1.852820337605976</c:v>
                </c:pt>
                <c:pt idx="78">
                  <c:v>1.7729975304457735</c:v>
                </c:pt>
                <c:pt idx="79">
                  <c:v>1.6924820393297437</c:v>
                </c:pt>
                <c:pt idx="80">
                  <c:v>1.611688559062654</c:v>
                </c:pt>
                <c:pt idx="81">
                  <c:v>1.5310144643286563</c:v>
                </c:pt>
                <c:pt idx="82">
                  <c:v>1.4508368604606507</c:v>
                </c:pt>
                <c:pt idx="83">
                  <c:v>1.3715100187521914</c:v>
                </c:pt>
                <c:pt idx="84">
                  <c:v>1.293363213562869</c:v>
                </c:pt>
                <c:pt idx="85">
                  <c:v>1.2166989709254419</c:v>
                </c:pt>
                <c:pt idx="86">
                  <c:v>1.1417917310312857</c:v>
                </c:pt>
                <c:pt idx="87">
                  <c:v>1.0688869199939162</c:v>
                </c:pt>
                <c:pt idx="88">
                  <c:v>0.99820041979775009</c:v>
                </c:pt>
                <c:pt idx="89">
                  <c:v>0.92991841943970532</c:v>
                </c:pt>
                <c:pt idx="90">
                  <c:v>0.86419762505463193</c:v>
                </c:pt>
                <c:pt idx="91">
                  <c:v>0.80116580234909518</c:v>
                </c:pt>
                <c:pt idx="92">
                  <c:v>0.74092262099795625</c:v>
                </c:pt>
                <c:pt idx="93">
                  <c:v>0.6835407678078792</c:v>
                </c:pt>
                <c:pt idx="94">
                  <c:v>0.62906729342534784</c:v>
                </c:pt>
                <c:pt idx="95">
                  <c:v>0.57752515614685884</c:v>
                </c:pt>
                <c:pt idx="96">
                  <c:v>0.52891492594232925</c:v>
                </c:pt>
                <c:pt idx="97">
                  <c:v>0.4832166120794214</c:v>
                </c:pt>
                <c:pt idx="98">
                  <c:v>0.44039157867430923</c:v>
                </c:pt>
                <c:pt idx="99">
                  <c:v>0.40038451402000802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69-4A47-A57B-1E17819F6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92792"/>
        <c:axId val="633895992"/>
      </c:scatterChart>
      <c:valAx>
        <c:axId val="63389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3895992"/>
        <c:crosses val="autoZero"/>
        <c:crossBetween val="midCat"/>
      </c:valAx>
      <c:valAx>
        <c:axId val="63389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389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 do Período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do Período</a:t>
          </a:r>
        </a:p>
      </cx:txPr>
    </cx:title>
    <cx:plotArea>
      <cx:plotAreaRegion>
        <cx:series layoutId="clusteredColumn" uniqueId="{00000000-0A59-42C1-92D9-01A81BADB507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spPr>
          <a:ln>
            <a:noFill/>
          </a:ln>
        </cx:sp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13</xdr:row>
      <xdr:rowOff>162927</xdr:rowOff>
    </xdr:from>
    <xdr:to>
      <xdr:col>12</xdr:col>
      <xdr:colOff>413584</xdr:colOff>
      <xdr:row>38</xdr:row>
      <xdr:rowOff>150395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8BD2203D-3EDE-45C7-BB94-CA8B06DFC9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7850" y="2639427"/>
              <a:ext cx="6642934" cy="47499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5</xdr:col>
      <xdr:colOff>13786</xdr:colOff>
      <xdr:row>42</xdr:row>
      <xdr:rowOff>44617</xdr:rowOff>
    </xdr:from>
    <xdr:to>
      <xdr:col>11</xdr:col>
      <xdr:colOff>449930</xdr:colOff>
      <xdr:row>56</xdr:row>
      <xdr:rowOff>155909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8EF19A-0C55-49DD-B692-A562432F2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64</xdr:row>
      <xdr:rowOff>0</xdr:rowOff>
    </xdr:from>
    <xdr:to>
      <xdr:col>6</xdr:col>
      <xdr:colOff>523875</xdr:colOff>
      <xdr:row>65</xdr:row>
      <xdr:rowOff>142875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78C5372-DEB3-4EB0-AEC5-72675D7C7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219200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151026-AB22-4678-AED1-247DF4933481}" name="Tabela1" displayName="Tabela1" ref="B4:B104" totalsRowShown="0" dataDxfId="10">
  <autoFilter ref="B4:B104" xr:uid="{4282A6BC-99E0-4281-A585-FB2332940CD2}"/>
  <tableColumns count="1">
    <tableColumn id="2" xr3:uid="{81E52B8F-C888-4107-BBD0-004F3B1CF565}" name="Periodo(s)" dataDxfId="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95C3023-E204-4314-966E-FE3377578A33}" name="Tabela413" displayName="Tabela413" ref="H27:H37" totalsRowShown="0">
  <autoFilter ref="H27:H37" xr:uid="{F47F62F6-C395-4B78-A37C-CFED73E0B440}"/>
  <tableColumns count="1">
    <tableColumn id="1" xr3:uid="{DB4B4CEA-3420-482F-8656-A18EFB7D3F10}" name="Conjunto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E9CC19-96AB-422C-8AE1-0FD90C3CE71B}" name="Tabela414" displayName="Tabela414" ref="E39:E49" totalsRowShown="0">
  <autoFilter ref="E39:E49" xr:uid="{887B4EE5-4305-4F1A-B1C2-EA3A94399061}"/>
  <tableColumns count="1">
    <tableColumn id="1" xr3:uid="{2C274C0D-AADE-41BC-A03A-C01468074421}" name="Conjunto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1C0DE0-353F-4710-8518-D0AFC02BA493}" name="Tabela415" displayName="Tabela415" ref="H39:H49" totalsRowShown="0">
  <autoFilter ref="H39:H49" xr:uid="{CF3625E8-C0EC-404D-9C52-023E159B4860}"/>
  <tableColumns count="1">
    <tableColumn id="1" xr3:uid="{4EAC5AF8-6DA4-457E-B4C6-2996D5D3545E}" name="Conjunto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959E23A-95CA-43F5-820D-D78D14763E7D}" name="Tabela416" displayName="Tabela416" ref="E51:E61" totalsRowShown="0">
  <autoFilter ref="E51:E61" xr:uid="{ABC3E8CE-31F9-4AE5-94E3-C201087BE1BA}"/>
  <tableColumns count="1">
    <tableColumn id="1" xr3:uid="{998C31F9-2CD0-48F9-9008-6950A96D18DC}" name="Conjunto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12E9A28-1DD0-494B-9D87-CEC0F3F24178}" name="Tabela417" displayName="Tabela417" ref="H51:H61" totalsRowShown="0">
  <autoFilter ref="H51:H61" xr:uid="{AB92646C-E8BB-4071-90E3-04FF6D90BED5}"/>
  <tableColumns count="1">
    <tableColumn id="1" xr3:uid="{4F30E9E4-459D-40D6-9C73-1F768D9E1671}" name="Conjunto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794749-E824-4174-9BD6-4D4B4EABF0D7}" name="Tabela1B1" displayName="Tabela1B1" ref="B3:B14" totalsRowShown="0" dataDxfId="4">
  <autoFilter ref="B3:B14" xr:uid="{E588F109-BA93-4ECC-9692-01E4CE03B0A8}"/>
  <tableColumns count="1">
    <tableColumn id="1" xr3:uid="{64E7951A-9C07-4E27-83A0-4781E0430CB1}" name="Periodo" dataDxfId="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B0509B-38E4-4F05-838C-5553ACD9CED1}" name="Tabela1B13" displayName="Tabela1B13" ref="D3:D14" totalsRowShown="0" dataDxfId="2">
  <autoFilter ref="D3:D14" xr:uid="{3DFEFE19-7ED5-479E-B36E-67A1E74AED25}"/>
  <tableColumns count="1">
    <tableColumn id="1" xr3:uid="{3C3A46BD-AE7A-407B-8E38-2DB6F19E1D6C}" name="Periodo" dataDxfId="1">
      <calculatedColumnFormula>Tabela1B1[[#This Row],[Periodo]]/10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5BCD9E-78FD-43E8-9768-D8080FADD63B}" name="Tabela9" displayName="Tabela9" ref="D4:L5" totalsRowShown="0">
  <autoFilter ref="D4:L5" xr:uid="{EF6BA221-A4E0-44D7-A1DF-8EE3104708D3}"/>
  <tableColumns count="9">
    <tableColumn id="1" xr3:uid="{8B512629-3D62-4449-9E92-1FB6306134E9}" name="Mínimo">
      <calculatedColumnFormula>MIN(Tabela1[Periodo(s)])</calculatedColumnFormula>
    </tableColumn>
    <tableColumn id="2" xr3:uid="{E98ABE64-3D80-4164-BB01-7BC87E2559FF}" name="Máximo">
      <calculatedColumnFormula>MAX(Tabela1[Periodo(s)])</calculatedColumnFormula>
    </tableColumn>
    <tableColumn id="3" xr3:uid="{4551E6F6-1C85-412D-8B33-84D766392B54}" name="Média" dataDxfId="0">
      <calculatedColumnFormula>AVERAGE(Tabela1[Periodo(s)])</calculatedColumnFormula>
    </tableColumn>
    <tableColumn id="4" xr3:uid="{CB3336B6-7839-4D9A-BBC2-DFEB1DD0117C}" name="Tamanho">
      <calculatedColumnFormula>COUNT(Tabela1[Periodo(s)])</calculatedColumnFormula>
    </tableColumn>
    <tableColumn id="5" xr3:uid="{D15CB473-131D-49C0-A31D-D9CA1D39F3E1}" name="Est.Classes">
      <calculatedColumnFormula>SQRT(Tabela9[[#This Row],[Tamanho]])</calculatedColumnFormula>
    </tableColumn>
    <tableColumn id="6" xr3:uid="{12F374BD-8176-4247-AAE2-0A157FA21E29}" name="Classes"/>
    <tableColumn id="7" xr3:uid="{351EE2BF-78FD-4D8E-889D-9A92E0758126}" name="Incremento">
      <calculatedColumnFormula>(Tabela9[[#This Row],[Máximo]]-Tabela9[[#This Row],[Mínimo]])/Tabela9[[#This Row],[Classes]]</calculatedColumnFormula>
    </tableColumn>
    <tableColumn id="8" xr3:uid="{B123961D-0923-4678-952D-26749BEAC7DB}" name="Desvio Padrão">
      <calculatedColumnFormula>_xlfn.STDEV.P(Tabela1[Periodo(s)])</calculatedColumnFormula>
    </tableColumn>
    <tableColumn id="9" xr3:uid="{3F16ADF2-FF1C-44B9-BE3D-C90B858A110D}" name="Incremento 2">
      <calculatedColumnFormula>(Tabela9[[#This Row],[Máximo]]-Tabela9[[#This Row],[Mínimo]])/100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14A9683-831E-4C1D-807F-7782C4986577}" name="Tabela10" displayName="Tabela10" ref="N4:P14" totalsRowShown="0">
  <autoFilter ref="N4:P14" xr:uid="{DA6C2337-443F-405E-9758-A994CC312E39}"/>
  <tableColumns count="3">
    <tableColumn id="1" xr3:uid="{1F6DDF5A-8281-457E-B5B0-CB9C35E8517C}" name="Classe"/>
    <tableColumn id="2" xr3:uid="{468C1141-95A4-4D4C-9127-EA71BC2F6FEC}" name="Corte" dataDxfId="8">
      <calculatedColumnFormula>Tabela9[Mínimo]+Tabela10[[#This Row],[Classe]]* Tabela9[Incremento]</calculatedColumnFormula>
    </tableColumn>
    <tableColumn id="3" xr3:uid="{115FB76F-D4AB-4081-841F-125DC9024910}" name="Frequência" dataDxfId="7">
      <calculatedColumnFormula>FREQUENCY($B$5:$B$104,O5)-FREQUENCY($B$5:$B$104,O4)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F409E8-B5B7-4981-B913-F6F5978D4F2A}" name="Tabela11" displayName="Tabela11" ref="O18:R118" totalsRowShown="0">
  <autoFilter ref="O18:R118" xr:uid="{C4EDD0FF-B03C-4D46-9043-12FC7B95B88F}"/>
  <tableColumns count="4">
    <tableColumn id="1" xr3:uid="{335E703A-A366-4698-A6BA-5225080141FC}" name="Pontos"/>
    <tableColumn id="2" xr3:uid="{74C13463-A579-421E-A30D-A9EF420DDF44}" name="Valor" dataDxfId="6">
      <calculatedColumnFormula>Tabela9[Mínimo]+Tabela11[[#This Row],[Pontos]]*Tabela9[Incremento 2]</calculatedColumnFormula>
    </tableColumn>
    <tableColumn id="3" xr3:uid="{316E9F17-68AD-41E6-8888-450FBB44D800}" name="FDM" dataDxfId="5">
      <calculatedColumnFormula>_xlfn.NORM.DIST(Tabela11[[#This Row],[Valor]],Tabela9[Média],Tabela9[Desvio Padrão],FALSE)</calculatedColumnFormula>
    </tableColumn>
    <tableColumn id="4" xr3:uid="{D9F7E743-BA0A-4D4A-8B54-969F9FEE5978}" name="Coluna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06011F-2210-475A-8C6E-E6509469D915}" name="Tabela4" displayName="Tabela4" ref="E3:E13" totalsRowShown="0">
  <autoFilter ref="E3:E13" xr:uid="{59590034-942A-494F-9518-D1DF1A635B4A}"/>
  <tableColumns count="1">
    <tableColumn id="1" xr3:uid="{61C77B04-E969-4F8F-8856-B29EA13B4307}" name="Conjunto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601E8C-2818-42E4-82BF-07DFAEE4CBEB}" name="Tabela46" displayName="Tabela46" ref="H3:H13" totalsRowShown="0">
  <autoFilter ref="H3:H13" xr:uid="{8E1E05EC-1DBB-4BF3-81AB-D2C8050C827E}"/>
  <tableColumns count="1">
    <tableColumn id="1" xr3:uid="{45E87B81-59A0-400A-9E13-484C201EF6DC}" name="Conjunto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79F364-176F-4BE6-B5DD-D75F9F4E4BF9}" name="Tabela47" displayName="Tabela47" ref="E15:E25" totalsRowShown="0">
  <autoFilter ref="E15:E25" xr:uid="{5AC0385E-00AF-4F6F-866D-9BB9E195645C}"/>
  <tableColumns count="1">
    <tableColumn id="1" xr3:uid="{70D0C99F-8623-4464-9DE8-C2A85B26DE7D}" name="Conjunto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F8CC5A9-69F3-41E1-8E1D-96E042DE0423}" name="Tabela48" displayName="Tabela48" ref="H15:H25" totalsRowShown="0">
  <autoFilter ref="H15:H25" xr:uid="{62B3CE27-E50A-4719-AA26-46C5C2405A64}"/>
  <tableColumns count="1">
    <tableColumn id="1" xr3:uid="{4BBD692D-EAC4-4C7F-994B-CC323EB53905}" name="Conjunto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46CB0C6-02AA-41E5-A097-E0B131EDEED9}" name="Tabela49" displayName="Tabela49" ref="E27:E37" totalsRowShown="0">
  <autoFilter ref="E27:E37" xr:uid="{A71A8DF0-E9A2-43FF-BAAA-212C11843361}"/>
  <tableColumns count="1">
    <tableColumn id="1" xr3:uid="{B5BAC849-BC7F-4E77-89F6-DF42BB95346A}" name="Conjunto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8"/>
  <sheetViews>
    <sheetView topLeftCell="A2" zoomScale="89" workbookViewId="0">
      <selection activeCell="K5" sqref="K5"/>
    </sheetView>
  </sheetViews>
  <sheetFormatPr defaultRowHeight="15" x14ac:dyDescent="0.25"/>
  <cols>
    <col min="2" max="2" width="10.28515625" customWidth="1"/>
    <col min="4" max="14" width="10.28515625" customWidth="1"/>
  </cols>
  <sheetData>
    <row r="1" spans="1:16" x14ac:dyDescent="0.25">
      <c r="A1" t="s">
        <v>1</v>
      </c>
    </row>
    <row r="4" spans="1:16" x14ac:dyDescent="0.25">
      <c r="B4" t="s">
        <v>11</v>
      </c>
      <c r="D4" t="s">
        <v>13</v>
      </c>
      <c r="E4" t="s">
        <v>14</v>
      </c>
      <c r="F4" t="s">
        <v>9</v>
      </c>
      <c r="G4" t="s">
        <v>15</v>
      </c>
      <c r="H4" t="s">
        <v>16</v>
      </c>
      <c r="I4" t="s">
        <v>17</v>
      </c>
      <c r="J4" t="s">
        <v>18</v>
      </c>
      <c r="K4" t="s">
        <v>10</v>
      </c>
      <c r="L4" t="s">
        <v>25</v>
      </c>
      <c r="N4" t="s">
        <v>19</v>
      </c>
      <c r="O4" t="s">
        <v>20</v>
      </c>
      <c r="P4" t="s">
        <v>21</v>
      </c>
    </row>
    <row r="5" spans="1:16" x14ac:dyDescent="0.25">
      <c r="B5" s="1">
        <v>1.78</v>
      </c>
      <c r="D5">
        <f>MIN(Tabela1[Periodo(s)])</f>
        <v>1.64</v>
      </c>
      <c r="E5">
        <f>MAX(Tabela1[Periodo(s)])</f>
        <v>2.37</v>
      </c>
      <c r="F5" s="8">
        <f>AVERAGE(Tabela1[Periodo(s)])</f>
        <v>2.0811999999999999</v>
      </c>
      <c r="G5">
        <f>COUNT(Tabela1[Periodo(s)])</f>
        <v>100</v>
      </c>
      <c r="H5">
        <f>SQRT(Tabela9[[#This Row],[Tamanho]])</f>
        <v>10</v>
      </c>
      <c r="I5">
        <v>10</v>
      </c>
      <c r="J5">
        <f>(Tabela9[[#This Row],[Máximo]]-Tabela9[[#This Row],[Mínimo]])/Tabela9[[#This Row],[Classes]]</f>
        <v>7.3000000000000023E-2</v>
      </c>
      <c r="K5">
        <f>_xlfn.STDEV.P(Tabela1[Periodo(s)])</f>
        <v>0.1478396428567115</v>
      </c>
      <c r="L5">
        <f>(Tabela9[[#This Row],[Máximo]]-Tabela9[[#This Row],[Mínimo]])/100</f>
        <v>7.3000000000000018E-3</v>
      </c>
      <c r="N5">
        <v>1</v>
      </c>
      <c r="O5">
        <f>Tabela9[Mínimo]+Tabela10[[#This Row],[Classe]]* Tabela9[Incremento]</f>
        <v>1.7129999999999999</v>
      </c>
      <c r="P5" s="1">
        <f t="shared" ref="P5:P14" si="0">FREQUENCY($B$5:$B$104,O5)-FREQUENCY($B$5:$B$104,O4)</f>
        <v>2</v>
      </c>
    </row>
    <row r="6" spans="1:16" x14ac:dyDescent="0.25">
      <c r="B6" s="1">
        <v>2.27</v>
      </c>
      <c r="N6">
        <v>2</v>
      </c>
      <c r="O6">
        <f>Tabela9[Mínimo]+Tabela10[[#This Row],[Classe]]* Tabela9[Incremento]</f>
        <v>1.786</v>
      </c>
      <c r="P6" s="1">
        <f t="shared" si="0"/>
        <v>3</v>
      </c>
    </row>
    <row r="7" spans="1:16" x14ac:dyDescent="0.25">
      <c r="B7" s="1">
        <v>1.96</v>
      </c>
      <c r="N7">
        <v>3</v>
      </c>
      <c r="O7">
        <f>Tabela9[Mínimo]+Tabela10[[#This Row],[Classe]]* Tabela9[Incremento]</f>
        <v>1.859</v>
      </c>
      <c r="P7" s="1">
        <f t="shared" si="0"/>
        <v>2</v>
      </c>
    </row>
    <row r="8" spans="1:16" x14ac:dyDescent="0.25">
      <c r="B8" s="1">
        <v>1.69</v>
      </c>
      <c r="N8">
        <v>4</v>
      </c>
      <c r="O8">
        <f>Tabela9[Mínimo]+Tabela10[[#This Row],[Classe]]* Tabela9[Incremento]</f>
        <v>1.9319999999999999</v>
      </c>
      <c r="P8" s="1">
        <f t="shared" si="0"/>
        <v>6</v>
      </c>
    </row>
    <row r="9" spans="1:16" x14ac:dyDescent="0.25">
      <c r="B9" s="1">
        <v>2.04</v>
      </c>
      <c r="N9">
        <v>5</v>
      </c>
      <c r="O9">
        <f>Tabela9[Mínimo]+Tabela10[[#This Row],[Classe]]* Tabela9[Incremento]</f>
        <v>2.0049999999999999</v>
      </c>
      <c r="P9" s="1">
        <f t="shared" si="0"/>
        <v>14</v>
      </c>
    </row>
    <row r="10" spans="1:16" x14ac:dyDescent="0.25">
      <c r="B10" s="1">
        <v>1.72</v>
      </c>
      <c r="N10">
        <v>6</v>
      </c>
      <c r="O10">
        <f>Tabela9[Mínimo]+Tabela10[[#This Row],[Classe]]* Tabela9[Incremento]</f>
        <v>2.0780000000000003</v>
      </c>
      <c r="P10" s="1">
        <f t="shared" si="0"/>
        <v>17</v>
      </c>
    </row>
    <row r="11" spans="1:16" x14ac:dyDescent="0.25">
      <c r="B11" s="1">
        <v>2.08</v>
      </c>
      <c r="N11">
        <v>7</v>
      </c>
      <c r="O11">
        <f>Tabela9[Mínimo]+Tabela10[[#This Row],[Classe]]* Tabela9[Incremento]</f>
        <v>2.1509999999999998</v>
      </c>
      <c r="P11" s="1">
        <f t="shared" si="0"/>
        <v>23</v>
      </c>
    </row>
    <row r="12" spans="1:16" x14ac:dyDescent="0.25">
      <c r="B12" s="1">
        <v>2.19</v>
      </c>
      <c r="N12">
        <v>8</v>
      </c>
      <c r="O12">
        <f>Tabela9[Mínimo]+Tabela10[[#This Row],[Classe]]* Tabela9[Incremento]</f>
        <v>2.2240000000000002</v>
      </c>
      <c r="P12" s="1">
        <f t="shared" si="0"/>
        <v>18</v>
      </c>
    </row>
    <row r="13" spans="1:16" x14ac:dyDescent="0.25">
      <c r="B13" s="1">
        <v>1.64</v>
      </c>
      <c r="N13">
        <v>9</v>
      </c>
      <c r="O13">
        <f>Tabela9[Mínimo]+Tabela10[[#This Row],[Classe]]* Tabela9[Incremento]</f>
        <v>2.2970000000000002</v>
      </c>
      <c r="P13" s="1">
        <f t="shared" si="0"/>
        <v>8</v>
      </c>
    </row>
    <row r="14" spans="1:16" x14ac:dyDescent="0.25">
      <c r="B14" s="1">
        <v>2.09</v>
      </c>
      <c r="N14">
        <v>10</v>
      </c>
      <c r="O14">
        <f>Tabela9[Mínimo]+Tabela10[[#This Row],[Classe]]* Tabela9[Incremento]</f>
        <v>2.37</v>
      </c>
      <c r="P14" s="1">
        <f t="shared" si="0"/>
        <v>7</v>
      </c>
    </row>
    <row r="15" spans="1:16" x14ac:dyDescent="0.25">
      <c r="B15" s="1">
        <v>2.37</v>
      </c>
    </row>
    <row r="16" spans="1:16" x14ac:dyDescent="0.25">
      <c r="B16" s="1">
        <v>2.06</v>
      </c>
    </row>
    <row r="17" spans="2:18" x14ac:dyDescent="0.25">
      <c r="B17" s="1">
        <v>2.06</v>
      </c>
    </row>
    <row r="18" spans="2:18" x14ac:dyDescent="0.25">
      <c r="B18" s="1">
        <v>2.09</v>
      </c>
      <c r="O18" t="s">
        <v>23</v>
      </c>
      <c r="P18" t="s">
        <v>24</v>
      </c>
      <c r="Q18" t="s">
        <v>26</v>
      </c>
      <c r="R18" t="s">
        <v>12</v>
      </c>
    </row>
    <row r="19" spans="2:18" x14ac:dyDescent="0.25">
      <c r="B19" s="1">
        <v>2.37</v>
      </c>
      <c r="O19">
        <v>1</v>
      </c>
      <c r="P19">
        <f>Tabela9[Mínimo]+Tabela11[[#This Row],[Pontos]]*Tabela9[Incremento 2]</f>
        <v>1.6473</v>
      </c>
      <c r="Q19">
        <f>_xlfn.NORM.DIST(Tabela11[[#This Row],[Valor]],Tabela9[Média],Tabela9[Desvio Padrão],FALSE)</f>
        <v>3.6361735084429594E-2</v>
      </c>
    </row>
    <row r="20" spans="2:18" x14ac:dyDescent="0.25">
      <c r="B20" s="1">
        <v>2.13</v>
      </c>
      <c r="O20">
        <v>2</v>
      </c>
      <c r="P20">
        <f>Tabela9[Mínimo]+Tabela11[[#This Row],[Pontos]]*Tabela9[Incremento 2]</f>
        <v>1.6545999999999998</v>
      </c>
      <c r="Q20">
        <f>_xlfn.NORM.DIST(Tabela11[[#This Row],[Valor]],Tabela9[Média],Tabela9[Desvio Padrão],FALSE)</f>
        <v>4.1981065517748585E-2</v>
      </c>
    </row>
    <row r="21" spans="2:18" x14ac:dyDescent="0.25">
      <c r="B21" s="1">
        <v>2</v>
      </c>
      <c r="O21">
        <v>3</v>
      </c>
      <c r="P21">
        <f>Tabela9[Mínimo]+Tabela11[[#This Row],[Pontos]]*Tabela9[Incremento 2]</f>
        <v>1.6618999999999999</v>
      </c>
      <c r="Q21">
        <f>_xlfn.NORM.DIST(Tabela11[[#This Row],[Valor]],Tabela9[Média],Tabela9[Desvio Padrão],FALSE)</f>
        <v>4.8350774186265467E-2</v>
      </c>
    </row>
    <row r="22" spans="2:18" x14ac:dyDescent="0.25">
      <c r="B22" s="1">
        <v>2.21</v>
      </c>
      <c r="O22">
        <v>4</v>
      </c>
      <c r="P22">
        <f>Tabela9[Mínimo]+Tabela11[[#This Row],[Pontos]]*Tabela9[Incremento 2]</f>
        <v>1.6692</v>
      </c>
      <c r="Q22">
        <f>_xlfn.NORM.DIST(Tabela11[[#This Row],[Valor]],Tabela9[Média],Tabela9[Desvio Padrão],FALSE)</f>
        <v>5.5551338020490185E-2</v>
      </c>
    </row>
    <row r="23" spans="2:18" x14ac:dyDescent="0.25">
      <c r="B23" s="1">
        <v>2.11</v>
      </c>
      <c r="O23">
        <v>5</v>
      </c>
      <c r="P23">
        <f>Tabela9[Mínimo]+Tabela11[[#This Row],[Pontos]]*Tabela9[Incremento 2]</f>
        <v>1.6764999999999999</v>
      </c>
      <c r="Q23">
        <f>_xlfn.NORM.DIST(Tabela11[[#This Row],[Valor]],Tabela9[Média],Tabela9[Desvio Padrão],FALSE)</f>
        <v>6.3668809867772624E-2</v>
      </c>
    </row>
    <row r="24" spans="2:18" x14ac:dyDescent="0.25">
      <c r="B24" s="1">
        <v>1.93</v>
      </c>
      <c r="O24">
        <v>6</v>
      </c>
      <c r="P24">
        <f>Tabela9[Mínimo]+Tabela11[[#This Row],[Pontos]]*Tabela9[Incremento 2]</f>
        <v>1.6838</v>
      </c>
      <c r="Q24">
        <f>_xlfn.NORM.DIST(Tabela11[[#This Row],[Valor]],Tabela9[Média],Tabela9[Desvio Padrão],FALSE)</f>
        <v>7.2794749558092994E-2</v>
      </c>
      <c r="R24" t="s">
        <v>22</v>
      </c>
    </row>
    <row r="25" spans="2:18" x14ac:dyDescent="0.25">
      <c r="B25" s="1">
        <v>2.0499999999999998</v>
      </c>
      <c r="O25">
        <v>7</v>
      </c>
      <c r="P25">
        <f>Tabela9[Mínimo]+Tabela11[[#This Row],[Pontos]]*Tabela9[Incremento 2]</f>
        <v>1.6910999999999998</v>
      </c>
      <c r="Q25">
        <f>_xlfn.NORM.DIST(Tabela11[[#This Row],[Valor]],Tabela9[Média],Tabela9[Desvio Padrão],FALSE)</f>
        <v>8.3026073003902953E-2</v>
      </c>
    </row>
    <row r="26" spans="2:18" x14ac:dyDescent="0.25">
      <c r="B26" s="1">
        <v>2.16</v>
      </c>
      <c r="O26">
        <v>8</v>
      </c>
      <c r="P26">
        <f>Tabela9[Mínimo]+Tabela11[[#This Row],[Pontos]]*Tabela9[Incremento 2]</f>
        <v>1.6983999999999999</v>
      </c>
      <c r="Q26">
        <f>_xlfn.NORM.DIST(Tabela11[[#This Row],[Valor]],Tabela9[Média],Tabela9[Desvio Padrão],FALSE)</f>
        <v>9.4464809731015717E-2</v>
      </c>
    </row>
    <row r="27" spans="2:18" x14ac:dyDescent="0.25">
      <c r="B27" s="1">
        <v>2.11</v>
      </c>
      <c r="O27">
        <v>9</v>
      </c>
      <c r="P27">
        <f>Tabela9[Mínimo]+Tabela11[[#This Row],[Pontos]]*Tabela9[Incremento 2]</f>
        <v>1.7057</v>
      </c>
      <c r="Q27">
        <f>_xlfn.NORM.DIST(Tabela11[[#This Row],[Valor]],Tabela9[Média],Tabela9[Desvio Padrão],FALSE)</f>
        <v>0.10721775951792729</v>
      </c>
    </row>
    <row r="28" spans="2:18" x14ac:dyDescent="0.25">
      <c r="B28" s="1">
        <v>2.12</v>
      </c>
      <c r="O28">
        <v>10</v>
      </c>
      <c r="P28">
        <f>Tabela9[Mínimo]+Tabela11[[#This Row],[Pontos]]*Tabela9[Incremento 2]</f>
        <v>1.7129999999999999</v>
      </c>
      <c r="Q28">
        <f>_xlfn.NORM.DIST(Tabela11[[#This Row],[Valor]],Tabela9[Média],Tabela9[Desvio Padrão],FALSE)</f>
        <v>0.12139603933537325</v>
      </c>
    </row>
    <row r="29" spans="2:18" x14ac:dyDescent="0.25">
      <c r="B29" s="1">
        <v>2.0099999999999998</v>
      </c>
      <c r="O29">
        <v>11</v>
      </c>
      <c r="P29">
        <f>Tabela9[Mínimo]+Tabela11[[#This Row],[Pontos]]*Tabela9[Incremento 2]</f>
        <v>1.7202999999999999</v>
      </c>
      <c r="Q29">
        <f>_xlfn.NORM.DIST(Tabela11[[#This Row],[Valor]],Tabela9[Média],Tabela9[Desvio Padrão],FALSE)</f>
        <v>0.13711451254745907</v>
      </c>
    </row>
    <row r="30" spans="2:18" x14ac:dyDescent="0.25">
      <c r="B30" s="1">
        <v>1.91</v>
      </c>
      <c r="O30">
        <v>12</v>
      </c>
      <c r="P30">
        <f>Tabela9[Mínimo]+Tabela11[[#This Row],[Pontos]]*Tabela9[Incremento 2]</f>
        <v>1.7276</v>
      </c>
      <c r="Q30">
        <f>_xlfn.NORM.DIST(Tabela11[[#This Row],[Valor]],Tabela9[Média],Tabela9[Desvio Padrão],FALSE)</f>
        <v>0.1544910933778606</v>
      </c>
    </row>
    <row r="31" spans="2:18" x14ac:dyDescent="0.25">
      <c r="B31" s="1">
        <v>2.0699999999999998</v>
      </c>
      <c r="O31">
        <v>13</v>
      </c>
      <c r="P31">
        <f>Tabela9[Mínimo]+Tabela11[[#This Row],[Pontos]]*Tabela9[Incremento 2]</f>
        <v>1.7348999999999999</v>
      </c>
      <c r="Q31">
        <f>_xlfn.NORM.DIST(Tabela11[[#This Row],[Valor]],Tabela9[Média],Tabela9[Desvio Padrão],FALSE)</f>
        <v>0.17364592097217671</v>
      </c>
    </row>
    <row r="32" spans="2:18" x14ac:dyDescent="0.25">
      <c r="B32" s="1">
        <v>2.16</v>
      </c>
      <c r="O32">
        <v>14</v>
      </c>
      <c r="P32">
        <f>Tabela9[Mínimo]+Tabela11[[#This Row],[Pontos]]*Tabela9[Incremento 2]</f>
        <v>1.7422</v>
      </c>
      <c r="Q32">
        <f>_xlfn.NORM.DIST(Tabela11[[#This Row],[Valor]],Tabela9[Média],Tabela9[Desvio Padrão],FALSE)</f>
        <v>0.1947003990076519</v>
      </c>
    </row>
    <row r="33" spans="2:17" x14ac:dyDescent="0.25">
      <c r="B33" s="1">
        <v>2.08</v>
      </c>
      <c r="O33">
        <v>15</v>
      </c>
      <c r="P33">
        <f>Tabela9[Mínimo]+Tabela11[[#This Row],[Pontos]]*Tabela9[Incremento 2]</f>
        <v>1.7494999999999998</v>
      </c>
      <c r="Q33">
        <f>_xlfn.NORM.DIST(Tabela11[[#This Row],[Valor]],Tabela9[Média],Tabela9[Desvio Padrão],FALSE)</f>
        <v>0.21777609871473586</v>
      </c>
    </row>
    <row r="34" spans="2:17" x14ac:dyDescent="0.25">
      <c r="B34" s="1">
        <v>2.12</v>
      </c>
      <c r="O34">
        <v>16</v>
      </c>
      <c r="P34">
        <f>Tabela9[Mínimo]+Tabela11[[#This Row],[Pontos]]*Tabela9[Incremento 2]</f>
        <v>1.7567999999999999</v>
      </c>
      <c r="Q34">
        <f>_xlfn.NORM.DIST(Tabela11[[#This Row],[Valor]],Tabela9[Média],Tabela9[Desvio Padrão],FALSE)</f>
        <v>0.24299352537434005</v>
      </c>
    </row>
    <row r="35" spans="2:17" x14ac:dyDescent="0.25">
      <c r="B35" s="1">
        <v>2.02</v>
      </c>
      <c r="O35">
        <v>17</v>
      </c>
      <c r="P35">
        <f>Tabela9[Mínimo]+Tabela11[[#This Row],[Pontos]]*Tabela9[Incremento 2]</f>
        <v>1.7641</v>
      </c>
      <c r="Q35">
        <f>_xlfn.NORM.DIST(Tabela11[[#This Row],[Valor]],Tabela9[Média],Tabela9[Desvio Padrão],FALSE)</f>
        <v>0.27047075082491617</v>
      </c>
    </row>
    <row r="36" spans="2:17" x14ac:dyDescent="0.25">
      <c r="B36" s="1">
        <v>1.99</v>
      </c>
      <c r="O36">
        <v>18</v>
      </c>
      <c r="P36">
        <f>Tabela9[Mínimo]+Tabela11[[#This Row],[Pontos]]*Tabela9[Incremento 2]</f>
        <v>1.7713999999999999</v>
      </c>
      <c r="Q36">
        <f>_xlfn.NORM.DIST(Tabela11[[#This Row],[Valor]],Tabela9[Média],Tabela9[Desvio Padrão],FALSE)</f>
        <v>0.30032191723062396</v>
      </c>
    </row>
    <row r="37" spans="2:17" x14ac:dyDescent="0.25">
      <c r="B37" s="1">
        <v>2.13</v>
      </c>
      <c r="O37">
        <v>19</v>
      </c>
      <c r="P37">
        <f>Tabela9[Mínimo]+Tabela11[[#This Row],[Pontos]]*Tabela9[Incremento 2]</f>
        <v>1.7786999999999999</v>
      </c>
      <c r="Q37">
        <f>_xlfn.NORM.DIST(Tabela11[[#This Row],[Valor]],Tabela9[Média],Tabela9[Desvio Padrão],FALSE)</f>
        <v>0.33265562029241691</v>
      </c>
    </row>
    <row r="38" spans="2:17" x14ac:dyDescent="0.25">
      <c r="B38" s="1">
        <v>2.16</v>
      </c>
      <c r="O38">
        <v>20</v>
      </c>
      <c r="P38">
        <f>Tabela9[Mínimo]+Tabela11[[#This Row],[Pontos]]*Tabela9[Incremento 2]</f>
        <v>1.786</v>
      </c>
      <c r="Q38">
        <f>_xlfn.NORM.DIST(Tabela11[[#This Row],[Valor]],Tabela9[Média],Tabela9[Desvio Padrão],FALSE)</f>
        <v>0.36757318318517596</v>
      </c>
    </row>
    <row r="39" spans="2:17" x14ac:dyDescent="0.25">
      <c r="B39" s="1">
        <v>2.34</v>
      </c>
      <c r="O39">
        <v>21</v>
      </c>
      <c r="P39">
        <f>Tabela9[Mínimo]+Tabela11[[#This Row],[Pontos]]*Tabela9[Incremento 2]</f>
        <v>1.7932999999999999</v>
      </c>
      <c r="Q39">
        <f>_xlfn.NORM.DIST(Tabela11[[#This Row],[Valor]],Tabela9[Média],Tabela9[Desvio Padrão],FALSE)</f>
        <v>0.40516683572391765</v>
      </c>
    </row>
    <row r="40" spans="2:17" x14ac:dyDescent="0.25">
      <c r="B40" s="1">
        <v>2.1800000000000002</v>
      </c>
      <c r="O40">
        <v>22</v>
      </c>
      <c r="P40">
        <f>Tabela9[Mínimo]+Tabela11[[#This Row],[Pontos]]*Tabela9[Incremento 2]</f>
        <v>1.8006</v>
      </c>
      <c r="Q40">
        <f>_xlfn.NORM.DIST(Tabela11[[#This Row],[Valor]],Tabela9[Média],Tabela9[Desvio Padrão],FALSE)</f>
        <v>0.44551781653959682</v>
      </c>
    </row>
    <row r="41" spans="2:17" x14ac:dyDescent="0.25">
      <c r="B41" s="1">
        <v>2.19</v>
      </c>
      <c r="O41">
        <v>23</v>
      </c>
      <c r="P41">
        <f>Tabela9[Mínimo]+Tabela11[[#This Row],[Pontos]]*Tabela9[Incremento 2]</f>
        <v>1.8079000000000001</v>
      </c>
      <c r="Q41">
        <f>_xlfn.NORM.DIST(Tabela11[[#This Row],[Valor]],Tabela9[Média],Tabela9[Desvio Padrão],FALSE)</f>
        <v>0.48869441931085777</v>
      </c>
    </row>
    <row r="42" spans="2:17" x14ac:dyDescent="0.25">
      <c r="B42" s="1">
        <v>2.02</v>
      </c>
      <c r="O42">
        <v>24</v>
      </c>
      <c r="P42">
        <f>Tabela9[Mínimo]+Tabela11[[#This Row],[Pontos]]*Tabela9[Incremento 2]</f>
        <v>1.8151999999999999</v>
      </c>
      <c r="Q42">
        <f>_xlfn.NORM.DIST(Tabela11[[#This Row],[Valor]],Tabela9[Média],Tabela9[Desvio Padrão],FALSE)</f>
        <v>0.53475000727605859</v>
      </c>
    </row>
    <row r="43" spans="2:17" x14ac:dyDescent="0.25">
      <c r="B43" s="1">
        <v>2.08</v>
      </c>
      <c r="O43">
        <v>25</v>
      </c>
      <c r="P43">
        <f>Tabela9[Mínimo]+Tabela11[[#This Row],[Pontos]]*Tabela9[Incremento 2]</f>
        <v>1.8225</v>
      </c>
      <c r="Q43">
        <f>_xlfn.NORM.DIST(Tabela11[[#This Row],[Valor]],Tabela9[Média],Tabela9[Desvio Padrão],FALSE)</f>
        <v>0.58372102325769859</v>
      </c>
    </row>
    <row r="44" spans="2:17" x14ac:dyDescent="0.25">
      <c r="B44" s="1">
        <v>1.74</v>
      </c>
      <c r="O44">
        <v>26</v>
      </c>
      <c r="P44">
        <f>Tabela9[Mínimo]+Tabela11[[#This Row],[Pontos]]*Tabela9[Incremento 2]</f>
        <v>1.8297999999999999</v>
      </c>
      <c r="Q44">
        <f>_xlfn.NORM.DIST(Tabela11[[#This Row],[Valor]],Tabela9[Média],Tabela9[Desvio Padrão],FALSE)</f>
        <v>0.63562502518303543</v>
      </c>
    </row>
    <row r="45" spans="2:17" x14ac:dyDescent="0.25">
      <c r="B45" s="1">
        <v>2.23</v>
      </c>
      <c r="O45">
        <v>27</v>
      </c>
      <c r="P45">
        <f>Tabela9[Mínimo]+Tabela11[[#This Row],[Pontos]]*Tabela9[Incremento 2]</f>
        <v>1.8371</v>
      </c>
      <c r="Q45">
        <f>_xlfn.NORM.DIST(Tabela11[[#This Row],[Valor]],Tabela9[Média],Tabela9[Desvio Padrão],FALSE)</f>
        <v>0.69045877949202128</v>
      </c>
    </row>
    <row r="46" spans="2:17" x14ac:dyDescent="0.25">
      <c r="B46" s="1">
        <v>2.11</v>
      </c>
      <c r="O46">
        <v>28</v>
      </c>
      <c r="P46">
        <f>Tabela9[Mínimo]+Tabela11[[#This Row],[Pontos]]*Tabela9[Incremento 2]</f>
        <v>1.8444</v>
      </c>
      <c r="Q46">
        <f>_xlfn.NORM.DIST(Tabela11[[#This Row],[Valor]],Tabela9[Média],Tabela9[Desvio Padrão],FALSE)</f>
        <v>0.74819644679855724</v>
      </c>
    </row>
    <row r="47" spans="2:17" x14ac:dyDescent="0.25">
      <c r="B47" s="1">
        <v>2.17</v>
      </c>
      <c r="O47">
        <v>29</v>
      </c>
      <c r="P47">
        <f>Tabela9[Mínimo]+Tabela11[[#This Row],[Pontos]]*Tabela9[Incremento 2]</f>
        <v>1.8516999999999999</v>
      </c>
      <c r="Q47">
        <f>_xlfn.NORM.DIST(Tabela11[[#This Row],[Valor]],Tabela9[Média],Tabela9[Desvio Padrão],FALSE)</f>
        <v>0.80878789562860043</v>
      </c>
    </row>
    <row r="48" spans="2:17" x14ac:dyDescent="0.25">
      <c r="B48" s="1">
        <v>2.06</v>
      </c>
      <c r="O48">
        <v>30</v>
      </c>
      <c r="P48">
        <f>Tabela9[Mínimo]+Tabela11[[#This Row],[Pontos]]*Tabela9[Incremento 2]</f>
        <v>1.859</v>
      </c>
      <c r="Q48">
        <f>_xlfn.NORM.DIST(Tabela11[[#This Row],[Valor]],Tabela9[Média],Tabela9[Desvio Padrão],FALSE)</f>
        <v>0.87215718091855399</v>
      </c>
    </row>
    <row r="49" spans="2:17" x14ac:dyDescent="0.25">
      <c r="B49" s="1">
        <v>2.21</v>
      </c>
      <c r="O49">
        <v>31</v>
      </c>
      <c r="P49">
        <f>Tabela9[Mínimo]+Tabela11[[#This Row],[Pontos]]*Tabela9[Incremento 2]</f>
        <v>1.8662999999999998</v>
      </c>
      <c r="Q49">
        <f>_xlfn.NORM.DIST(Tabela11[[#This Row],[Valor]],Tabela9[Média],Tabela9[Desvio Padrão],FALSE)</f>
        <v>0.93820122414809914</v>
      </c>
    </row>
    <row r="50" spans="2:17" x14ac:dyDescent="0.25">
      <c r="B50" s="1">
        <v>1.93</v>
      </c>
      <c r="O50">
        <v>32</v>
      </c>
      <c r="P50">
        <f>Tabela9[Mínimo]+Tabela11[[#This Row],[Pontos]]*Tabela9[Incremento 2]</f>
        <v>1.8735999999999999</v>
      </c>
      <c r="Q50">
        <f>_xlfn.NORM.DIST(Tabela11[[#This Row],[Valor]],Tabela9[Média],Tabela9[Desvio Padrão],FALSE)</f>
        <v>1.0067887314420212</v>
      </c>
    </row>
    <row r="51" spans="2:17" x14ac:dyDescent="0.25">
      <c r="B51" s="1">
        <v>2.27</v>
      </c>
      <c r="O51">
        <v>33</v>
      </c>
      <c r="P51">
        <f>Tabela9[Mínimo]+Tabela11[[#This Row],[Pontos]]*Tabela9[Incremento 2]</f>
        <v>1.8809</v>
      </c>
      <c r="Q51">
        <f>_xlfn.NORM.DIST(Tabela11[[#This Row],[Valor]],Tabela9[Média],Tabela9[Desvio Padrão],FALSE)</f>
        <v>1.0777593846577276</v>
      </c>
    </row>
    <row r="52" spans="2:17" x14ac:dyDescent="0.25">
      <c r="B52" s="1">
        <v>2.0099999999999998</v>
      </c>
      <c r="O52">
        <v>34</v>
      </c>
      <c r="P52">
        <f>Tabela9[Mínimo]+Tabela11[[#This Row],[Pontos]]*Tabela9[Incremento 2]</f>
        <v>1.8881999999999999</v>
      </c>
      <c r="Q52">
        <f>_xlfn.NORM.DIST(Tabela11[[#This Row],[Valor]],Tabela9[Média],Tabela9[Desvio Padrão],FALSE)</f>
        <v>1.1509233383475146</v>
      </c>
    </row>
    <row r="53" spans="2:17" x14ac:dyDescent="0.25">
      <c r="B53" s="1">
        <v>2.08</v>
      </c>
      <c r="O53">
        <v>35</v>
      </c>
      <c r="P53">
        <f>Tabela9[Mínimo]+Tabela11[[#This Row],[Pontos]]*Tabela9[Incremento 2]</f>
        <v>1.8955</v>
      </c>
      <c r="Q53">
        <f>_xlfn.NORM.DIST(Tabela11[[#This Row],[Valor]],Tabela9[Média],Tabela9[Desvio Padrão],FALSE)</f>
        <v>1.226061052532754</v>
      </c>
    </row>
    <row r="54" spans="2:17" x14ac:dyDescent="0.25">
      <c r="B54" s="1">
        <v>2.14</v>
      </c>
      <c r="O54">
        <v>36</v>
      </c>
      <c r="P54">
        <f>Tabela9[Mínimo]+Tabela11[[#This Row],[Pontos]]*Tabela9[Incremento 2]</f>
        <v>1.9028</v>
      </c>
      <c r="Q54">
        <f>_xlfn.NORM.DIST(Tabela11[[#This Row],[Valor]],Tabela9[Média],Tabela9[Desvio Padrão],FALSE)</f>
        <v>1.3029234874570601</v>
      </c>
    </row>
    <row r="55" spans="2:17" x14ac:dyDescent="0.25">
      <c r="B55" s="1">
        <v>1.99</v>
      </c>
      <c r="O55">
        <v>37</v>
      </c>
      <c r="P55">
        <f>Tabela9[Mínimo]+Tabela11[[#This Row],[Pontos]]*Tabela9[Incremento 2]</f>
        <v>1.9100999999999999</v>
      </c>
      <c r="Q55">
        <f>_xlfn.NORM.DIST(Tabela11[[#This Row],[Valor]],Tabela9[Média],Tabela9[Desvio Padrão],FALSE)</f>
        <v>1.3812326819237597</v>
      </c>
    </row>
    <row r="56" spans="2:17" x14ac:dyDescent="0.25">
      <c r="B56" s="1">
        <v>1.89</v>
      </c>
      <c r="O56">
        <v>38</v>
      </c>
      <c r="P56">
        <f>Tabela9[Mínimo]+Tabela11[[#This Row],[Pontos]]*Tabela9[Incremento 2]</f>
        <v>1.9174</v>
      </c>
      <c r="Q56">
        <f>_xlfn.NORM.DIST(Tabela11[[#This Row],[Valor]],Tabela9[Média],Tabela9[Desvio Padrão],FALSE)</f>
        <v>1.4606827315179438</v>
      </c>
    </row>
    <row r="57" spans="2:17" x14ac:dyDescent="0.25">
      <c r="B57" s="1">
        <v>1.95</v>
      </c>
      <c r="O57">
        <v>39</v>
      </c>
      <c r="P57">
        <f>Tabela9[Mínimo]+Tabela11[[#This Row],[Pontos]]*Tabela9[Incremento 2]</f>
        <v>1.9247000000000001</v>
      </c>
      <c r="Q57">
        <f>_xlfn.NORM.DIST(Tabela11[[#This Row],[Valor]],Tabela9[Média],Tabela9[Desvio Padrão],FALSE)</f>
        <v>1.5409411770355848</v>
      </c>
    </row>
    <row r="58" spans="2:17" x14ac:dyDescent="0.25">
      <c r="B58" s="1">
        <v>2.29</v>
      </c>
      <c r="O58">
        <v>40</v>
      </c>
      <c r="P58">
        <f>Tabela9[Mínimo]+Tabela11[[#This Row],[Pontos]]*Tabela9[Incremento 2]</f>
        <v>1.9319999999999999</v>
      </c>
      <c r="Q58">
        <f>_xlfn.NORM.DIST(Tabela11[[#This Row],[Valor]],Tabela9[Média],Tabela9[Desvio Padrão],FALSE)</f>
        <v>1.6216508068834565</v>
      </c>
    </row>
    <row r="59" spans="2:17" x14ac:dyDescent="0.25">
      <c r="B59" s="1">
        <v>1.9</v>
      </c>
      <c r="O59">
        <v>41</v>
      </c>
      <c r="P59">
        <f>Tabela9[Mínimo]+Tabela11[[#This Row],[Pontos]]*Tabela9[Incremento 2]</f>
        <v>1.9393</v>
      </c>
      <c r="Q59">
        <f>_xlfn.NORM.DIST(Tabela11[[#This Row],[Valor]],Tabela9[Média],Tabela9[Desvio Padrão],FALSE)</f>
        <v>1.7024318701858754</v>
      </c>
    </row>
    <row r="60" spans="2:17" x14ac:dyDescent="0.25">
      <c r="B60" s="1">
        <v>2.16</v>
      </c>
      <c r="H60">
        <f>_xlfn.GAUSS(Tabela1[Periodo(s)])</f>
        <v>0.48461366521607452</v>
      </c>
      <c r="O60">
        <v>42</v>
      </c>
      <c r="P60">
        <f>Tabela9[Mínimo]+Tabela11[[#This Row],[Pontos]]*Tabela9[Incremento 2]</f>
        <v>1.9466000000000001</v>
      </c>
      <c r="Q60">
        <f>_xlfn.NORM.DIST(Tabela11[[#This Row],[Valor]],Tabela9[Média],Tabela9[Desvio Padrão],FALSE)</f>
        <v>1.7828846899682886</v>
      </c>
    </row>
    <row r="61" spans="2:17" x14ac:dyDescent="0.25">
      <c r="B61" s="1">
        <v>2.16</v>
      </c>
      <c r="O61">
        <v>43</v>
      </c>
      <c r="P61">
        <f>Tabela9[Mínimo]+Tabela11[[#This Row],[Pontos]]*Tabela9[Incremento 2]</f>
        <v>1.9539</v>
      </c>
      <c r="Q61">
        <f>_xlfn.NORM.DIST(Tabela11[[#This Row],[Valor]],Tabela9[Média],Tabela9[Desvio Padrão],FALSE)</f>
        <v>1.8625926582300079</v>
      </c>
    </row>
    <row r="62" spans="2:17" x14ac:dyDescent="0.25">
      <c r="B62" s="1">
        <v>1.96</v>
      </c>
      <c r="O62">
        <v>44</v>
      </c>
      <c r="P62">
        <f>Tabela9[Mínimo]+Tabela11[[#This Row],[Pontos]]*Tabela9[Incremento 2]</f>
        <v>1.9612000000000001</v>
      </c>
      <c r="Q62">
        <f>_xlfn.NORM.DIST(Tabela11[[#This Row],[Valor]],Tabela9[Média],Tabela9[Desvio Padrão],FALSE)</f>
        <v>1.9411255871280351</v>
      </c>
    </row>
    <row r="63" spans="2:17" x14ac:dyDescent="0.25">
      <c r="B63" s="1">
        <v>2.34</v>
      </c>
      <c r="O63">
        <v>45</v>
      </c>
      <c r="P63">
        <f>Tabela9[Mínimo]+Tabela11[[#This Row],[Pontos]]*Tabela9[Incremento 2]</f>
        <v>1.9684999999999999</v>
      </c>
      <c r="Q63">
        <f>_xlfn.NORM.DIST(Tabela11[[#This Row],[Valor]],Tabela9[Média],Tabela9[Desvio Padrão],FALSE)</f>
        <v>2.0180433830395921</v>
      </c>
    </row>
    <row r="64" spans="2:17" x14ac:dyDescent="0.25">
      <c r="B64" s="1">
        <v>2.13</v>
      </c>
      <c r="O64">
        <v>46</v>
      </c>
      <c r="P64">
        <f>Tabela9[Mínimo]+Tabela11[[#This Row],[Pontos]]*Tabela9[Incremento 2]</f>
        <v>1.9758</v>
      </c>
      <c r="Q64">
        <f>_xlfn.NORM.DIST(Tabela11[[#This Row],[Valor]],Tabela9[Média],Tabela9[Desvio Padrão],FALSE)</f>
        <v>2.0929000031261507</v>
      </c>
    </row>
    <row r="65" spans="2:17" x14ac:dyDescent="0.25">
      <c r="B65" s="1">
        <v>2.2599999999999998</v>
      </c>
      <c r="O65">
        <v>47</v>
      </c>
      <c r="P65">
        <f>Tabela9[Mínimo]+Tabela11[[#This Row],[Pontos]]*Tabela9[Incremento 2]</f>
        <v>1.9830999999999999</v>
      </c>
      <c r="Q65">
        <f>_xlfn.NORM.DIST(Tabela11[[#This Row],[Valor]],Tabela9[Média],Tabela9[Desvio Padrão],FALSE)</f>
        <v>2.1652476473600255</v>
      </c>
    </row>
    <row r="66" spans="2:17" x14ac:dyDescent="0.25">
      <c r="B66" s="1">
        <v>2.02</v>
      </c>
      <c r="O66">
        <v>48</v>
      </c>
      <c r="P66">
        <f>Tabela9[Mínimo]+Tabela11[[#This Row],[Pontos]]*Tabela9[Incremento 2]</f>
        <v>1.9903999999999999</v>
      </c>
      <c r="Q66">
        <f>_xlfn.NORM.DIST(Tabela11[[#This Row],[Valor]],Tabela9[Média],Tabela9[Desvio Padrão],FALSE)</f>
        <v>2.2346411329662659</v>
      </c>
    </row>
    <row r="67" spans="2:17" x14ac:dyDescent="0.25">
      <c r="B67" s="1">
        <v>1.97</v>
      </c>
      <c r="O67">
        <v>49</v>
      </c>
      <c r="P67">
        <f>Tabela9[Mínimo]+Tabela11[[#This Row],[Pontos]]*Tabela9[Incremento 2]</f>
        <v>1.9977</v>
      </c>
      <c r="Q67">
        <f>_xlfn.NORM.DIST(Tabela11[[#This Row],[Valor]],Tabela9[Média],Tabela9[Desvio Padrão],FALSE)</f>
        <v>2.3006423930375988</v>
      </c>
    </row>
    <row r="68" spans="2:17" x14ac:dyDescent="0.25">
      <c r="B68" s="1">
        <v>1.98</v>
      </c>
      <c r="F68" t="s">
        <v>27</v>
      </c>
      <c r="O68">
        <v>50</v>
      </c>
      <c r="P68">
        <f>Tabela9[Mínimo]+Tabela11[[#This Row],[Pontos]]*Tabela9[Incremento 2]</f>
        <v>2.0049999999999999</v>
      </c>
      <c r="Q68">
        <f>_xlfn.NORM.DIST(Tabela11[[#This Row],[Valor]],Tabela9[Média],Tabela9[Desvio Padrão],FALSE)</f>
        <v>2.3628250368460977</v>
      </c>
    </row>
    <row r="69" spans="2:17" x14ac:dyDescent="0.25">
      <c r="B69" s="1">
        <v>2.2799999999999998</v>
      </c>
      <c r="F69" s="4">
        <f>Tabela9[Desvio Padrão]/10</f>
        <v>1.478396428567115E-2</v>
      </c>
      <c r="O69">
        <v>51</v>
      </c>
      <c r="P69">
        <f>Tabela9[Mínimo]+Tabela11[[#This Row],[Pontos]]*Tabela9[Incremento 2]</f>
        <v>2.0122999999999998</v>
      </c>
      <c r="Q69">
        <f>_xlfn.NORM.DIST(Tabela11[[#This Row],[Valor]],Tabela9[Média],Tabela9[Desvio Padrão],FALSE)</f>
        <v>2.4207789062300828</v>
      </c>
    </row>
    <row r="70" spans="2:17" x14ac:dyDescent="0.25">
      <c r="B70" s="1">
        <v>2.13</v>
      </c>
      <c r="O70">
        <v>52</v>
      </c>
      <c r="P70">
        <f>Tabela9[Mínimo]+Tabela11[[#This Row],[Pontos]]*Tabela9[Incremento 2]</f>
        <v>2.0196000000000001</v>
      </c>
      <c r="Q70">
        <f>_xlfn.NORM.DIST(Tabela11[[#This Row],[Valor]],Tabela9[Média],Tabela9[Desvio Padrão],FALSE)</f>
        <v>2.474114560484912</v>
      </c>
    </row>
    <row r="71" spans="2:17" x14ac:dyDescent="0.25">
      <c r="B71" s="1">
        <v>1.93</v>
      </c>
      <c r="O71">
        <v>53</v>
      </c>
      <c r="P71">
        <f>Tabela9[Mínimo]+Tabela11[[#This Row],[Pontos]]*Tabela9[Incremento 2]</f>
        <v>2.0268999999999999</v>
      </c>
      <c r="Q71">
        <f>_xlfn.NORM.DIST(Tabela11[[#This Row],[Valor]],Tabela9[Média],Tabela9[Desvio Padrão],FALSE)</f>
        <v>2.5224676215117228</v>
      </c>
    </row>
    <row r="72" spans="2:17" x14ac:dyDescent="0.25">
      <c r="B72" s="1">
        <v>1.95</v>
      </c>
      <c r="O72">
        <v>54</v>
      </c>
      <c r="P72">
        <f>Tabela9[Mínimo]+Tabela11[[#This Row],[Pontos]]*Tabela9[Incremento 2]</f>
        <v>2.0342000000000002</v>
      </c>
      <c r="Q72">
        <f>_xlfn.NORM.DIST(Tabela11[[#This Row],[Valor]],Tabela9[Média],Tabela9[Desvio Padrão],FALSE)</f>
        <v>2.5655029116297876</v>
      </c>
    </row>
    <row r="73" spans="2:17" x14ac:dyDescent="0.25">
      <c r="B73" s="1">
        <v>1.84</v>
      </c>
      <c r="O73">
        <v>55</v>
      </c>
      <c r="P73">
        <f>Tabela9[Mínimo]+Tabela11[[#This Row],[Pontos]]*Tabela9[Incremento 2]</f>
        <v>2.0415000000000001</v>
      </c>
      <c r="Q73">
        <f>_xlfn.NORM.DIST(Tabela11[[#This Row],[Valor]],Tabela9[Média],Tabela9[Desvio Padrão],FALSE)</f>
        <v>2.6029183184554898</v>
      </c>
    </row>
    <row r="74" spans="2:17" x14ac:dyDescent="0.25">
      <c r="B74" s="1">
        <v>1.79</v>
      </c>
      <c r="O74">
        <v>56</v>
      </c>
      <c r="P74">
        <f>Tabela9[Mínimo]+Tabela11[[#This Row],[Pontos]]*Tabela9[Incremento 2]</f>
        <v>2.0488</v>
      </c>
      <c r="Q74">
        <f>_xlfn.NORM.DIST(Tabela11[[#This Row],[Valor]],Tabela9[Média],Tabela9[Desvio Padrão],FALSE)</f>
        <v>2.6344483245815509</v>
      </c>
    </row>
    <row r="75" spans="2:17" x14ac:dyDescent="0.25">
      <c r="B75" s="1">
        <v>2.34</v>
      </c>
      <c r="O75">
        <v>57</v>
      </c>
      <c r="P75">
        <f>Tabela9[Mínimo]+Tabela11[[#This Row],[Pontos]]*Tabela9[Incremento 2]</f>
        <v>2.0560999999999998</v>
      </c>
      <c r="Q75">
        <f>_xlfn.NORM.DIST(Tabela11[[#This Row],[Valor]],Tabela9[Média],Tabela9[Desvio Padrão],FALSE)</f>
        <v>2.6598671444075239</v>
      </c>
    </row>
    <row r="76" spans="2:17" x14ac:dyDescent="0.25">
      <c r="B76" s="1">
        <v>2.14</v>
      </c>
      <c r="O76">
        <v>58</v>
      </c>
      <c r="P76">
        <f>Tabela9[Mínimo]+Tabela11[[#This Row],[Pontos]]*Tabela9[Incremento 2]</f>
        <v>2.0634000000000001</v>
      </c>
      <c r="Q76">
        <f>_xlfn.NORM.DIST(Tabela11[[#This Row],[Valor]],Tabela9[Média],Tabela9[Desvio Padrão],FALSE)</f>
        <v>2.6789914162989992</v>
      </c>
    </row>
    <row r="77" spans="2:17" x14ac:dyDescent="0.25">
      <c r="B77" s="1">
        <v>2.1800000000000002</v>
      </c>
      <c r="O77">
        <v>59</v>
      </c>
      <c r="P77">
        <f>Tabela9[Mínimo]+Tabela11[[#This Row],[Pontos]]*Tabela9[Incremento 2]</f>
        <v>2.0707</v>
      </c>
      <c r="Q77">
        <f>_xlfn.NORM.DIST(Tabela11[[#This Row],[Valor]],Tabela9[Média],Tabela9[Desvio Padrão],FALSE)</f>
        <v>2.6916824051786845</v>
      </c>
    </row>
    <row r="78" spans="2:17" x14ac:dyDescent="0.25">
      <c r="B78" s="1">
        <v>1.99</v>
      </c>
      <c r="O78">
        <v>60</v>
      </c>
      <c r="P78">
        <f>Tabela9[Mínimo]+Tabela11[[#This Row],[Pontos]]*Tabela9[Incremento 2]</f>
        <v>2.0779999999999998</v>
      </c>
      <c r="Q78">
        <f>_xlfn.NORM.DIST(Tabela11[[#This Row],[Valor]],Tabela9[Média],Tabela9[Desvio Padrão],FALSE)</f>
        <v>2.697847678540092</v>
      </c>
    </row>
    <row r="79" spans="2:17" x14ac:dyDescent="0.25">
      <c r="B79" s="1">
        <v>2.09</v>
      </c>
      <c r="O79">
        <v>61</v>
      </c>
      <c r="P79">
        <f>Tabela9[Mínimo]+Tabela11[[#This Row],[Pontos]]*Tabela9[Incremento 2]</f>
        <v>2.0853000000000002</v>
      </c>
      <c r="Q79">
        <f>_xlfn.NORM.DIST(Tabela11[[#This Row],[Valor]],Tabela9[Média],Tabela9[Desvio Padrão],FALSE)</f>
        <v>2.6974422275608849</v>
      </c>
    </row>
    <row r="80" spans="2:17" x14ac:dyDescent="0.25">
      <c r="B80" s="1">
        <v>2.13</v>
      </c>
      <c r="O80">
        <v>62</v>
      </c>
      <c r="P80">
        <f>Tabela9[Mínimo]+Tabela11[[#This Row],[Pontos]]*Tabela9[Incremento 2]</f>
        <v>2.0926</v>
      </c>
      <c r="Q80">
        <f>_xlfn.NORM.DIST(Tabela11[[#This Row],[Valor]],Tabela9[Média],Tabela9[Desvio Padrão],FALSE)</f>
        <v>2.690469014294202</v>
      </c>
    </row>
    <row r="81" spans="2:17" x14ac:dyDescent="0.25">
      <c r="B81" s="1">
        <v>2.09</v>
      </c>
      <c r="O81">
        <v>63</v>
      </c>
      <c r="P81">
        <f>Tabela9[Mínimo]+Tabela11[[#This Row],[Pontos]]*Tabela9[Incremento 2]</f>
        <v>2.0998999999999999</v>
      </c>
      <c r="Q81">
        <f>_xlfn.NORM.DIST(Tabela11[[#This Row],[Valor]],Tabela9[Média],Tabela9[Desvio Padrão],FALSE)</f>
        <v>2.6769789356320874</v>
      </c>
    </row>
    <row r="82" spans="2:17" x14ac:dyDescent="0.25">
      <c r="B82" s="1">
        <v>2.04</v>
      </c>
      <c r="O82">
        <v>64</v>
      </c>
      <c r="P82">
        <f>Tabela9[Mínimo]+Tabela11[[#This Row],[Pontos]]*Tabela9[Incremento 2]</f>
        <v>2.1072000000000002</v>
      </c>
      <c r="Q82">
        <f>_xlfn.NORM.DIST(Tabela11[[#This Row],[Valor]],Tabela9[Média],Tabela9[Desvio Padrão],FALSE)</f>
        <v>2.6570702046543309</v>
      </c>
    </row>
    <row r="83" spans="2:17" x14ac:dyDescent="0.25">
      <c r="B83" s="1">
        <v>2.04</v>
      </c>
      <c r="O83">
        <v>65</v>
      </c>
      <c r="P83">
        <f>Tabela9[Mínimo]+Tabela11[[#This Row],[Pontos]]*Tabela9[Incremento 2]</f>
        <v>2.1145</v>
      </c>
      <c r="Q83">
        <f>_xlfn.NORM.DIST(Tabela11[[#This Row],[Valor]],Tabela9[Média],Tabela9[Desvio Padrão],FALSE)</f>
        <v>2.6308871598817585</v>
      </c>
    </row>
    <row r="84" spans="2:17" x14ac:dyDescent="0.25">
      <c r="B84" s="1">
        <v>2.16</v>
      </c>
      <c r="O84">
        <v>66</v>
      </c>
      <c r="P84">
        <f>Tabela9[Mínimo]+Tabela11[[#This Row],[Pontos]]*Tabela9[Incremento 2]</f>
        <v>2.1217999999999999</v>
      </c>
      <c r="Q84">
        <f>_xlfn.NORM.DIST(Tabela11[[#This Row],[Valor]],Tabela9[Média],Tabela9[Desvio Padrão],FALSE)</f>
        <v>2.5986185226289717</v>
      </c>
    </row>
    <row r="85" spans="2:17" x14ac:dyDescent="0.25">
      <c r="B85" s="1">
        <v>1.94</v>
      </c>
      <c r="O85">
        <v>67</v>
      </c>
      <c r="P85">
        <f>Tabela9[Mínimo]+Tabela11[[#This Row],[Pontos]]*Tabela9[Incremento 2]</f>
        <v>2.1291000000000002</v>
      </c>
      <c r="Q85">
        <f>_xlfn.NORM.DIST(Tabela11[[#This Row],[Valor]],Tabela9[Média],Tabela9[Desvio Padrão],FALSE)</f>
        <v>2.5604951318875315</v>
      </c>
    </row>
    <row r="86" spans="2:17" x14ac:dyDescent="0.25">
      <c r="B86" s="1">
        <v>2.11</v>
      </c>
      <c r="O86">
        <v>68</v>
      </c>
      <c r="P86">
        <f>Tabela9[Mínimo]+Tabela11[[#This Row],[Pontos]]*Tabela9[Incremento 2]</f>
        <v>2.1364000000000001</v>
      </c>
      <c r="Q86">
        <f>_xlfn.NORM.DIST(Tabela11[[#This Row],[Valor]],Tabela9[Média],Tabela9[Desvio Padrão],FALSE)</f>
        <v>2.516787194767991</v>
      </c>
    </row>
    <row r="87" spans="2:17" x14ac:dyDescent="0.25">
      <c r="B87" s="1">
        <v>2.16</v>
      </c>
      <c r="O87">
        <v>69</v>
      </c>
      <c r="P87">
        <f>Tabela9[Mínimo]+Tabela11[[#This Row],[Pontos]]*Tabela9[Incremento 2]</f>
        <v>2.1436999999999999</v>
      </c>
      <c r="Q87">
        <f>_xlfn.NORM.DIST(Tabela11[[#This Row],[Valor]],Tabela9[Média],Tabela9[Desvio Padrão],FALSE)</f>
        <v>2.4678010983064413</v>
      </c>
    </row>
    <row r="88" spans="2:17" x14ac:dyDescent="0.25">
      <c r="B88" s="1">
        <v>1.94</v>
      </c>
      <c r="O88">
        <v>70</v>
      </c>
      <c r="P88">
        <f>Tabela9[Mínimo]+Tabela11[[#This Row],[Pontos]]*Tabela9[Incremento 2]</f>
        <v>2.1509999999999998</v>
      </c>
      <c r="Q88">
        <f>_xlfn.NORM.DIST(Tabela11[[#This Row],[Valor]],Tabela9[Média],Tabela9[Desvio Padrão],FALSE)</f>
        <v>2.4138758352384513</v>
      </c>
    </row>
    <row r="89" spans="2:17" x14ac:dyDescent="0.25">
      <c r="B89" s="1">
        <v>2.09</v>
      </c>
      <c r="O89">
        <v>71</v>
      </c>
      <c r="P89">
        <f>Tabela9[Mínimo]+Tabela11[[#This Row],[Pontos]]*Tabela9[Incremento 2]</f>
        <v>2.1583000000000001</v>
      </c>
      <c r="Q89">
        <f>_xlfn.NORM.DIST(Tabela11[[#This Row],[Valor]],Tabela9[Média],Tabela9[Desvio Padrão],FALSE)</f>
        <v>2.3553791020257546</v>
      </c>
    </row>
    <row r="90" spans="2:17" x14ac:dyDescent="0.25">
      <c r="B90" s="1">
        <v>1.97</v>
      </c>
      <c r="O90">
        <v>72</v>
      </c>
      <c r="P90">
        <f>Tabela9[Mínimo]+Tabela11[[#This Row],[Pontos]]*Tabela9[Incremento 2]</f>
        <v>2.1656</v>
      </c>
      <c r="Q90">
        <f>_xlfn.NORM.DIST(Tabela11[[#This Row],[Valor]],Tabela9[Média],Tabela9[Desvio Padrão],FALSE)</f>
        <v>2.2927031318836071</v>
      </c>
    </row>
    <row r="91" spans="2:17" x14ac:dyDescent="0.25">
      <c r="B91" s="1">
        <v>2.3199999999999998</v>
      </c>
      <c r="O91">
        <v>73</v>
      </c>
      <c r="P91">
        <f>Tabela9[Mínimo]+Tabela11[[#This Row],[Pontos]]*Tabela9[Incremento 2]</f>
        <v>2.1729000000000003</v>
      </c>
      <c r="Q91">
        <f>_xlfn.NORM.DIST(Tabela11[[#This Row],[Valor]],Tabela9[Média],Tabela9[Desvio Padrão],FALSE)</f>
        <v>2.2262603287245266</v>
      </c>
    </row>
    <row r="92" spans="2:17" x14ac:dyDescent="0.25">
      <c r="B92" s="1">
        <v>2.0699999999999998</v>
      </c>
      <c r="O92">
        <v>74</v>
      </c>
      <c r="P92">
        <f>Tabela9[Mínimo]+Tabela11[[#This Row],[Pontos]]*Tabela9[Incremento 2]</f>
        <v>2.1802000000000001</v>
      </c>
      <c r="Q92">
        <f>_xlfn.NORM.DIST(Tabela11[[#This Row],[Valor]],Tabela9[Média],Tabela9[Desvio Padrão],FALSE)</f>
        <v>2.1564787697658674</v>
      </c>
    </row>
    <row r="93" spans="2:17" x14ac:dyDescent="0.25">
      <c r="B93" s="1">
        <v>2.23</v>
      </c>
      <c r="O93">
        <v>75</v>
      </c>
      <c r="P93">
        <f>Tabela9[Mínimo]+Tabela11[[#This Row],[Pontos]]*Tabela9[Incremento 2]</f>
        <v>2.1875</v>
      </c>
      <c r="Q93">
        <f>_xlfn.NORM.DIST(Tabela11[[#This Row],[Valor]],Tabela9[Média],Tabela9[Desvio Padrão],FALSE)</f>
        <v>2.0837976450348243</v>
      </c>
    </row>
    <row r="94" spans="2:17" x14ac:dyDescent="0.25">
      <c r="B94" s="1">
        <v>1.96</v>
      </c>
      <c r="O94">
        <v>76</v>
      </c>
      <c r="P94">
        <f>Tabela9[Mínimo]+Tabela11[[#This Row],[Pontos]]*Tabela9[Incremento 2]</f>
        <v>2.1947999999999999</v>
      </c>
      <c r="Q94">
        <f>_xlfn.NORM.DIST(Tabela11[[#This Row],[Valor]],Tabela9[Média],Tabela9[Desvio Padrão],FALSE)</f>
        <v>2.0086627011694613</v>
      </c>
    </row>
    <row r="95" spans="2:17" x14ac:dyDescent="0.25">
      <c r="B95" s="1">
        <v>2.11</v>
      </c>
      <c r="O95">
        <v>77</v>
      </c>
      <c r="P95">
        <f>Tabela9[Mínimo]+Tabela11[[#This Row],[Pontos]]*Tabela9[Incremento 2]</f>
        <v>2.2021000000000002</v>
      </c>
      <c r="Q95">
        <f>_xlfn.NORM.DIST(Tabela11[[#This Row],[Valor]],Tabela9[Média],Tabela9[Desvio Padrão],FALSE)</f>
        <v>1.9315217548121053</v>
      </c>
    </row>
    <row r="96" spans="2:17" x14ac:dyDescent="0.25">
      <c r="B96" s="1">
        <v>2.0499999999999998</v>
      </c>
      <c r="O96">
        <v>78</v>
      </c>
      <c r="P96">
        <f>Tabela9[Mínimo]+Tabela11[[#This Row],[Pontos]]*Tabela9[Incremento 2]</f>
        <v>2.2094</v>
      </c>
      <c r="Q96">
        <f>_xlfn.NORM.DIST(Tabela11[[#This Row],[Valor]],Tabela9[Média],Tabela9[Desvio Padrão],FALSE)</f>
        <v>1.852820337605976</v>
      </c>
    </row>
    <row r="97" spans="2:17" x14ac:dyDescent="0.25">
      <c r="B97" s="1">
        <v>2.16</v>
      </c>
      <c r="O97">
        <v>79</v>
      </c>
      <c r="P97">
        <f>Tabela9[Mínimo]+Tabela11[[#This Row],[Pontos]]*Tabela9[Incremento 2]</f>
        <v>2.2166999999999999</v>
      </c>
      <c r="Q97">
        <f>_xlfn.NORM.DIST(Tabela11[[#This Row],[Valor]],Tabela9[Média],Tabela9[Desvio Padrão],FALSE)</f>
        <v>1.7729975304457735</v>
      </c>
    </row>
    <row r="98" spans="2:17" x14ac:dyDescent="0.25">
      <c r="B98" s="1">
        <v>2.1800000000000002</v>
      </c>
      <c r="O98">
        <v>80</v>
      </c>
      <c r="P98">
        <f>Tabela9[Mínimo]+Tabela11[[#This Row],[Pontos]]*Tabela9[Incremento 2]</f>
        <v>2.2240000000000002</v>
      </c>
      <c r="Q98">
        <f>_xlfn.NORM.DIST(Tabela11[[#This Row],[Valor]],Tabela9[Média],Tabela9[Desvio Padrão],FALSE)</f>
        <v>1.6924820393297437</v>
      </c>
    </row>
    <row r="99" spans="2:17" x14ac:dyDescent="0.25">
      <c r="B99" s="1">
        <v>2.2000000000000002</v>
      </c>
      <c r="O99">
        <v>81</v>
      </c>
      <c r="P99">
        <f>Tabela9[Mínimo]+Tabela11[[#This Row],[Pontos]]*Tabela9[Incremento 2]</f>
        <v>2.2313000000000001</v>
      </c>
      <c r="Q99">
        <f>_xlfn.NORM.DIST(Tabela11[[#This Row],[Valor]],Tabela9[Média],Tabela9[Desvio Padrão],FALSE)</f>
        <v>1.611688559062654</v>
      </c>
    </row>
    <row r="100" spans="2:17" x14ac:dyDescent="0.25">
      <c r="B100" s="1">
        <v>2.37</v>
      </c>
      <c r="O100">
        <v>82</v>
      </c>
      <c r="P100">
        <f>Tabela9[Mínimo]+Tabela11[[#This Row],[Pontos]]*Tabela9[Incremento 2]</f>
        <v>2.2385999999999999</v>
      </c>
      <c r="Q100">
        <f>_xlfn.NORM.DIST(Tabela11[[#This Row],[Valor]],Tabela9[Média],Tabela9[Desvio Padrão],FALSE)</f>
        <v>1.5310144643286563</v>
      </c>
    </row>
    <row r="101" spans="2:17" x14ac:dyDescent="0.25">
      <c r="B101" s="1">
        <v>2.27</v>
      </c>
      <c r="O101">
        <v>83</v>
      </c>
      <c r="P101">
        <f>Tabela9[Mínimo]+Tabela11[[#This Row],[Pontos]]*Tabela9[Incremento 2]</f>
        <v>2.2458999999999998</v>
      </c>
      <c r="Q101">
        <f>_xlfn.NORM.DIST(Tabela11[[#This Row],[Valor]],Tabela9[Média],Tabela9[Desvio Padrão],FALSE)</f>
        <v>1.4508368604606507</v>
      </c>
    </row>
    <row r="102" spans="2:17" x14ac:dyDescent="0.25">
      <c r="B102" s="1">
        <v>2.0099999999999998</v>
      </c>
      <c r="O102">
        <v>84</v>
      </c>
      <c r="P102">
        <f>Tabela9[Mínimo]+Tabela11[[#This Row],[Pontos]]*Tabela9[Incremento 2]</f>
        <v>2.2532000000000001</v>
      </c>
      <c r="Q102">
        <f>_xlfn.NORM.DIST(Tabela11[[#This Row],[Valor]],Tabela9[Média],Tabela9[Desvio Padrão],FALSE)</f>
        <v>1.3715100187521914</v>
      </c>
    </row>
    <row r="103" spans="2:17" x14ac:dyDescent="0.25">
      <c r="B103" s="1">
        <v>2.04</v>
      </c>
      <c r="O103">
        <v>85</v>
      </c>
      <c r="P103">
        <f>Tabela9[Mínimo]+Tabela11[[#This Row],[Pontos]]*Tabela9[Incremento 2]</f>
        <v>2.2605</v>
      </c>
      <c r="Q103">
        <f>_xlfn.NORM.DIST(Tabela11[[#This Row],[Valor]],Tabela9[Média],Tabela9[Desvio Padrão],FALSE)</f>
        <v>1.293363213562869</v>
      </c>
    </row>
    <row r="104" spans="2:17" x14ac:dyDescent="0.25">
      <c r="B104" s="1">
        <v>2.1800000000000002</v>
      </c>
      <c r="O104">
        <v>86</v>
      </c>
      <c r="P104">
        <f>Tabela9[Mínimo]+Tabela11[[#This Row],[Pontos]]*Tabela9[Incremento 2]</f>
        <v>2.2678000000000003</v>
      </c>
      <c r="Q104">
        <f>_xlfn.NORM.DIST(Tabela11[[#This Row],[Valor]],Tabela9[Média],Tabela9[Desvio Padrão],FALSE)</f>
        <v>1.2166989709254419</v>
      </c>
    </row>
    <row r="105" spans="2:17" x14ac:dyDescent="0.25">
      <c r="B105" s="1"/>
      <c r="O105">
        <v>87</v>
      </c>
      <c r="P105">
        <f>Tabela9[Mínimo]+Tabela11[[#This Row],[Pontos]]*Tabela9[Incremento 2]</f>
        <v>2.2751000000000001</v>
      </c>
      <c r="Q105">
        <f>_xlfn.NORM.DIST(Tabela11[[#This Row],[Valor]],Tabela9[Média],Tabela9[Desvio Padrão],FALSE)</f>
        <v>1.1417917310312857</v>
      </c>
    </row>
    <row r="106" spans="2:17" x14ac:dyDescent="0.25">
      <c r="O106">
        <v>88</v>
      </c>
      <c r="P106">
        <f>Tabela9[Mínimo]+Tabela11[[#This Row],[Pontos]]*Tabela9[Incremento 2]</f>
        <v>2.2824</v>
      </c>
      <c r="Q106">
        <f>_xlfn.NORM.DIST(Tabela11[[#This Row],[Valor]],Tabela9[Média],Tabela9[Desvio Padrão],FALSE)</f>
        <v>1.0688869199939162</v>
      </c>
    </row>
    <row r="107" spans="2:17" x14ac:dyDescent="0.25">
      <c r="O107">
        <v>89</v>
      </c>
      <c r="P107">
        <f>Tabela9[Mínimo]+Tabela11[[#This Row],[Pontos]]*Tabela9[Incremento 2]</f>
        <v>2.2896999999999998</v>
      </c>
      <c r="Q107">
        <f>_xlfn.NORM.DIST(Tabela11[[#This Row],[Valor]],Tabela9[Média],Tabela9[Desvio Padrão],FALSE)</f>
        <v>0.99820041979775009</v>
      </c>
    </row>
    <row r="108" spans="2:17" x14ac:dyDescent="0.25">
      <c r="O108">
        <v>90</v>
      </c>
      <c r="P108">
        <f>Tabela9[Mínimo]+Tabela11[[#This Row],[Pontos]]*Tabela9[Incremento 2]</f>
        <v>2.2970000000000002</v>
      </c>
      <c r="Q108">
        <f>_xlfn.NORM.DIST(Tabela11[[#This Row],[Valor]],Tabela9[Média],Tabela9[Desvio Padrão],FALSE)</f>
        <v>0.92991841943970532</v>
      </c>
    </row>
    <row r="109" spans="2:17" x14ac:dyDescent="0.25">
      <c r="O109">
        <v>91</v>
      </c>
      <c r="P109">
        <f>Tabela9[Mínimo]+Tabela11[[#This Row],[Pontos]]*Tabela9[Incremento 2]</f>
        <v>2.3043</v>
      </c>
      <c r="Q109">
        <f>_xlfn.NORM.DIST(Tabela11[[#This Row],[Valor]],Tabela9[Média],Tabela9[Desvio Padrão],FALSE)</f>
        <v>0.86419762505463193</v>
      </c>
    </row>
    <row r="110" spans="2:17" x14ac:dyDescent="0.25">
      <c r="O110">
        <v>92</v>
      </c>
      <c r="P110">
        <f>Tabela9[Mínimo]+Tabela11[[#This Row],[Pontos]]*Tabela9[Incremento 2]</f>
        <v>2.3116000000000003</v>
      </c>
      <c r="Q110">
        <f>_xlfn.NORM.DIST(Tabela11[[#This Row],[Valor]],Tabela9[Média],Tabela9[Desvio Padrão],FALSE)</f>
        <v>0.80116580234909518</v>
      </c>
    </row>
    <row r="111" spans="2:17" x14ac:dyDescent="0.25">
      <c r="O111">
        <v>93</v>
      </c>
      <c r="P111">
        <f>Tabela9[Mínimo]+Tabela11[[#This Row],[Pontos]]*Tabela9[Incremento 2]</f>
        <v>2.3189000000000002</v>
      </c>
      <c r="Q111">
        <f>_xlfn.NORM.DIST(Tabela11[[#This Row],[Valor]],Tabela9[Média],Tabela9[Desvio Padrão],FALSE)</f>
        <v>0.74092262099795625</v>
      </c>
    </row>
    <row r="112" spans="2:17" x14ac:dyDescent="0.25">
      <c r="O112">
        <v>94</v>
      </c>
      <c r="P112">
        <f>Tabela9[Mínimo]+Tabela11[[#This Row],[Pontos]]*Tabela9[Incremento 2]</f>
        <v>2.3262</v>
      </c>
      <c r="Q112">
        <f>_xlfn.NORM.DIST(Tabela11[[#This Row],[Valor]],Tabela9[Média],Tabela9[Desvio Padrão],FALSE)</f>
        <v>0.6835407678078792</v>
      </c>
    </row>
    <row r="113" spans="15:17" x14ac:dyDescent="0.25">
      <c r="O113">
        <v>95</v>
      </c>
      <c r="P113">
        <f>Tabela9[Mínimo]+Tabela11[[#This Row],[Pontos]]*Tabela9[Incremento 2]</f>
        <v>2.3334999999999999</v>
      </c>
      <c r="Q113">
        <f>_xlfn.NORM.DIST(Tabela11[[#This Row],[Valor]],Tabela9[Média],Tabela9[Desvio Padrão],FALSE)</f>
        <v>0.62906729342534784</v>
      </c>
    </row>
    <row r="114" spans="15:17" x14ac:dyDescent="0.25">
      <c r="O114">
        <v>96</v>
      </c>
      <c r="P114">
        <f>Tabela9[Mínimo]+Tabela11[[#This Row],[Pontos]]*Tabela9[Incremento 2]</f>
        <v>2.3408000000000002</v>
      </c>
      <c r="Q114">
        <f>_xlfn.NORM.DIST(Tabela11[[#This Row],[Valor]],Tabela9[Média],Tabela9[Desvio Padrão],FALSE)</f>
        <v>0.57752515614685884</v>
      </c>
    </row>
    <row r="115" spans="15:17" x14ac:dyDescent="0.25">
      <c r="O115">
        <v>97</v>
      </c>
      <c r="P115">
        <f>Tabela9[Mínimo]+Tabela11[[#This Row],[Pontos]]*Tabela9[Incremento 2]</f>
        <v>2.3481000000000001</v>
      </c>
      <c r="Q115">
        <f>_xlfn.NORM.DIST(Tabela11[[#This Row],[Valor]],Tabela9[Média],Tabela9[Desvio Padrão],FALSE)</f>
        <v>0.52891492594232925</v>
      </c>
    </row>
    <row r="116" spans="15:17" x14ac:dyDescent="0.25">
      <c r="O116">
        <v>98</v>
      </c>
      <c r="P116">
        <f>Tabela9[Mínimo]+Tabela11[[#This Row],[Pontos]]*Tabela9[Incremento 2]</f>
        <v>2.3553999999999999</v>
      </c>
      <c r="Q116">
        <f>_xlfn.NORM.DIST(Tabela11[[#This Row],[Valor]],Tabela9[Média],Tabela9[Desvio Padrão],FALSE)</f>
        <v>0.4832166120794214</v>
      </c>
    </row>
    <row r="117" spans="15:17" x14ac:dyDescent="0.25">
      <c r="O117">
        <v>99</v>
      </c>
      <c r="P117">
        <f>Tabela9[Mínimo]+Tabela11[[#This Row],[Pontos]]*Tabela9[Incremento 2]</f>
        <v>2.3627000000000002</v>
      </c>
      <c r="Q117">
        <f>_xlfn.NORM.DIST(Tabela11[[#This Row],[Valor]],Tabela9[Média],Tabela9[Desvio Padrão],FALSE)</f>
        <v>0.44039157867430923</v>
      </c>
    </row>
    <row r="118" spans="15:17" x14ac:dyDescent="0.25">
      <c r="O118">
        <v>100</v>
      </c>
      <c r="P118">
        <f>Tabela9[Mínimo]+Tabela11[[#This Row],[Pontos]]*Tabela9[Incremento 2]</f>
        <v>2.37</v>
      </c>
      <c r="Q118">
        <f>_xlfn.NORM.DIST(Tabela11[[#This Row],[Valor]],Tabela9[Média],Tabela9[Desvio Padrão],FALSE)</f>
        <v>0.40038451402000802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FF582-F96D-4E83-88C5-4FA07E751AB2}">
  <dimension ref="A3:I61"/>
  <sheetViews>
    <sheetView tabSelected="1" zoomScale="84" zoomScaleNormal="49" workbookViewId="0">
      <selection activeCell="A4" sqref="A4"/>
    </sheetView>
  </sheetViews>
  <sheetFormatPr defaultRowHeight="15" x14ac:dyDescent="0.25"/>
  <cols>
    <col min="5" max="5" width="12.42578125" bestFit="1" customWidth="1"/>
    <col min="6" max="6" width="24.28515625" bestFit="1" customWidth="1"/>
    <col min="8" max="8" width="12.42578125" bestFit="1" customWidth="1"/>
    <col min="9" max="9" width="24.28515625" bestFit="1" customWidth="1"/>
  </cols>
  <sheetData>
    <row r="3" spans="1:9" x14ac:dyDescent="0.25">
      <c r="E3" t="s">
        <v>28</v>
      </c>
      <c r="H3" t="s">
        <v>29</v>
      </c>
    </row>
    <row r="4" spans="1:9" x14ac:dyDescent="0.25">
      <c r="A4" s="7">
        <f>_xlfn.STDEV.P(C4:C13)</f>
        <v>3.0291252862831474E-2</v>
      </c>
      <c r="C4">
        <f>AVERAGE(Tabela4[Conjunto1])</f>
        <v>2.0449999999999999</v>
      </c>
      <c r="E4" s="5">
        <v>2.0099999999999998</v>
      </c>
      <c r="H4" s="6">
        <v>1.72</v>
      </c>
    </row>
    <row r="5" spans="1:9" x14ac:dyDescent="0.25">
      <c r="C5">
        <f>AVERAGE(Tabela46[Conjunto2])</f>
        <v>2.0470000000000002</v>
      </c>
      <c r="E5" s="5">
        <v>1.64</v>
      </c>
      <c r="H5" s="5">
        <v>2.08</v>
      </c>
    </row>
    <row r="6" spans="1:9" x14ac:dyDescent="0.25">
      <c r="C6">
        <f>AVERAGE(Tabela47[Conjunto3])</f>
        <v>2.1049999999999995</v>
      </c>
      <c r="E6" s="5">
        <v>2.11</v>
      </c>
      <c r="F6" t="s">
        <v>10</v>
      </c>
      <c r="H6" s="5">
        <v>2.09</v>
      </c>
      <c r="I6" t="s">
        <v>10</v>
      </c>
    </row>
    <row r="7" spans="1:9" x14ac:dyDescent="0.25">
      <c r="C7">
        <f>AVERAGE(Tabela48[Conjunto4])</f>
        <v>2.0549999999999997</v>
      </c>
      <c r="E7" s="5">
        <v>1.93</v>
      </c>
      <c r="F7">
        <f>_xlfn.STDEV.P(Tabela4[Conjunto1])</f>
        <v>0.17721455922130105</v>
      </c>
      <c r="H7" s="5">
        <v>2.04</v>
      </c>
      <c r="I7">
        <f>_xlfn.STDEV.P(Tabela46[Conjunto2])</f>
        <v>0.13334541611919026</v>
      </c>
    </row>
    <row r="8" spans="1:9" x14ac:dyDescent="0.25">
      <c r="C8">
        <f>AVERAGE(Tabela49[Conjunto5])</f>
        <v>2.1040000000000001</v>
      </c>
      <c r="E8" s="5">
        <v>2</v>
      </c>
      <c r="H8" s="5">
        <v>1.96</v>
      </c>
    </row>
    <row r="9" spans="1:9" x14ac:dyDescent="0.25">
      <c r="C9">
        <f>AVERAGE(Tabela413[Conjunto6])</f>
        <v>2.1070000000000002</v>
      </c>
      <c r="E9" s="5">
        <v>2.29</v>
      </c>
      <c r="F9" t="s">
        <v>38</v>
      </c>
      <c r="H9" s="5">
        <v>1.96</v>
      </c>
      <c r="I9" t="s">
        <v>38</v>
      </c>
    </row>
    <row r="10" spans="1:9" x14ac:dyDescent="0.25">
      <c r="C10">
        <f>AVERAGE(Tabela414[Conjunto7])</f>
        <v>2.13</v>
      </c>
      <c r="E10" s="5">
        <v>2.2000000000000002</v>
      </c>
      <c r="F10">
        <f>F7/SQRT(10)</f>
        <v>5.6040164168210657E-2</v>
      </c>
      <c r="H10" s="5">
        <v>2.09</v>
      </c>
      <c r="I10">
        <f>I7/SQRT(10)</f>
        <v>4.2167523047957185E-2</v>
      </c>
    </row>
    <row r="11" spans="1:9" x14ac:dyDescent="0.25">
      <c r="C11">
        <f>AVERAGE(Tabela415[Conjunto8])</f>
        <v>2.0609999999999999</v>
      </c>
      <c r="E11" s="5">
        <v>1.95</v>
      </c>
      <c r="H11" s="5">
        <v>2.19</v>
      </c>
    </row>
    <row r="12" spans="1:9" x14ac:dyDescent="0.25">
      <c r="C12">
        <f>AVERAGE(Tabela416[Conjunto9])</f>
        <v>2.0520000000000005</v>
      </c>
      <c r="E12" s="5">
        <v>2.23</v>
      </c>
      <c r="H12" s="5">
        <v>2.1800000000000002</v>
      </c>
    </row>
    <row r="13" spans="1:9" x14ac:dyDescent="0.25">
      <c r="C13">
        <f>AVERAGE(Tabela417[Conjunto10])</f>
        <v>2.1059999999999999</v>
      </c>
      <c r="E13" s="5">
        <v>2.09</v>
      </c>
      <c r="H13" s="5">
        <v>2.16</v>
      </c>
    </row>
    <row r="15" spans="1:9" x14ac:dyDescent="0.25">
      <c r="E15" t="s">
        <v>30</v>
      </c>
      <c r="H15" t="s">
        <v>31</v>
      </c>
    </row>
    <row r="16" spans="1:9" x14ac:dyDescent="0.25">
      <c r="E16" s="5">
        <v>2.11</v>
      </c>
      <c r="H16" s="6">
        <v>1.69</v>
      </c>
    </row>
    <row r="17" spans="5:9" x14ac:dyDescent="0.25">
      <c r="E17" s="5">
        <v>2.06</v>
      </c>
      <c r="H17" s="5">
        <v>2.23</v>
      </c>
      <c r="I17" t="s">
        <v>10</v>
      </c>
    </row>
    <row r="18" spans="5:9" x14ac:dyDescent="0.25">
      <c r="E18" s="6">
        <v>2.09</v>
      </c>
      <c r="F18" t="s">
        <v>10</v>
      </c>
      <c r="H18" s="5">
        <v>2.13</v>
      </c>
      <c r="I18">
        <f>_xlfn.STDEV.P(Tabela48[Conjunto4])</f>
        <v>0.19586985475054605</v>
      </c>
    </row>
    <row r="19" spans="5:9" x14ac:dyDescent="0.25">
      <c r="E19" s="5">
        <v>2.16</v>
      </c>
      <c r="F19">
        <f>_xlfn.STDEV.P(Tabela47[Conjunto3])</f>
        <v>0.14974979131871932</v>
      </c>
      <c r="H19" s="5">
        <v>2.37</v>
      </c>
    </row>
    <row r="20" spans="5:9" x14ac:dyDescent="0.25">
      <c r="E20" s="5">
        <v>2.2599999999999998</v>
      </c>
      <c r="H20" s="5">
        <v>2.21</v>
      </c>
      <c r="I20" t="s">
        <v>38</v>
      </c>
    </row>
    <row r="21" spans="5:9" x14ac:dyDescent="0.25">
      <c r="E21" s="5">
        <v>2.27</v>
      </c>
      <c r="F21" t="s">
        <v>38</v>
      </c>
      <c r="H21" s="5">
        <v>2.02</v>
      </c>
      <c r="I21">
        <f>I18/SQRT(10)</f>
        <v>6.1939486597807708E-2</v>
      </c>
    </row>
    <row r="22" spans="5:9" x14ac:dyDescent="0.25">
      <c r="E22" s="5">
        <v>1.95</v>
      </c>
      <c r="F22">
        <f>F19/SQRT(10)</f>
        <v>4.7355041970206277E-2</v>
      </c>
      <c r="H22" s="5">
        <v>1.78</v>
      </c>
    </row>
    <row r="23" spans="5:9" x14ac:dyDescent="0.25">
      <c r="E23" s="5">
        <v>2.34</v>
      </c>
      <c r="H23" s="5">
        <v>1.97</v>
      </c>
    </row>
    <row r="24" spans="5:9" x14ac:dyDescent="0.25">
      <c r="E24" s="5">
        <v>1.84</v>
      </c>
      <c r="H24" s="5">
        <v>2.13</v>
      </c>
    </row>
    <row r="25" spans="5:9" x14ac:dyDescent="0.25">
      <c r="E25" s="5">
        <v>1.97</v>
      </c>
      <c r="H25" s="5">
        <v>2.02</v>
      </c>
    </row>
    <row r="27" spans="5:9" x14ac:dyDescent="0.25">
      <c r="E27" t="s">
        <v>32</v>
      </c>
      <c r="H27" t="s">
        <v>33</v>
      </c>
    </row>
    <row r="28" spans="5:9" x14ac:dyDescent="0.25">
      <c r="E28" s="5">
        <v>2.27</v>
      </c>
      <c r="H28" s="6">
        <v>2.14</v>
      </c>
      <c r="I28" t="s">
        <v>10</v>
      </c>
    </row>
    <row r="29" spans="5:9" x14ac:dyDescent="0.25">
      <c r="E29" s="5">
        <v>2.19</v>
      </c>
      <c r="H29" s="5">
        <v>2.12</v>
      </c>
      <c r="I29">
        <f>_xlfn.STDEV.P(Tabela413[Conjunto6])</f>
        <v>0.14276203977248289</v>
      </c>
    </row>
    <row r="30" spans="5:9" x14ac:dyDescent="0.25">
      <c r="E30" s="6">
        <v>2.13</v>
      </c>
      <c r="F30" t="s">
        <v>10</v>
      </c>
      <c r="H30" s="5">
        <v>2.04</v>
      </c>
    </row>
    <row r="31" spans="5:9" x14ac:dyDescent="0.25">
      <c r="E31" s="5">
        <v>2.1800000000000002</v>
      </c>
      <c r="F31">
        <f>_xlfn.STDEV.P(Tabela49[Conjunto5])</f>
        <v>0.10622617379911604</v>
      </c>
      <c r="H31" s="5">
        <v>2.0499999999999998</v>
      </c>
      <c r="I31" t="s">
        <v>38</v>
      </c>
    </row>
    <row r="32" spans="5:9" x14ac:dyDescent="0.25">
      <c r="E32" s="5">
        <v>2.16</v>
      </c>
      <c r="H32" s="5">
        <v>2.04</v>
      </c>
      <c r="I32">
        <f>I29/SQRT(10)</f>
        <v>4.5145320909259226E-2</v>
      </c>
    </row>
    <row r="33" spans="5:9" x14ac:dyDescent="0.25">
      <c r="E33" s="5">
        <v>1.94</v>
      </c>
      <c r="F33" t="s">
        <v>38</v>
      </c>
      <c r="H33" s="5">
        <v>2.34</v>
      </c>
    </row>
    <row r="34" spans="5:9" x14ac:dyDescent="0.25">
      <c r="E34" s="5">
        <v>2.0699999999999998</v>
      </c>
      <c r="F34">
        <f>F31/SQRT(10)</f>
        <v>3.3591665633010824E-2</v>
      </c>
      <c r="H34" s="5">
        <v>1.79</v>
      </c>
    </row>
    <row r="35" spans="5:9" x14ac:dyDescent="0.25">
      <c r="E35" s="5">
        <v>2.13</v>
      </c>
      <c r="H35" s="5">
        <v>2.2799999999999998</v>
      </c>
    </row>
    <row r="36" spans="5:9" x14ac:dyDescent="0.25">
      <c r="E36" s="5">
        <v>1.91</v>
      </c>
      <c r="H36" s="5">
        <v>2.09</v>
      </c>
    </row>
    <row r="37" spans="5:9" x14ac:dyDescent="0.25">
      <c r="E37" s="5">
        <v>2.06</v>
      </c>
      <c r="H37" s="5">
        <v>2.1800000000000002</v>
      </c>
    </row>
    <row r="39" spans="5:9" x14ac:dyDescent="0.25">
      <c r="E39" t="s">
        <v>34</v>
      </c>
      <c r="H39" t="s">
        <v>35</v>
      </c>
      <c r="I39" t="s">
        <v>10</v>
      </c>
    </row>
    <row r="40" spans="5:9" x14ac:dyDescent="0.25">
      <c r="E40" s="6">
        <v>1.99</v>
      </c>
      <c r="H40" s="6">
        <v>2.02</v>
      </c>
      <c r="I40">
        <f>_xlfn.STDEV.P(Tabela415[Conjunto8])</f>
        <v>0.1498966310495336</v>
      </c>
    </row>
    <row r="41" spans="5:9" x14ac:dyDescent="0.25">
      <c r="E41" s="5">
        <v>2.16</v>
      </c>
      <c r="H41" s="5">
        <v>2.0099999999999998</v>
      </c>
    </row>
    <row r="42" spans="5:9" x14ac:dyDescent="0.25">
      <c r="E42" s="6">
        <v>2.34</v>
      </c>
      <c r="F42" t="s">
        <v>10</v>
      </c>
      <c r="H42" s="5">
        <v>2.16</v>
      </c>
      <c r="I42" t="s">
        <v>38</v>
      </c>
    </row>
    <row r="43" spans="5:9" x14ac:dyDescent="0.25">
      <c r="E43" s="5">
        <v>2.16</v>
      </c>
      <c r="F43">
        <f>_xlfn.STDEV.P(Tabela414[Conjunto7])</f>
        <v>8.5673799962415573E-2</v>
      </c>
      <c r="H43" s="5">
        <v>2.16</v>
      </c>
      <c r="I43">
        <f>I40/SQRT(10)</f>
        <v>4.7401476770244193E-2</v>
      </c>
    </row>
    <row r="44" spans="5:9" x14ac:dyDescent="0.25">
      <c r="E44" s="5">
        <v>2.0699999999999998</v>
      </c>
      <c r="H44" s="5">
        <v>2.13</v>
      </c>
    </row>
    <row r="45" spans="5:9" x14ac:dyDescent="0.25">
      <c r="E45" s="5">
        <v>2.08</v>
      </c>
      <c r="F45" t="s">
        <v>38</v>
      </c>
      <c r="H45" s="5">
        <v>1.99</v>
      </c>
    </row>
    <row r="46" spans="5:9" x14ac:dyDescent="0.25">
      <c r="E46" s="6">
        <v>2.11</v>
      </c>
      <c r="F46">
        <f>F43/SQRT(10)</f>
        <v>2.7092434368288128E-2</v>
      </c>
      <c r="H46" s="5">
        <v>2.3199999999999998</v>
      </c>
    </row>
    <row r="47" spans="5:9" x14ac:dyDescent="0.25">
      <c r="E47" s="5">
        <v>2.11</v>
      </c>
      <c r="H47" s="5">
        <v>1.94</v>
      </c>
    </row>
    <row r="48" spans="5:9" x14ac:dyDescent="0.25">
      <c r="E48" s="6">
        <v>2.16</v>
      </c>
      <c r="H48" s="5">
        <v>2.14</v>
      </c>
    </row>
    <row r="49" spans="5:9" x14ac:dyDescent="0.25">
      <c r="E49" s="5">
        <v>2.12</v>
      </c>
      <c r="H49" s="5">
        <v>1.74</v>
      </c>
    </row>
    <row r="50" spans="5:9" x14ac:dyDescent="0.25">
      <c r="I50" t="s">
        <v>10</v>
      </c>
    </row>
    <row r="51" spans="5:9" x14ac:dyDescent="0.25">
      <c r="E51" t="s">
        <v>36</v>
      </c>
      <c r="H51" t="s">
        <v>37</v>
      </c>
      <c r="I51">
        <f>_xlfn.STDEV.P(Tabela417[Conjunto10])</f>
        <v>0.14540976583434834</v>
      </c>
    </row>
    <row r="52" spans="5:9" x14ac:dyDescent="0.25">
      <c r="E52">
        <v>1.93</v>
      </c>
      <c r="H52" s="5">
        <v>2.37</v>
      </c>
    </row>
    <row r="53" spans="5:9" x14ac:dyDescent="0.25">
      <c r="E53" s="5">
        <v>1.99</v>
      </c>
      <c r="H53" s="5">
        <v>2.08</v>
      </c>
      <c r="I53" t="s">
        <v>38</v>
      </c>
    </row>
    <row r="54" spans="5:9" x14ac:dyDescent="0.25">
      <c r="E54" s="6">
        <v>2.06</v>
      </c>
      <c r="F54" t="s">
        <v>10</v>
      </c>
      <c r="H54" s="5">
        <v>2.21</v>
      </c>
      <c r="I54">
        <f>I51/SQRT(10)</f>
        <v>4.5982605406827498E-2</v>
      </c>
    </row>
    <row r="55" spans="5:9" x14ac:dyDescent="0.25">
      <c r="E55" s="5">
        <v>1.9</v>
      </c>
      <c r="F55">
        <f>_xlfn.STDEV.P(Tabela416[Conjunto9])</f>
        <v>0.12959938271457935</v>
      </c>
      <c r="H55" s="5">
        <v>1.89</v>
      </c>
    </row>
    <row r="56" spans="5:9" x14ac:dyDescent="0.25">
      <c r="E56" s="6">
        <v>1.96</v>
      </c>
      <c r="H56" s="5">
        <v>2.11</v>
      </c>
    </row>
    <row r="57" spans="5:9" x14ac:dyDescent="0.25">
      <c r="E57" s="5">
        <v>2.08</v>
      </c>
      <c r="F57" t="s">
        <v>38</v>
      </c>
      <c r="H57" s="5">
        <v>1.98</v>
      </c>
    </row>
    <row r="58" spans="5:9" x14ac:dyDescent="0.25">
      <c r="E58" s="5">
        <v>2.17</v>
      </c>
      <c r="F58">
        <f>F55/SQRT(10)</f>
        <v>4.0982923272992626E-2</v>
      </c>
      <c r="H58" s="5">
        <v>1.93</v>
      </c>
    </row>
    <row r="59" spans="5:9" x14ac:dyDescent="0.25">
      <c r="E59" s="5">
        <v>2.0499999999999998</v>
      </c>
      <c r="H59" s="5">
        <v>2.04</v>
      </c>
    </row>
    <row r="60" spans="5:9" x14ac:dyDescent="0.25">
      <c r="E60" s="5">
        <v>2.37</v>
      </c>
      <c r="H60" s="5">
        <v>2.27</v>
      </c>
    </row>
    <row r="61" spans="5:9" x14ac:dyDescent="0.25">
      <c r="E61" s="5">
        <v>2.0099999999999998</v>
      </c>
      <c r="H61" s="5">
        <v>2.1800000000000002</v>
      </c>
    </row>
  </sheetData>
  <phoneticPr fontId="2" type="noConversion"/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992F-8E28-478E-A039-FCB6C3DD8E78}">
  <dimension ref="A1:H14"/>
  <sheetViews>
    <sheetView workbookViewId="0">
      <selection activeCell="H4" sqref="H4"/>
    </sheetView>
  </sheetViews>
  <sheetFormatPr defaultRowHeight="15" x14ac:dyDescent="0.25"/>
  <cols>
    <col min="2" max="2" width="10.28515625" customWidth="1"/>
    <col min="6" max="6" width="10.5703125" bestFit="1" customWidth="1"/>
  </cols>
  <sheetData>
    <row r="1" spans="1:8" x14ac:dyDescent="0.25">
      <c r="A1" t="s">
        <v>2</v>
      </c>
    </row>
    <row r="3" spans="1:8" x14ac:dyDescent="0.25">
      <c r="B3" t="s">
        <v>0</v>
      </c>
      <c r="D3" t="s">
        <v>0</v>
      </c>
    </row>
    <row r="4" spans="1:8" x14ac:dyDescent="0.25">
      <c r="B4" s="1">
        <v>20.63</v>
      </c>
      <c r="D4" s="1">
        <f>Tabela1B1[[#This Row],[Periodo]]/10</f>
        <v>2.0629999999999997</v>
      </c>
      <c r="F4" s="1">
        <f>AVERAGE(Tabela1B13[Periodo])</f>
        <v>2.0666363636363632</v>
      </c>
      <c r="H4" s="7">
        <f>_xlfn.STDEV.P(Tabela1B13[Periodo])/SQRT(COUNT(Tabela1B13[Periodo]))</f>
        <v>6.4785376465345667E-3</v>
      </c>
    </row>
    <row r="5" spans="1:8" x14ac:dyDescent="0.25">
      <c r="B5" s="1">
        <v>20.72</v>
      </c>
      <c r="D5" s="1">
        <f>Tabela1B1[[#This Row],[Periodo]]/10</f>
        <v>2.0720000000000001</v>
      </c>
    </row>
    <row r="6" spans="1:8" x14ac:dyDescent="0.25">
      <c r="B6" s="1">
        <v>20.27</v>
      </c>
      <c r="D6" s="1">
        <f>Tabela1B1[[#This Row],[Periodo]]/10</f>
        <v>2.0270000000000001</v>
      </c>
    </row>
    <row r="7" spans="1:8" x14ac:dyDescent="0.25">
      <c r="B7" s="1">
        <v>20.86</v>
      </c>
      <c r="D7" s="1">
        <f>Tabela1B1[[#This Row],[Periodo]]/10</f>
        <v>2.0859999999999999</v>
      </c>
    </row>
    <row r="8" spans="1:8" x14ac:dyDescent="0.25">
      <c r="B8" s="1">
        <v>20.92</v>
      </c>
      <c r="D8" s="1">
        <f>Tabela1B1[[#This Row],[Periodo]]/10</f>
        <v>2.0920000000000001</v>
      </c>
    </row>
    <row r="9" spans="1:8" x14ac:dyDescent="0.25">
      <c r="B9" s="1">
        <v>20.46</v>
      </c>
      <c r="D9" s="1">
        <f>Tabela1B1[[#This Row],[Periodo]]/10</f>
        <v>2.0460000000000003</v>
      </c>
    </row>
    <row r="10" spans="1:8" x14ac:dyDescent="0.25">
      <c r="B10" s="1">
        <v>20.8</v>
      </c>
      <c r="D10" s="1">
        <f>Tabela1B1[[#This Row],[Periodo]]/10</f>
        <v>2.08</v>
      </c>
    </row>
    <row r="11" spans="1:8" x14ac:dyDescent="0.25">
      <c r="B11" s="1">
        <v>20.36</v>
      </c>
      <c r="D11" s="1">
        <f>Tabela1B1[[#This Row],[Periodo]]/10</f>
        <v>2.036</v>
      </c>
    </row>
    <row r="12" spans="1:8" x14ac:dyDescent="0.25">
      <c r="B12" s="1">
        <v>20.96</v>
      </c>
      <c r="D12" s="1">
        <f>Tabela1B1[[#This Row],[Periodo]]/10</f>
        <v>2.0960000000000001</v>
      </c>
    </row>
    <row r="13" spans="1:8" x14ac:dyDescent="0.25">
      <c r="B13" s="1">
        <v>20.72</v>
      </c>
      <c r="D13" s="1">
        <f>Tabela1B1[[#This Row],[Periodo]]/10</f>
        <v>2.0720000000000001</v>
      </c>
    </row>
    <row r="14" spans="1:8" x14ac:dyDescent="0.25">
      <c r="B14" s="1">
        <v>20.63</v>
      </c>
      <c r="D14" s="1">
        <f>Tabela1B1[[#This Row],[Periodo]]/10</f>
        <v>2.0629999999999997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1B889-A7B2-48E4-B641-83AA5989886C}">
  <dimension ref="B2:M13"/>
  <sheetViews>
    <sheetView workbookViewId="0">
      <selection activeCell="M9" sqref="M9"/>
    </sheetView>
  </sheetViews>
  <sheetFormatPr defaultRowHeight="15" x14ac:dyDescent="0.25"/>
  <cols>
    <col min="2" max="2" width="10.28515625" customWidth="1"/>
    <col min="4" max="4" width="10.85546875" customWidth="1"/>
    <col min="6" max="6" width="10.42578125" bestFit="1" customWidth="1"/>
  </cols>
  <sheetData>
    <row r="2" spans="2:13" x14ac:dyDescent="0.25">
      <c r="B2" t="s">
        <v>6</v>
      </c>
      <c r="E2" t="s">
        <v>7</v>
      </c>
      <c r="J2" t="s">
        <v>8</v>
      </c>
    </row>
    <row r="3" spans="2:13" x14ac:dyDescent="0.25">
      <c r="B3" s="1">
        <v>1.58</v>
      </c>
      <c r="E3" s="2">
        <v>5.0000000000000001E-4</v>
      </c>
      <c r="J3" s="3">
        <f>E3/B3</f>
        <v>3.1645569620253165E-4</v>
      </c>
    </row>
    <row r="4" spans="2:13" x14ac:dyDescent="0.25">
      <c r="M4">
        <f>SQRT(((16*PI()^4)/(B11^4))*((((4*1.1^2)/(B11))*(5*10^-5)^2)+(E3^2)))</f>
        <v>4.5678936787155828E-3</v>
      </c>
    </row>
    <row r="6" spans="2:13" x14ac:dyDescent="0.25">
      <c r="M6">
        <f>M4/9.94</f>
        <v>4.5954664775810694E-4</v>
      </c>
    </row>
    <row r="8" spans="2:13" x14ac:dyDescent="0.25">
      <c r="B8" t="s">
        <v>3</v>
      </c>
      <c r="D8" t="s">
        <v>4</v>
      </c>
      <c r="F8" t="s">
        <v>5</v>
      </c>
      <c r="M8">
        <f>M6*100</f>
        <v>4.5954664775810693E-2</v>
      </c>
    </row>
    <row r="9" spans="2:13" x14ac:dyDescent="0.25">
      <c r="B9">
        <v>418.14</v>
      </c>
      <c r="D9">
        <v>421.96</v>
      </c>
      <c r="F9">
        <v>419.88</v>
      </c>
    </row>
    <row r="11" spans="2:13" x14ac:dyDescent="0.25">
      <c r="B11" s="1">
        <f>B9/200</f>
        <v>2.0907</v>
      </c>
      <c r="D11" s="1">
        <f>D9/200</f>
        <v>2.1097999999999999</v>
      </c>
      <c r="F11" s="1">
        <f>F9/200</f>
        <v>2.0994000000000002</v>
      </c>
    </row>
    <row r="13" spans="2:13" x14ac:dyDescent="0.25">
      <c r="H13">
        <f>1.1*4*(PI()^2)</f>
        <v>43.426259364793175</v>
      </c>
      <c r="J13">
        <f>H13/(F11^2)</f>
        <v>9.8528537435826866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</vt:i4>
      </vt:variant>
    </vt:vector>
  </HeadingPairs>
  <TitlesOfParts>
    <vt:vector size="5" baseType="lpstr">
      <vt:lpstr>Parte 1-A</vt:lpstr>
      <vt:lpstr>Parte 1-A(2)</vt:lpstr>
      <vt:lpstr>Parte 1-B</vt:lpstr>
      <vt:lpstr>Parte 2</vt:lpstr>
      <vt:lpstr>Tabela1A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Godinho</dc:creator>
  <cp:lastModifiedBy>Miguel Godinho</cp:lastModifiedBy>
  <dcterms:created xsi:type="dcterms:W3CDTF">2015-06-05T18:17:20Z</dcterms:created>
  <dcterms:modified xsi:type="dcterms:W3CDTF">2019-10-08T01:15:48Z</dcterms:modified>
</cp:coreProperties>
</file>