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ortatil Lenovo\Desktop\Universidade\2º ano\1º semestre\Lab mec newt\"/>
    </mc:Choice>
  </mc:AlternateContent>
  <xr:revisionPtr revIDLastSave="0" documentId="13_ncr:1_{F2B93B8B-AA51-4BBB-B8CE-B891B67F0BA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Velocidade" sheetId="1" r:id="rId1"/>
    <sheet name="Projeção 30º" sheetId="2" r:id="rId2"/>
    <sheet name="Projeção 45º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0" i="2" l="1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J11" i="2"/>
  <c r="B9" i="1"/>
  <c r="L30" i="4" l="1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K11" i="4"/>
  <c r="E78" i="4"/>
  <c r="E77" i="4"/>
  <c r="E76" i="4"/>
  <c r="E75" i="4"/>
  <c r="B78" i="4"/>
  <c r="B77" i="4"/>
  <c r="B76" i="4"/>
  <c r="B75" i="4"/>
  <c r="E71" i="4"/>
  <c r="E70" i="4"/>
  <c r="E69" i="4"/>
  <c r="E68" i="4"/>
  <c r="B71" i="4"/>
  <c r="B70" i="4"/>
  <c r="B69" i="4"/>
  <c r="B68" i="4"/>
  <c r="E64" i="4"/>
  <c r="E63" i="4"/>
  <c r="E62" i="4"/>
  <c r="E61" i="4"/>
  <c r="B64" i="4"/>
  <c r="B63" i="4"/>
  <c r="B62" i="4"/>
  <c r="B61" i="4"/>
  <c r="E57" i="4"/>
  <c r="E56" i="4"/>
  <c r="E55" i="4"/>
  <c r="E54" i="4"/>
  <c r="B57" i="4"/>
  <c r="B56" i="4"/>
  <c r="B55" i="4"/>
  <c r="B54" i="4"/>
  <c r="E50" i="4"/>
  <c r="E49" i="4"/>
  <c r="E48" i="4"/>
  <c r="E47" i="4"/>
  <c r="B50" i="4"/>
  <c r="B49" i="4"/>
  <c r="B48" i="4"/>
  <c r="B47" i="4"/>
  <c r="E43" i="4"/>
  <c r="E42" i="4"/>
  <c r="E41" i="4"/>
  <c r="E40" i="4"/>
  <c r="B43" i="4"/>
  <c r="B42" i="4"/>
  <c r="B41" i="4"/>
  <c r="B40" i="4"/>
  <c r="E36" i="4"/>
  <c r="E35" i="4"/>
  <c r="E34" i="4"/>
  <c r="E33" i="4"/>
  <c r="B36" i="4"/>
  <c r="B35" i="4"/>
  <c r="B34" i="4"/>
  <c r="B33" i="4"/>
  <c r="E29" i="4"/>
  <c r="E28" i="4"/>
  <c r="E27" i="4"/>
  <c r="E26" i="4"/>
  <c r="B29" i="4"/>
  <c r="B28" i="4"/>
  <c r="B27" i="4"/>
  <c r="B26" i="4"/>
  <c r="E22" i="4"/>
  <c r="E21" i="4"/>
  <c r="E20" i="4"/>
  <c r="E19" i="4"/>
  <c r="B22" i="4"/>
  <c r="B21" i="4"/>
  <c r="B20" i="4"/>
  <c r="B19" i="4"/>
  <c r="E15" i="4"/>
  <c r="E14" i="4"/>
  <c r="E13" i="4"/>
  <c r="E12" i="4"/>
  <c r="B15" i="4"/>
  <c r="B14" i="4"/>
  <c r="B13" i="4"/>
  <c r="B12" i="4"/>
  <c r="A40" i="2"/>
  <c r="K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D78" i="2"/>
  <c r="D77" i="2"/>
  <c r="D76" i="2"/>
  <c r="D75" i="2"/>
  <c r="D71" i="2"/>
  <c r="D70" i="2"/>
  <c r="D69" i="2"/>
  <c r="D68" i="2"/>
  <c r="D64" i="2"/>
  <c r="D63" i="2"/>
  <c r="D62" i="2"/>
  <c r="D61" i="2"/>
  <c r="D57" i="2"/>
  <c r="D56" i="2"/>
  <c r="D55" i="2"/>
  <c r="D54" i="2"/>
  <c r="D50" i="2"/>
  <c r="D49" i="2"/>
  <c r="D48" i="2"/>
  <c r="D47" i="2"/>
  <c r="D43" i="2"/>
  <c r="D42" i="2"/>
  <c r="D41" i="2"/>
  <c r="D40" i="2"/>
  <c r="D36" i="2"/>
  <c r="D35" i="2"/>
  <c r="D34" i="2"/>
  <c r="D33" i="2"/>
  <c r="D29" i="2"/>
  <c r="D28" i="2"/>
  <c r="D27" i="2"/>
  <c r="D26" i="2"/>
  <c r="A78" i="2"/>
  <c r="A77" i="2"/>
  <c r="A76" i="2"/>
  <c r="A75" i="2"/>
  <c r="A71" i="2"/>
  <c r="A70" i="2"/>
  <c r="A69" i="2"/>
  <c r="A68" i="2"/>
  <c r="A64" i="2"/>
  <c r="A63" i="2"/>
  <c r="A62" i="2"/>
  <c r="A61" i="2"/>
  <c r="A57" i="2"/>
  <c r="A56" i="2"/>
  <c r="A55" i="2"/>
  <c r="A54" i="2"/>
  <c r="A50" i="2"/>
  <c r="A49" i="2"/>
  <c r="A48" i="2"/>
  <c r="A47" i="2"/>
  <c r="A43" i="2"/>
  <c r="A42" i="2"/>
  <c r="A41" i="2"/>
  <c r="A36" i="2"/>
  <c r="A35" i="2"/>
  <c r="A34" i="2"/>
  <c r="A33" i="2"/>
  <c r="A29" i="2"/>
  <c r="A28" i="2"/>
  <c r="A27" i="2"/>
  <c r="A26" i="2"/>
  <c r="D22" i="2"/>
  <c r="D21" i="2"/>
  <c r="D20" i="2"/>
  <c r="D19" i="2"/>
  <c r="A22" i="2"/>
  <c r="A21" i="2"/>
  <c r="A20" i="2"/>
  <c r="A19" i="2"/>
  <c r="D15" i="2"/>
  <c r="D14" i="2"/>
  <c r="D13" i="2"/>
  <c r="D12" i="2"/>
  <c r="A15" i="2"/>
  <c r="A14" i="2"/>
  <c r="A13" i="2"/>
  <c r="A12" i="2"/>
  <c r="G3" i="1" l="1"/>
  <c r="G4" i="1"/>
  <c r="G5" i="1"/>
  <c r="G6" i="1"/>
  <c r="G7" i="1"/>
  <c r="G8" i="1"/>
  <c r="G9" i="1"/>
  <c r="G10" i="1"/>
  <c r="G11" i="1"/>
  <c r="G12" i="1"/>
  <c r="J30" i="4" l="1"/>
  <c r="I30" i="4"/>
  <c r="J29" i="4"/>
  <c r="I29" i="4"/>
  <c r="J28" i="4"/>
  <c r="I28" i="4"/>
  <c r="J27" i="4"/>
  <c r="I27" i="4"/>
  <c r="J26" i="4"/>
  <c r="I26" i="4"/>
  <c r="J25" i="4"/>
  <c r="I25" i="4"/>
  <c r="J24" i="4"/>
  <c r="I24" i="4"/>
  <c r="J23" i="4"/>
  <c r="I23" i="4"/>
  <c r="J22" i="4"/>
  <c r="I22" i="4"/>
  <c r="J21" i="4"/>
  <c r="I21" i="4"/>
  <c r="J20" i="4"/>
  <c r="I20" i="4"/>
  <c r="J19" i="4"/>
  <c r="I19" i="4"/>
  <c r="J18" i="4"/>
  <c r="I18" i="4"/>
  <c r="J17" i="4"/>
  <c r="I17" i="4"/>
  <c r="J16" i="4"/>
  <c r="I16" i="4"/>
  <c r="J15" i="4"/>
  <c r="I15" i="4"/>
  <c r="J14" i="4"/>
  <c r="I14" i="4"/>
  <c r="J13" i="4"/>
  <c r="I13" i="4"/>
  <c r="J12" i="4"/>
  <c r="I12" i="4"/>
  <c r="J11" i="4"/>
  <c r="I11" i="4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F3" i="1" l="1"/>
  <c r="F4" i="1"/>
  <c r="F5" i="1"/>
  <c r="F6" i="1"/>
  <c r="F7" i="1"/>
  <c r="F8" i="1"/>
  <c r="F9" i="1"/>
  <c r="F10" i="1"/>
  <c r="F11" i="1"/>
  <c r="F12" i="1"/>
  <c r="B7" i="1" l="1"/>
</calcChain>
</file>

<file path=xl/sharedStrings.xml><?xml version="1.0" encoding="utf-8"?>
<sst xmlns="http://schemas.openxmlformats.org/spreadsheetml/2006/main" count="147" uniqueCount="44">
  <si>
    <t>Incerteza do Tempo</t>
  </si>
  <si>
    <t>Diâmetro(m)</t>
  </si>
  <si>
    <t>Tempo(s)</t>
  </si>
  <si>
    <t>Velocidade Média (ms^-1)</t>
  </si>
  <si>
    <t>Ponto 1</t>
  </si>
  <si>
    <t>Ponto 2</t>
  </si>
  <si>
    <t>Ponto 3</t>
  </si>
  <si>
    <t>Ponto 4</t>
  </si>
  <si>
    <t>Ponto 5</t>
  </si>
  <si>
    <t>Ponto 6</t>
  </si>
  <si>
    <t>Ponto 7</t>
  </si>
  <si>
    <t>Ponto 8</t>
  </si>
  <si>
    <t>Ponto 9</t>
  </si>
  <si>
    <t>Ponto 10</t>
  </si>
  <si>
    <t>x (m)</t>
  </si>
  <si>
    <t>y (m)</t>
  </si>
  <si>
    <t>Ponto</t>
  </si>
  <si>
    <t>Média de x(m)</t>
  </si>
  <si>
    <t>Média de y (m)</t>
  </si>
  <si>
    <t>Ponto 11</t>
  </si>
  <si>
    <t>Ponto 12</t>
  </si>
  <si>
    <t>Ponto 13</t>
  </si>
  <si>
    <t>Ponto 14</t>
  </si>
  <si>
    <t>Ponto 15</t>
  </si>
  <si>
    <t>Ponto 16</t>
  </si>
  <si>
    <t>Ponto 17</t>
  </si>
  <si>
    <t>Ponto 18</t>
  </si>
  <si>
    <t>Ponto 19</t>
  </si>
  <si>
    <t>Ponto 20</t>
  </si>
  <si>
    <t>y0(m)</t>
  </si>
  <si>
    <t>x0 (m)</t>
  </si>
  <si>
    <t>y0 (m)</t>
  </si>
  <si>
    <t>Incerteza da Velocidade (m s^-1)</t>
  </si>
  <si>
    <t>Velocidade (m s^-1)</t>
  </si>
  <si>
    <t>Incerteza da Velocidade Média (ms^-1)</t>
  </si>
  <si>
    <t>Ângulo (em Graus)</t>
  </si>
  <si>
    <t>Incerteza do ângulo (em Graus)</t>
  </si>
  <si>
    <t>Incerteza de x e y (m)</t>
  </si>
  <si>
    <t>Incerteza da Média de x (m)</t>
  </si>
  <si>
    <t>Incerteza da Média de y (m)</t>
  </si>
  <si>
    <t>Incerteza do Ângulo (Em Graus)</t>
  </si>
  <si>
    <t>Ângulo (Em Graus)</t>
  </si>
  <si>
    <t>Média de x (m)</t>
  </si>
  <si>
    <t>Incerteza de das medidas de x e 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</si>
</sst>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0.000E+00"/>
    <numFmt numFmtId="168" formatCode="0.0000"/>
    <numFmt numFmtId="171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2" fontId="0" fillId="3" borderId="1" xfId="0" applyNumberFormat="1" applyFon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164" fontId="0" fillId="3" borderId="1" xfId="0" applyNumberFormat="1" applyFont="1" applyFill="1" applyBorder="1"/>
    <xf numFmtId="165" fontId="0" fillId="3" borderId="1" xfId="0" applyNumberFormat="1" applyFont="1" applyFill="1" applyBorder="1"/>
    <xf numFmtId="0" fontId="4" fillId="4" borderId="0" xfId="2"/>
    <xf numFmtId="166" fontId="0" fillId="0" borderId="0" xfId="0" applyNumberFormat="1"/>
    <xf numFmtId="166" fontId="2" fillId="5" borderId="0" xfId="3" applyNumberFormat="1"/>
    <xf numFmtId="164" fontId="0" fillId="0" borderId="0" xfId="1" applyNumberFormat="1" applyFont="1"/>
    <xf numFmtId="166" fontId="0" fillId="3" borderId="1" xfId="0" applyNumberFormat="1" applyFont="1" applyFill="1" applyBorder="1"/>
    <xf numFmtId="0" fontId="1" fillId="2" borderId="0" xfId="0" applyFont="1" applyFill="1" applyBorder="1" applyAlignment="1">
      <alignment horizontal="center"/>
    </xf>
    <xf numFmtId="168" fontId="0" fillId="3" borderId="1" xfId="0" applyNumberFormat="1" applyFont="1" applyFill="1" applyBorder="1"/>
    <xf numFmtId="2" fontId="0" fillId="0" borderId="0" xfId="0" applyNumberFormat="1"/>
    <xf numFmtId="168" fontId="0" fillId="0" borderId="0" xfId="0" applyNumberFormat="1"/>
    <xf numFmtId="11" fontId="0" fillId="0" borderId="0" xfId="0" applyNumberFormat="1"/>
    <xf numFmtId="171" fontId="0" fillId="0" borderId="0" xfId="0" applyNumberFormat="1"/>
  </cellXfs>
  <cellStyles count="4">
    <cellStyle name="20% - Cor1" xfId="3" builtinId="30"/>
    <cellStyle name="Cor1" xfId="2" builtinId="29"/>
    <cellStyle name="Normal" xfId="0" builtinId="0"/>
    <cellStyle name="Vírgula" xfId="1" builtinId="3"/>
  </cellStyles>
  <dxfs count="133">
    <dxf>
      <numFmt numFmtId="171" formatCode="0.0000000"/>
    </dxf>
    <dxf>
      <numFmt numFmtId="171" formatCode="0.0000000"/>
    </dxf>
    <dxf>
      <numFmt numFmtId="164" formatCode="0.000"/>
    </dxf>
    <dxf>
      <numFmt numFmtId="15" formatCode="0.00E+00"/>
    </dxf>
    <dxf>
      <numFmt numFmtId="2" formatCode="0.00"/>
    </dxf>
    <dxf>
      <numFmt numFmtId="168" formatCode="0.0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6" formatCode="0.000E+00"/>
    </dxf>
    <dxf>
      <numFmt numFmtId="166" formatCode="0.000E+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center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6" formatCode="0.0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.26300000000000001"/>
            <c:dispRSqr val="0"/>
            <c:dispEq val="1"/>
            <c:trendlineLbl>
              <c:layout>
                <c:manualLayout>
                  <c:x val="-5.8937160941904695E-2"/>
                  <c:y val="-0.625300965193652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-0,745x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+ 0,7157 x + 0,263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'Projeção 30º'!$H$11:$H$31</c:f>
              <c:numCache>
                <c:formatCode>0.000</c:formatCode>
                <c:ptCount val="21"/>
                <c:pt idx="0">
                  <c:v>1.234</c:v>
                </c:pt>
                <c:pt idx="1">
                  <c:v>1.19</c:v>
                </c:pt>
                <c:pt idx="2">
                  <c:v>1.1399999999999999</c:v>
                </c:pt>
                <c:pt idx="3">
                  <c:v>1.0899999999999999</c:v>
                </c:pt>
                <c:pt idx="4">
                  <c:v>1.0399999999999998</c:v>
                </c:pt>
                <c:pt idx="5">
                  <c:v>0.9900000000000001</c:v>
                </c:pt>
                <c:pt idx="6">
                  <c:v>0.94000000000000006</c:v>
                </c:pt>
                <c:pt idx="7">
                  <c:v>0.89</c:v>
                </c:pt>
                <c:pt idx="8">
                  <c:v>0.84</c:v>
                </c:pt>
                <c:pt idx="9">
                  <c:v>0.79</c:v>
                </c:pt>
                <c:pt idx="10">
                  <c:v>0.74</c:v>
                </c:pt>
                <c:pt idx="11">
                  <c:v>0.69000000000000006</c:v>
                </c:pt>
                <c:pt idx="12">
                  <c:v>0.64</c:v>
                </c:pt>
                <c:pt idx="13">
                  <c:v>0.59</c:v>
                </c:pt>
                <c:pt idx="14">
                  <c:v>0.54</c:v>
                </c:pt>
                <c:pt idx="15">
                  <c:v>0.49</c:v>
                </c:pt>
                <c:pt idx="16">
                  <c:v>0.44000000000000006</c:v>
                </c:pt>
                <c:pt idx="17">
                  <c:v>0.39</c:v>
                </c:pt>
                <c:pt idx="18">
                  <c:v>0.34</c:v>
                </c:pt>
                <c:pt idx="19">
                  <c:v>0.29000000000000004</c:v>
                </c:pt>
                <c:pt idx="20">
                  <c:v>0</c:v>
                </c:pt>
              </c:numCache>
            </c:numRef>
          </c:xVal>
          <c:yVal>
            <c:numRef>
              <c:f>'Projeção 30º'!$I$11:$I$31</c:f>
              <c:numCache>
                <c:formatCode>0.000</c:formatCode>
                <c:ptCount val="21"/>
                <c:pt idx="0">
                  <c:v>0</c:v>
                </c:pt>
                <c:pt idx="1">
                  <c:v>6.9750000000000006E-2</c:v>
                </c:pt>
                <c:pt idx="2">
                  <c:v>0.11674999999999999</c:v>
                </c:pt>
                <c:pt idx="3">
                  <c:v>0.16200000000000001</c:v>
                </c:pt>
                <c:pt idx="4">
                  <c:v>0.20224999999999999</c:v>
                </c:pt>
                <c:pt idx="5">
                  <c:v>0.24149999999999999</c:v>
                </c:pt>
                <c:pt idx="6">
                  <c:v>0.27575000000000005</c:v>
                </c:pt>
                <c:pt idx="7">
                  <c:v>0.307</c:v>
                </c:pt>
                <c:pt idx="8">
                  <c:v>0.33424999999999999</c:v>
                </c:pt>
                <c:pt idx="9">
                  <c:v>0.35949999999999999</c:v>
                </c:pt>
                <c:pt idx="10">
                  <c:v>0.38300000000000001</c:v>
                </c:pt>
                <c:pt idx="11">
                  <c:v>0.4</c:v>
                </c:pt>
                <c:pt idx="12">
                  <c:v>0.41474999999999995</c:v>
                </c:pt>
                <c:pt idx="13">
                  <c:v>0.42374999999999996</c:v>
                </c:pt>
                <c:pt idx="14">
                  <c:v>0.43099999999999999</c:v>
                </c:pt>
                <c:pt idx="15">
                  <c:v>0.4355</c:v>
                </c:pt>
                <c:pt idx="16">
                  <c:v>0.43575000000000003</c:v>
                </c:pt>
                <c:pt idx="17">
                  <c:v>0.432</c:v>
                </c:pt>
                <c:pt idx="18">
                  <c:v>0.42849999999999999</c:v>
                </c:pt>
                <c:pt idx="19">
                  <c:v>0.41</c:v>
                </c:pt>
                <c:pt idx="20">
                  <c:v>0.26300000000000001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D-44FA-879B-97BA8696A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968952"/>
        <c:axId val="569975672"/>
      </c:scatterChart>
      <c:valAx>
        <c:axId val="569968952"/>
        <c:scaling>
          <c:orientation val="minMax"/>
          <c:max val="1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9975672"/>
        <c:crosses val="autoZero"/>
        <c:crossBetween val="midCat"/>
      </c:valAx>
      <c:valAx>
        <c:axId val="56997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9968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.26700000000000002"/>
            <c:dispRSqr val="0"/>
            <c:dispEq val="1"/>
            <c:trendlineLbl>
              <c:layout>
                <c:manualLayout>
                  <c:x val="0.11882514191078056"/>
                  <c:y val="-0.519813228986169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'Projeção 45º'!$I$11:$I$31</c:f>
              <c:numCache>
                <c:formatCode>0.000</c:formatCode>
                <c:ptCount val="21"/>
                <c:pt idx="0">
                  <c:v>1.1905000000000001</c:v>
                </c:pt>
                <c:pt idx="1">
                  <c:v>1.1179999999999999</c:v>
                </c:pt>
                <c:pt idx="2">
                  <c:v>1.0679999999999998</c:v>
                </c:pt>
                <c:pt idx="3">
                  <c:v>1.018</c:v>
                </c:pt>
                <c:pt idx="4">
                  <c:v>0.96800000000000008</c:v>
                </c:pt>
                <c:pt idx="5">
                  <c:v>0.91800000000000004</c:v>
                </c:pt>
                <c:pt idx="6">
                  <c:v>0.86799999999999999</c:v>
                </c:pt>
                <c:pt idx="7">
                  <c:v>0.81800000000000006</c:v>
                </c:pt>
                <c:pt idx="8">
                  <c:v>0.76800000000000002</c:v>
                </c:pt>
                <c:pt idx="9">
                  <c:v>0.71800000000000008</c:v>
                </c:pt>
                <c:pt idx="10">
                  <c:v>0.66800000000000004</c:v>
                </c:pt>
                <c:pt idx="11">
                  <c:v>0.61799999999999999</c:v>
                </c:pt>
                <c:pt idx="12">
                  <c:v>0.56800000000000006</c:v>
                </c:pt>
                <c:pt idx="13">
                  <c:v>0.51800000000000002</c:v>
                </c:pt>
                <c:pt idx="14">
                  <c:v>0.46800000000000003</c:v>
                </c:pt>
                <c:pt idx="15">
                  <c:v>0.41799999999999998</c:v>
                </c:pt>
                <c:pt idx="16">
                  <c:v>0.36799999999999999</c:v>
                </c:pt>
                <c:pt idx="17">
                  <c:v>0.318</c:v>
                </c:pt>
                <c:pt idx="18">
                  <c:v>0.26799999999999996</c:v>
                </c:pt>
                <c:pt idx="19">
                  <c:v>0.21799999999999997</c:v>
                </c:pt>
                <c:pt idx="20">
                  <c:v>0</c:v>
                </c:pt>
              </c:numCache>
            </c:numRef>
          </c:xVal>
          <c:yVal>
            <c:numRef>
              <c:f>'Projeção 45º'!$J$11:$J$31</c:f>
              <c:numCache>
                <c:formatCode>0.000</c:formatCode>
                <c:ptCount val="21"/>
                <c:pt idx="0">
                  <c:v>0</c:v>
                </c:pt>
                <c:pt idx="1">
                  <c:v>0.12025</c:v>
                </c:pt>
                <c:pt idx="2">
                  <c:v>0.20474999999999999</c:v>
                </c:pt>
                <c:pt idx="3">
                  <c:v>0.33500000000000002</c:v>
                </c:pt>
                <c:pt idx="4">
                  <c:v>0.38600000000000001</c:v>
                </c:pt>
                <c:pt idx="5">
                  <c:v>0.4365</c:v>
                </c:pt>
                <c:pt idx="6">
                  <c:v>0.47899999999999998</c:v>
                </c:pt>
                <c:pt idx="7">
                  <c:v>0.51700000000000002</c:v>
                </c:pt>
                <c:pt idx="8">
                  <c:v>0.55200000000000005</c:v>
                </c:pt>
                <c:pt idx="9">
                  <c:v>0.59150000000000003</c:v>
                </c:pt>
                <c:pt idx="10">
                  <c:v>0.60150000000000003</c:v>
                </c:pt>
                <c:pt idx="11">
                  <c:v>0.57324999999999993</c:v>
                </c:pt>
                <c:pt idx="12">
                  <c:v>0.57399999999999995</c:v>
                </c:pt>
                <c:pt idx="13">
                  <c:v>0.56524999999999992</c:v>
                </c:pt>
                <c:pt idx="14">
                  <c:v>0.53425000000000011</c:v>
                </c:pt>
                <c:pt idx="15">
                  <c:v>0.50049999999999994</c:v>
                </c:pt>
                <c:pt idx="16">
                  <c:v>0.46250000000000002</c:v>
                </c:pt>
                <c:pt idx="17">
                  <c:v>0.42199999999999999</c:v>
                </c:pt>
                <c:pt idx="18">
                  <c:v>0.42849999999999999</c:v>
                </c:pt>
                <c:pt idx="19">
                  <c:v>0.41</c:v>
                </c:pt>
                <c:pt idx="20">
                  <c:v>0.26700000000000002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1-4B28-97C1-AC842F9E1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25944"/>
        <c:axId val="631127224"/>
      </c:scatterChart>
      <c:valAx>
        <c:axId val="631125944"/>
        <c:scaling>
          <c:orientation val="minMax"/>
          <c:max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1127224"/>
        <c:crosses val="autoZero"/>
        <c:crossBetween val="midCat"/>
      </c:valAx>
      <c:valAx>
        <c:axId val="63112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1125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379762</xdr:colOff>
      <xdr:row>9</xdr:row>
      <xdr:rowOff>50965</xdr:rowOff>
    </xdr:from>
    <xdr:to>
      <xdr:col>17</xdr:col>
      <xdr:colOff>176892</xdr:colOff>
      <xdr:row>24</xdr:row>
      <xdr:rowOff>10886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7DB608-FB1D-4257-B5B5-5F9AA3E78C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983373</xdr:colOff>
      <xdr:row>1</xdr:row>
      <xdr:rowOff>134329</xdr:rowOff>
    </xdr:from>
    <xdr:to>
      <xdr:col>20</xdr:col>
      <xdr:colOff>596081</xdr:colOff>
      <xdr:row>16</xdr:row>
      <xdr:rowOff>112207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05024F-57DF-4AC2-8588-FA9CF57DA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583FD3-B4CF-43CF-86C5-6EBE48B84AD0}" name="Tabela3" displayName="Tabela3" ref="E2:G12" totalsRowShown="0" dataDxfId="132">
  <autoFilter ref="E2:G12" xr:uid="{8FBF8B0F-3F5F-4D21-8CE2-4C1F241954BC}"/>
  <tableColumns count="3">
    <tableColumn id="1" xr3:uid="{B31611C2-4407-4A81-87BC-EF5B702DF07A}" name="Tempo(s)" dataDxfId="3"/>
    <tableColumn id="2" xr3:uid="{47EF52D4-2749-4317-93FE-6EE0F41D3F1F}" name="Velocidade (m s^-1)" dataDxfId="4">
      <calculatedColumnFormula>$B$3/Tabela3[[#This Row],[Tempo(s)]]</calculatedColumnFormula>
    </tableColumn>
    <tableColumn id="3" xr3:uid="{EC04715D-820C-4503-BD2C-C538F7163F1C}" name="Incerteza da Velocidade (m s^-1)" dataDxfId="5">
      <calculatedColumnFormula>(Tabela3[[#This Row],[Velocidade (m s^-1)]]/Tabela3[[#This Row],[Tempo(s)]])*0.0001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33402A-C78B-4C64-912D-BC3BBD43EA82}" name="Tabela7" displayName="Tabela7" ref="A11:B15" totalsRowShown="0" dataDxfId="131">
  <autoFilter ref="A11:B15" xr:uid="{9A453A7A-1A88-481C-B628-9AD34BE661B5}"/>
  <tableColumns count="2">
    <tableColumn id="1" xr3:uid="{128589C2-715A-4F3C-AA37-5512337B0B6F}" name="x (m)" dataDxfId="130"/>
    <tableColumn id="2" xr3:uid="{0ECC910A-787A-45A2-92C9-052A5FB09EAE}" name="y (m)" dataDxfId="1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929848-C36B-4BBB-89C3-70066BFC42FF}" name="Tabela8" displayName="Tabela8" ref="G10:K31" totalsRowShown="0">
  <autoFilter ref="G10:K31" xr:uid="{7D416E9B-438B-464B-872C-28CB71223412}"/>
  <tableColumns count="5">
    <tableColumn id="1" xr3:uid="{16927804-84E1-4EB0-AF30-9A4BC5C1FAC9}" name="Ponto" dataDxfId="128"/>
    <tableColumn id="2" xr3:uid="{655DF760-5876-4B9A-AA4A-2ED31013D2F1}" name="Média de x(m)" dataDxfId="127">
      <calculatedColumnFormula>AVERAGE($A$12:$A$15)</calculatedColumnFormula>
    </tableColumn>
    <tableColumn id="3" xr3:uid="{41AB326B-AA68-4C2C-B64F-57FA5B0CC146}" name="Média de y (m)" dataDxfId="2"/>
    <tableColumn id="4" xr3:uid="{6ACD33DA-8A2C-4132-81A7-6DC4671F20FE}" name="Incerteza da Média de x (m)" dataDxfId="1">
      <calculatedColumnFormula>_xlfn.STDEV.P(Tabela7[x (m)])/4</calculatedColumnFormula>
    </tableColumn>
    <tableColumn id="5" xr3:uid="{B1D3AD91-BFF6-4F1A-81C6-3EE26FB9DAA4}" name="Incerteza da Média de y (m)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449543-AE91-4BE4-AC94-E9C948CD7283}" name="Tabela710" displayName="Tabela710" ref="D11:E15" totalsRowShown="0" dataDxfId="126">
  <autoFilter ref="D11:E15" xr:uid="{E3320E1C-9387-4E08-AED1-E4B554ED1F17}"/>
  <tableColumns count="2">
    <tableColumn id="1" xr3:uid="{6EE3DFE3-F863-4B12-AEB1-CC52269CE83A}" name="x (m)" dataDxfId="125"/>
    <tableColumn id="2" xr3:uid="{CC8DEA79-52CE-403F-B33C-94F91B237213}" name="y (m)" dataDxfId="1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11AD4A-2143-4DDA-8A4C-795D9A6B98B4}" name="Tabela71011" displayName="Tabela71011" ref="A18:B22" totalsRowShown="0" dataDxfId="123">
  <autoFilter ref="A18:B22" xr:uid="{578521CC-07CD-4A2B-AC2D-854B1C16310B}"/>
  <tableColumns count="2">
    <tableColumn id="1" xr3:uid="{E933F62C-B161-4016-B648-40B0B87FB785}" name="x (m)" dataDxfId="122"/>
    <tableColumn id="2" xr3:uid="{3C3DD057-DF7B-45B4-BFDF-E4FAB0AB9C8B}" name="y (m)" dataDxfId="1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7F419C-F7CE-4062-B7C4-08C9B7D043A6}" name="Tabela71012" displayName="Tabela71012" ref="D18:E22" totalsRowShown="0" dataDxfId="120">
  <autoFilter ref="D18:E22" xr:uid="{367264C3-D595-4190-8DFE-3D2159A5A0A5}"/>
  <tableColumns count="2">
    <tableColumn id="1" xr3:uid="{F422170E-BE68-4987-9E01-B62C7AF80CFD}" name="x (m)" dataDxfId="119"/>
    <tableColumn id="2" xr3:uid="{191D6199-A5D4-4A9E-B2CC-7116E3638445}" name="y (m)" dataDxfId="1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B3792A-1418-4F80-BC0E-FE26196F4F70}" name="Tabela71013" displayName="Tabela71013" ref="A25:B29" totalsRowShown="0" dataDxfId="117">
  <autoFilter ref="A25:B29" xr:uid="{04D126EE-E70C-4FD2-8772-315EA553979A}"/>
  <tableColumns count="2">
    <tableColumn id="1" xr3:uid="{BE3AA8BB-387F-4150-857D-BDDAFA6E31D1}" name="x (m)" dataDxfId="116"/>
    <tableColumn id="2" xr3:uid="{EB81ADA2-2A7D-4E7C-A46E-AC99164DC0C5}" name="y (m)" dataDxfId="115" dataCellStyle="Vírgul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BF85FF-BFC9-4115-BBD0-92FA2A04F771}" name="Tabela71014" displayName="Tabela71014" ref="D25:E29" totalsRowShown="0" dataDxfId="114">
  <autoFilter ref="D25:E29" xr:uid="{38270CD1-0A0E-4A92-B9E5-939D3A879CD3}"/>
  <tableColumns count="2">
    <tableColumn id="1" xr3:uid="{5BFE5ACB-F9C3-40DC-BFEE-34186951307E}" name="x (m)" dataDxfId="113"/>
    <tableColumn id="2" xr3:uid="{614A3EA2-BBF3-4C4B-9F1C-EECD0A0ACD09}" name="y (m)" dataDxfId="1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07C9025-3718-4232-BA09-03E460B22196}" name="Tabela71015" displayName="Tabela71015" ref="A32:B36" totalsRowShown="0" dataDxfId="111">
  <autoFilter ref="A32:B36" xr:uid="{9A2AD610-E0CB-4F9E-85CB-F70704F63F84}"/>
  <tableColumns count="2">
    <tableColumn id="1" xr3:uid="{C2D66061-B093-4701-BE6C-020A18BDFD40}" name="x (m)" dataDxfId="110"/>
    <tableColumn id="2" xr3:uid="{0A0C0ACE-BB8A-4994-BC81-4079B3008F8D}" name="y (m)" dataDxfId="1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8CCAE07-2E2B-413E-B45E-6D1FAF4ED5C3}" name="Tabela71016" displayName="Tabela71016" ref="D32:E36" totalsRowShown="0" dataDxfId="108">
  <autoFilter ref="D32:E36" xr:uid="{855011E0-95DB-463D-A9BB-B797CDA72331}"/>
  <tableColumns count="2">
    <tableColumn id="1" xr3:uid="{F5240DAF-C971-41A6-BEE5-9D6C28DCA9F9}" name="x (m)" dataDxfId="107"/>
    <tableColumn id="2" xr3:uid="{39CC33C9-65A0-4CD6-8AA3-485A33E85F12}" name="y (m)" dataDxfId="10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4174808-EE18-494E-98A1-8181E80B915D}" name="Tabela71017" displayName="Tabela71017" ref="A39:B43" totalsRowShown="0" dataDxfId="105">
  <autoFilter ref="A39:B43" xr:uid="{6E2D1BD3-EF41-41D3-A0A8-BE2D9ECCDB74}"/>
  <tableColumns count="2">
    <tableColumn id="1" xr3:uid="{FF9A4ADB-CC46-4728-AE93-208AC6BC7352}" name="x (m)" dataDxfId="104"/>
    <tableColumn id="2" xr3:uid="{4D71E862-37DF-4189-A3AF-5BE5DD70D852}" name="y (m)" dataDxfId="10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934951A-E1BC-4BE6-87BF-0453DA81A92F}" name="Tabela71018" displayName="Tabela71018" ref="D39:E43" totalsRowShown="0" dataDxfId="102">
  <autoFilter ref="D39:E43" xr:uid="{27079AF7-3475-4C90-A5DC-A80A4D30D069}"/>
  <tableColumns count="2">
    <tableColumn id="1" xr3:uid="{3C9DFDD3-1AAD-4613-81A9-5C462F4A7E26}" name="x (m)" dataDxfId="101"/>
    <tableColumn id="2" xr3:uid="{2DF348AA-C1EF-4D40-B780-F15D5D04D7BF}" name="y (m)" dataDxfId="10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F8840B1-DDD6-456C-9A83-3EE4B0FC417E}" name="Tabela71019" displayName="Tabela71019" ref="A46:B50" totalsRowShown="0" dataDxfId="99">
  <autoFilter ref="A46:B50" xr:uid="{36EB95A6-5B35-424F-A437-986CCE91744C}"/>
  <tableColumns count="2">
    <tableColumn id="1" xr3:uid="{39543468-5347-4457-8547-BC6EAB4482C6}" name="x (m)" dataDxfId="98"/>
    <tableColumn id="2" xr3:uid="{23E54BF0-7456-4BDA-82CF-3042B53B51B1}" name="y (m)" dataDxfId="9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9D10130-0AC0-4319-9741-4D6533A578AA}" name="Tabela71020" displayName="Tabela71020" ref="D46:E50" totalsRowShown="0" dataDxfId="96">
  <autoFilter ref="D46:E50" xr:uid="{D0E4F8E8-DFFB-45F7-BDB8-60E1B892A104}"/>
  <tableColumns count="2">
    <tableColumn id="1" xr3:uid="{901B81B8-266D-4C0A-A08B-278F2CD2E961}" name="x (m)" dataDxfId="95"/>
    <tableColumn id="2" xr3:uid="{EBF6D229-B504-4DE0-A120-6383BBC0DE13}" name="y (m)" dataDxfId="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E3E095B-7658-46EF-8812-B8B1A7791DEC}" name="Tabela71021" displayName="Tabela71021" ref="A53:B57" totalsRowShown="0" dataDxfId="93">
  <autoFilter ref="A53:B57" xr:uid="{221ECFA8-7086-4CF0-B666-5AE246BD4E3E}"/>
  <tableColumns count="2">
    <tableColumn id="1" xr3:uid="{DC14A1A8-74D1-4108-AF68-500C4701AC97}" name="x (m)" dataDxfId="92"/>
    <tableColumn id="2" xr3:uid="{069D6391-13D0-4B0F-B587-97F3BBE8DF6D}" name="y (m)" dataDxfId="9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83F99BD-7ECB-41D7-9877-E928C4467A60}" name="Tabela71022" displayName="Tabela71022" ref="D53:E57" totalsRowShown="0" dataDxfId="90">
  <autoFilter ref="D53:E57" xr:uid="{1A2778B1-6008-4CB4-B4D5-58E1BF551DC1}"/>
  <tableColumns count="2">
    <tableColumn id="1" xr3:uid="{5140A429-E961-4A09-B7E2-65A93ADDE55C}" name="x (m)" dataDxfId="89"/>
    <tableColumn id="2" xr3:uid="{16B2869C-4496-4FB1-A671-331AF55DE1C3}" name="y (m)" dataDxfId="8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32640A4-FBF9-4719-BD61-0CF0E09980EE}" name="Tabela71023" displayName="Tabela71023" ref="A60:B64" totalsRowShown="0" dataDxfId="87">
  <autoFilter ref="A60:B64" xr:uid="{1B59CA23-24F5-4C44-912D-87EDBFF1C2E0}"/>
  <tableColumns count="2">
    <tableColumn id="1" xr3:uid="{FB4FFCC6-8B37-4F07-8431-D8AF39040C50}" name="x (m)" dataDxfId="86"/>
    <tableColumn id="2" xr3:uid="{C5374035-6EA9-4B19-8522-C867C390C83F}" name="y (m)" dataDxfId="8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681E7B6-54AD-43AD-843F-B27862211411}" name="Tabela71024" displayName="Tabela71024" ref="D60:E64" totalsRowShown="0" dataDxfId="84">
  <autoFilter ref="D60:E64" xr:uid="{0085D789-0E7F-4725-BCB0-35E9BBEF5F48}"/>
  <tableColumns count="2">
    <tableColumn id="1" xr3:uid="{191FD031-380B-4981-A361-E7CD87C45FE7}" name="x (m)" dataDxfId="83"/>
    <tableColumn id="2" xr3:uid="{1603CBEC-AF02-425B-83FF-EBD7E0282203}" name="y (m)" dataDxfId="8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17B9AC1-8C62-4495-9598-45C1A4A5982B}" name="Tabela71025" displayName="Tabela71025" ref="A67:B71" totalsRowShown="0" dataDxfId="81">
  <autoFilter ref="A67:B71" xr:uid="{89B0096F-8E14-4874-8F63-DA25517B9514}"/>
  <tableColumns count="2">
    <tableColumn id="1" xr3:uid="{D7505538-09BB-4FFD-ACC6-C48B0DAD50B6}" name="x (m)" dataDxfId="80"/>
    <tableColumn id="2" xr3:uid="{C575A6FA-DA5D-4D9B-B4DA-543B650C93EA}" name="y (m)" dataDxfId="7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4084D25-58F2-4AF2-A8BF-793F8CBF5FF2}" name="Tabela71026" displayName="Tabela71026" ref="D67:E71" totalsRowShown="0" dataDxfId="78">
  <autoFilter ref="D67:E71" xr:uid="{46E4C06A-E053-4979-B49B-31A5BB5223FB}"/>
  <tableColumns count="2">
    <tableColumn id="1" xr3:uid="{9637975A-133F-4D82-8949-A62F8B613CB9}" name="x (m)" dataDxfId="77"/>
    <tableColumn id="2" xr3:uid="{1D2111CE-8B08-4009-94F1-C7BBEFD88071}" name="y (m)" dataDxfId="7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347BA99-4A5C-4F30-A869-85B58B89C956}" name="Tabela71027" displayName="Tabela71027" ref="A74:B78" totalsRowShown="0" dataDxfId="75">
  <autoFilter ref="A74:B78" xr:uid="{E1DFCECF-16C6-470A-9308-7C060B8561A1}"/>
  <tableColumns count="2">
    <tableColumn id="1" xr3:uid="{B5CEB972-BE5C-4FA0-88BE-5CAE975ADE05}" name="x (m)" dataDxfId="74"/>
    <tableColumn id="2" xr3:uid="{544DBD16-A813-45F6-B432-E6A0E02E6A5D}" name="y (m)" dataDxfId="7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CE51872-2E8C-4F4B-883E-CC3D20EAAC74}" name="Tabela71028" displayName="Tabela71028" ref="D74:E78" totalsRowShown="0" dataDxfId="72">
  <autoFilter ref="D74:E78" xr:uid="{C0FF5049-9293-43D8-AD64-F44501222FEF}"/>
  <tableColumns count="2">
    <tableColumn id="1" xr3:uid="{55472D64-6777-46CF-A2B4-8FFE7D3282DF}" name="x (m)" dataDxfId="71"/>
    <tableColumn id="2" xr3:uid="{5E1B9BF9-B7AF-48FB-8EE7-4DEB51EACC9D}" name="y (m)" dataDxfId="7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4BDAC5A-A452-41CE-96FE-EFCF6C66E4CB}" name="Tabela730" displayName="Tabela730" ref="B11:C15" totalsRowShown="0" dataDxfId="69">
  <autoFilter ref="B11:C15" xr:uid="{9A453A7A-1A88-481C-B628-9AD34BE661B5}"/>
  <tableColumns count="2">
    <tableColumn id="1" xr3:uid="{38D6E6BE-E7F1-46F8-BCE4-1CE7C97FB87E}" name="x (m)" dataDxfId="68"/>
    <tableColumn id="2" xr3:uid="{9BF39278-9CC8-423D-B18E-DF64E55024F8}" name="y (m)" dataDxfId="6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713B5E-1BAD-4DD2-894A-DD50FC3D1B50}" name="Tabela831" displayName="Tabela831" ref="H10:L31" totalsRowShown="0">
  <autoFilter ref="H10:L31" xr:uid="{7D416E9B-438B-464B-872C-28CB71223412}"/>
  <tableColumns count="5">
    <tableColumn id="1" xr3:uid="{414707D2-C45E-4D71-8F54-FFF37B2079D9}" name="Ponto"/>
    <tableColumn id="2" xr3:uid="{30022739-5F61-4A57-B532-BB84F6250284}" name="Média de x (m)" dataDxfId="66"/>
    <tableColumn id="3" xr3:uid="{AC09ED2F-A8B7-4586-824B-0CA6D528606E}" name="Média de y (m)" dataDxfId="65"/>
    <tableColumn id="4" xr3:uid="{6BDFCA04-ED20-46B3-89DD-3947CB2C746E}" name="Incerteza da Média de x (m)" dataDxfId="64">
      <calculatedColumnFormula>_xlfn.STDEV.P(Tabela730[x (m)])/4</calculatedColumnFormula>
    </tableColumn>
    <tableColumn id="5" xr3:uid="{AA6B050A-3E67-4298-B2B2-DA15482C9A3E}" name="Incerteza da Média de y (m)" dataDxfId="6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996DD6D-37EB-4B19-8F46-3120B8E9D750}" name="Tabela71032" displayName="Tabela71032" ref="E11:F15" totalsRowShown="0" dataDxfId="62">
  <autoFilter ref="E11:F15" xr:uid="{E3320E1C-9387-4E08-AED1-E4B554ED1F17}"/>
  <tableColumns count="2">
    <tableColumn id="1" xr3:uid="{BC93E1E3-23E6-472B-ACED-7DD1F77691C5}" name="x (m)" dataDxfId="61"/>
    <tableColumn id="2" xr3:uid="{3DEC3F34-0765-461E-8A7C-98B56009C93C}" name="y (m)" dataDxfId="6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1AF3FED-2256-497C-8053-1BC5A47E190A}" name="Tabela7101133" displayName="Tabela7101133" ref="B18:C22" totalsRowShown="0" dataDxfId="59">
  <autoFilter ref="B18:C22" xr:uid="{578521CC-07CD-4A2B-AC2D-854B1C16310B}"/>
  <tableColumns count="2">
    <tableColumn id="1" xr3:uid="{A3864E0D-9E75-4012-A1FE-605501F6F4E6}" name="x (m)" dataDxfId="58"/>
    <tableColumn id="2" xr3:uid="{0E333387-E71D-42E6-9C38-7866187BC7D0}" name="y (m)" dataDxfId="5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5EC7822-70CF-4449-90F8-5410B232F666}" name="Tabela7101234" displayName="Tabela7101234" ref="E18:F22" totalsRowShown="0" dataDxfId="56">
  <autoFilter ref="E18:F22" xr:uid="{367264C3-D595-4190-8DFE-3D2159A5A0A5}"/>
  <tableColumns count="2">
    <tableColumn id="1" xr3:uid="{BE87B908-F4DF-474A-95F5-1C992CB51F8F}" name="x (m)" dataDxfId="55"/>
    <tableColumn id="2" xr3:uid="{2F275F95-AE95-4230-B2FD-D6AAE8DB1B8D}" name="y (m)" dataDxfId="5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FB9751E-7044-4D97-9CD0-96676168B8D5}" name="Tabela7101335" displayName="Tabela7101335" ref="B25:C29" totalsRowShown="0" dataDxfId="53">
  <autoFilter ref="B25:C29" xr:uid="{04D126EE-E70C-4FD2-8772-315EA553979A}"/>
  <tableColumns count="2">
    <tableColumn id="1" xr3:uid="{42B557C4-8A5D-4B8F-AD33-47BB998A4D59}" name="x (m)" dataDxfId="52"/>
    <tableColumn id="2" xr3:uid="{23C7B5AD-44DB-4AA4-963C-77F10B2C7FF3}" name="y (m)" dataDxfId="5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09CC787-B9EA-4916-884B-1051869633AB}" name="Tabela7101436" displayName="Tabela7101436" ref="E25:F29" totalsRowShown="0" dataDxfId="50">
  <autoFilter ref="E25:F29" xr:uid="{38270CD1-0A0E-4A92-B9E5-939D3A879CD3}"/>
  <tableColumns count="2">
    <tableColumn id="1" xr3:uid="{9F63E4DB-C2A4-40D1-99B8-0ADA3B397E02}" name="x (m)" dataDxfId="49"/>
    <tableColumn id="2" xr3:uid="{48F2A588-8F51-46C8-A520-8FFDE2FC6AB0}" name="y (m)" dataDxfId="48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8EC6D8A-F69C-42C7-85EB-262207D2A1D7}" name="Tabela7101537" displayName="Tabela7101537" ref="B32:C36" totalsRowShown="0" dataDxfId="47">
  <autoFilter ref="B32:C36" xr:uid="{9A2AD610-E0CB-4F9E-85CB-F70704F63F84}"/>
  <tableColumns count="2">
    <tableColumn id="1" xr3:uid="{9C8A25F1-A725-4D6B-89D6-9D5F4E5D9618}" name="x (m)" dataDxfId="46"/>
    <tableColumn id="2" xr3:uid="{7298AA64-D8D9-4653-95FF-74F3F7607119}" name="y (m)" dataDxfId="45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2DE570A-ED7E-4ABD-AA92-52912224C00B}" name="Tabela7101638" displayName="Tabela7101638" ref="E32:F36" totalsRowShown="0" dataDxfId="44">
  <autoFilter ref="E32:F36" xr:uid="{855011E0-95DB-463D-A9BB-B797CDA72331}"/>
  <tableColumns count="2">
    <tableColumn id="1" xr3:uid="{7CD0AFE6-77B8-44F4-8F67-2989DDE77BF3}" name="x (m)" dataDxfId="43"/>
    <tableColumn id="2" xr3:uid="{4837A25E-B430-4C44-8B5F-66E640165900}" name="y (m)" dataDxfId="4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83E1BB3-9DAA-447D-B837-F0E42A235ED4}" name="Tabela7101739" displayName="Tabela7101739" ref="B39:C43" totalsRowShown="0" dataDxfId="41">
  <autoFilter ref="B39:C43" xr:uid="{6E2D1BD3-EF41-41D3-A0A8-BE2D9ECCDB74}"/>
  <tableColumns count="2">
    <tableColumn id="1" xr3:uid="{D64D0182-3AD5-4179-BFDE-DEABF1B84423}" name="x (m)" dataDxfId="40"/>
    <tableColumn id="2" xr3:uid="{F5890935-14E7-4C35-B5ED-54BC8D1EBD5E}" name="y (m)" dataDxfId="39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8568314-DFD3-461D-8DC9-5302C587592B}" name="Tabela7101840" displayName="Tabela7101840" ref="E39:F43" totalsRowShown="0" dataDxfId="38">
  <autoFilter ref="E39:F43" xr:uid="{27079AF7-3475-4C90-A5DC-A80A4D30D069}"/>
  <tableColumns count="2">
    <tableColumn id="1" xr3:uid="{107D9A60-6617-4747-BDBA-45C1CC5BA4DD}" name="x (m)" dataDxfId="37"/>
    <tableColumn id="2" xr3:uid="{21108F09-A3E1-46B9-9AED-2FBAB26583F1}" name="y (m)" dataDxfId="36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5BE9FB5-6BB7-4678-BA51-F08262538408}" name="Tabela7101941" displayName="Tabela7101941" ref="B46:C50" totalsRowShown="0" dataDxfId="35">
  <autoFilter ref="B46:C50" xr:uid="{36EB95A6-5B35-424F-A437-986CCE91744C}"/>
  <tableColumns count="2">
    <tableColumn id="1" xr3:uid="{0048F153-914D-4F7A-8C63-D745468923AC}" name="x (m)" dataDxfId="34"/>
    <tableColumn id="2" xr3:uid="{9B53E6BD-C9B9-46AE-A10D-845C14868451}" name="y (m)" dataDxfId="33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9B915E5-9D2B-4B61-8F0B-07CA2F08F9B6}" name="Tabela7102042" displayName="Tabela7102042" ref="E46:F50" totalsRowShown="0" dataDxfId="32">
  <autoFilter ref="E46:F50" xr:uid="{D0E4F8E8-DFFB-45F7-BDB8-60E1B892A104}"/>
  <tableColumns count="2">
    <tableColumn id="1" xr3:uid="{FE757E85-1535-4316-8634-D7F92E97F451}" name="x (m)" dataDxfId="31"/>
    <tableColumn id="2" xr3:uid="{3F5DF9D0-BD8B-44C0-B26F-047B46B7F4D9}" name="y (m)" dataDxfId="3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0E718A4-3293-4749-90EC-5C3418F771B8}" name="Tabela7102143" displayName="Tabela7102143" ref="B53:C57" totalsRowShown="0" dataDxfId="29">
  <autoFilter ref="B53:C57" xr:uid="{221ECFA8-7086-4CF0-B666-5AE246BD4E3E}"/>
  <tableColumns count="2">
    <tableColumn id="1" xr3:uid="{E6A7D0DF-49D8-4FE4-8234-13063E57E1D8}" name="x (m)" dataDxfId="28"/>
    <tableColumn id="2" xr3:uid="{17A0EA5F-72FB-4BDD-A62A-92C2A3D2848E}" name="y (m)" dataDxfId="27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0423FD7-08EB-4877-BF3C-6F79C4C35CB7}" name="Tabela7102244" displayName="Tabela7102244" ref="E53:F57" totalsRowShown="0" dataDxfId="26">
  <autoFilter ref="E53:F57" xr:uid="{1A2778B1-6008-4CB4-B4D5-58E1BF551DC1}"/>
  <tableColumns count="2">
    <tableColumn id="1" xr3:uid="{8F4D845D-8646-46AF-BC1E-274FFA721124}" name="x (m)" dataDxfId="25"/>
    <tableColumn id="2" xr3:uid="{E3AC24ED-93DF-49A8-8283-8773EE079ED2}" name="y (m)" dataDxfId="24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30E47F3-0758-4E90-9B44-AB09B384C6F5}" name="Tabela7102345" displayName="Tabela7102345" ref="B60:C64" totalsRowShown="0" dataDxfId="23">
  <autoFilter ref="B60:C64" xr:uid="{1B59CA23-24F5-4C44-912D-87EDBFF1C2E0}"/>
  <tableColumns count="2">
    <tableColumn id="1" xr3:uid="{DE8B0011-D052-411A-8251-67E6BA44F415}" name="x (m)" dataDxfId="22"/>
    <tableColumn id="2" xr3:uid="{05AB0505-BC27-460B-86D8-5EBD11352F4F}" name="y (m)" dataDxfId="2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D1582DB3-D903-483F-9434-1C6DEA1B857F}" name="Tabela7102446" displayName="Tabela7102446" ref="E60:F64" totalsRowShown="0" dataDxfId="20">
  <autoFilter ref="E60:F64" xr:uid="{0085D789-0E7F-4725-BCB0-35E9BBEF5F48}"/>
  <tableColumns count="2">
    <tableColumn id="1" xr3:uid="{C83975D5-CFBC-420C-8F38-01C1945608DD}" name="x (m)" dataDxfId="19"/>
    <tableColumn id="2" xr3:uid="{6045BAAA-3550-4CEB-BCA4-025E58056C0F}" name="y (m)" dataDxfId="18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9DE5B40-D6D2-4ECA-B6C2-462C30D8D2C7}" name="Tabela7102547" displayName="Tabela7102547" ref="B67:C71" totalsRowShown="0" dataDxfId="17">
  <autoFilter ref="B67:C71" xr:uid="{89B0096F-8E14-4874-8F63-DA25517B9514}"/>
  <tableColumns count="2">
    <tableColumn id="1" xr3:uid="{41EFA519-5FE1-4F07-B942-774B6E174544}" name="x (m)" dataDxfId="16"/>
    <tableColumn id="2" xr3:uid="{077A77BC-2276-4FFA-B5CE-DE53D1316F39}" name="y (m)" dataDxfId="15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F433882-E8D5-4F6A-97E1-D35029C744D3}" name="Tabela7102648" displayName="Tabela7102648" ref="E67:F71" totalsRowShown="0" dataDxfId="14">
  <autoFilter ref="E67:F71" xr:uid="{46E4C06A-E053-4979-B49B-31A5BB5223FB}"/>
  <tableColumns count="2">
    <tableColumn id="1" xr3:uid="{87E3FDA7-E00A-442B-A362-06CFF1E7A9CC}" name="x (m)" dataDxfId="13"/>
    <tableColumn id="2" xr3:uid="{BE5523EB-8077-4855-A895-E772FAD3311E}" name="y (m)" dataDxfId="1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AA68A9D-E626-4A69-A080-F9B3EF0D045B}" name="Tabela7102749" displayName="Tabela7102749" ref="B74:C78" totalsRowShown="0" dataDxfId="11">
  <autoFilter ref="B74:C78" xr:uid="{E1DFCECF-16C6-470A-9308-7C060B8561A1}"/>
  <tableColumns count="2">
    <tableColumn id="1" xr3:uid="{EE89E8B8-17DC-4C61-AE3A-B98EFAD101BA}" name="x (m)" dataDxfId="10"/>
    <tableColumn id="2" xr3:uid="{202C7DB8-31F7-4382-9E6B-5D8235CDB041}" name="y (m)" dataDxfId="9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A63D2A7-ED18-43C2-8A69-F31819B70B91}" name="Tabela7102850" displayName="Tabela7102850" ref="E74:F78" totalsRowShown="0" dataDxfId="8">
  <autoFilter ref="E74:F78" xr:uid="{C0FF5049-9293-43D8-AD64-F44501222FEF}"/>
  <tableColumns count="2">
    <tableColumn id="1" xr3:uid="{6360EAD0-49CE-4378-B28E-102A034BC21E}" name="x (m)" dataDxfId="7"/>
    <tableColumn id="2" xr3:uid="{2153FDF6-4693-4746-86AA-0B4765E007CD}" name="y (m)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drawing" Target="../drawings/drawing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13" Type="http://schemas.openxmlformats.org/officeDocument/2006/relationships/table" Target="../tables/table33.xml"/><Relationship Id="rId18" Type="http://schemas.openxmlformats.org/officeDocument/2006/relationships/table" Target="../tables/table38.xml"/><Relationship Id="rId3" Type="http://schemas.openxmlformats.org/officeDocument/2006/relationships/table" Target="../tables/table23.xml"/><Relationship Id="rId21" Type="http://schemas.openxmlformats.org/officeDocument/2006/relationships/table" Target="../tables/table41.xml"/><Relationship Id="rId7" Type="http://schemas.openxmlformats.org/officeDocument/2006/relationships/table" Target="../tables/table27.xml"/><Relationship Id="rId12" Type="http://schemas.openxmlformats.org/officeDocument/2006/relationships/table" Target="../tables/table32.xml"/><Relationship Id="rId17" Type="http://schemas.openxmlformats.org/officeDocument/2006/relationships/table" Target="../tables/table37.xml"/><Relationship Id="rId2" Type="http://schemas.openxmlformats.org/officeDocument/2006/relationships/drawing" Target="../drawings/drawing2.xml"/><Relationship Id="rId16" Type="http://schemas.openxmlformats.org/officeDocument/2006/relationships/table" Target="../tables/table36.xml"/><Relationship Id="rId20" Type="http://schemas.openxmlformats.org/officeDocument/2006/relationships/table" Target="../tables/table40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6.xml"/><Relationship Id="rId11" Type="http://schemas.openxmlformats.org/officeDocument/2006/relationships/table" Target="../tables/table31.xml"/><Relationship Id="rId5" Type="http://schemas.openxmlformats.org/officeDocument/2006/relationships/table" Target="../tables/table25.xml"/><Relationship Id="rId15" Type="http://schemas.openxmlformats.org/officeDocument/2006/relationships/table" Target="../tables/table35.xml"/><Relationship Id="rId23" Type="http://schemas.openxmlformats.org/officeDocument/2006/relationships/table" Target="../tables/table43.xml"/><Relationship Id="rId10" Type="http://schemas.openxmlformats.org/officeDocument/2006/relationships/table" Target="../tables/table30.xml"/><Relationship Id="rId19" Type="http://schemas.openxmlformats.org/officeDocument/2006/relationships/table" Target="../tables/table39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Relationship Id="rId14" Type="http://schemas.openxmlformats.org/officeDocument/2006/relationships/table" Target="../tables/table34.xml"/><Relationship Id="rId22" Type="http://schemas.openxmlformats.org/officeDocument/2006/relationships/table" Target="../tables/table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topLeftCell="B1" zoomScale="88" workbookViewId="0">
      <selection activeCell="G3" sqref="G3:G12"/>
    </sheetView>
  </sheetViews>
  <sheetFormatPr defaultRowHeight="15" x14ac:dyDescent="0.25"/>
  <cols>
    <col min="2" max="2" width="36.28515625" bestFit="1" customWidth="1"/>
    <col min="3" max="3" width="9.140625" customWidth="1"/>
    <col min="5" max="5" width="11.7109375" bestFit="1" customWidth="1"/>
    <col min="6" max="6" width="21.140625" bestFit="1" customWidth="1"/>
    <col min="7" max="7" width="32.7109375" bestFit="1" customWidth="1"/>
  </cols>
  <sheetData>
    <row r="2" spans="2:7" x14ac:dyDescent="0.25">
      <c r="B2" s="1" t="s">
        <v>1</v>
      </c>
      <c r="E2" t="s">
        <v>2</v>
      </c>
      <c r="F2" t="s">
        <v>33</v>
      </c>
      <c r="G2" t="s">
        <v>32</v>
      </c>
    </row>
    <row r="3" spans="2:7" x14ac:dyDescent="0.25">
      <c r="B3" s="12">
        <v>2.5000000000000001E-2</v>
      </c>
      <c r="E3" s="17">
        <v>7.4999999999999997E-3</v>
      </c>
      <c r="F3" s="15">
        <f>$B$3/Tabela3[[#This Row],[Tempo(s)]]</f>
        <v>3.3333333333333335</v>
      </c>
      <c r="G3" s="16">
        <f>(Tabela3[[#This Row],[Velocidade (m s^-1)]]/Tabela3[[#This Row],[Tempo(s)]])*0.0001</f>
        <v>4.4444444444444446E-2</v>
      </c>
    </row>
    <row r="4" spans="2:7" x14ac:dyDescent="0.25">
      <c r="B4" s="1" t="s">
        <v>0</v>
      </c>
      <c r="E4" s="17">
        <v>7.6E-3</v>
      </c>
      <c r="F4" s="15">
        <f>$B$3/Tabela3[[#This Row],[Tempo(s)]]</f>
        <v>3.2894736842105265</v>
      </c>
      <c r="G4" s="16">
        <f>(Tabela3[[#This Row],[Velocidade (m s^-1)]]/Tabela3[[#This Row],[Tempo(s)]])*0.0001</f>
        <v>4.3282548476454297E-2</v>
      </c>
    </row>
    <row r="5" spans="2:7" x14ac:dyDescent="0.25">
      <c r="B5" s="14">
        <v>1E-4</v>
      </c>
      <c r="E5" s="17">
        <v>7.4000000000000003E-3</v>
      </c>
      <c r="F5" s="15">
        <f>$B$3/Tabela3[[#This Row],[Tempo(s)]]</f>
        <v>3.3783783783783785</v>
      </c>
      <c r="G5" s="16">
        <f>(Tabela3[[#This Row],[Velocidade (m s^-1)]]/Tabela3[[#This Row],[Tempo(s)]])*0.0001</f>
        <v>4.5653761869978091E-2</v>
      </c>
    </row>
    <row r="6" spans="2:7" x14ac:dyDescent="0.25">
      <c r="B6" s="1" t="s">
        <v>3</v>
      </c>
      <c r="E6" s="17">
        <v>7.4000000000000003E-3</v>
      </c>
      <c r="F6" s="15">
        <f>$B$3/Tabela3[[#This Row],[Tempo(s)]]</f>
        <v>3.3783783783783785</v>
      </c>
      <c r="G6" s="16">
        <f>(Tabela3[[#This Row],[Velocidade (m s^-1)]]/Tabela3[[#This Row],[Tempo(s)]])*0.0001</f>
        <v>4.5653761869978091E-2</v>
      </c>
    </row>
    <row r="7" spans="2:7" x14ac:dyDescent="0.25">
      <c r="B7" s="6">
        <f>AVERAGE(Tabela3[Velocidade (m s^-1)])</f>
        <v>3.3649834044570888</v>
      </c>
      <c r="E7" s="17">
        <v>7.4000000000000003E-3</v>
      </c>
      <c r="F7" s="15">
        <f>$B$3/Tabela3[[#This Row],[Tempo(s)]]</f>
        <v>3.3783783783783785</v>
      </c>
      <c r="G7" s="16">
        <f>(Tabela3[[#This Row],[Velocidade (m s^-1)]]/Tabela3[[#This Row],[Tempo(s)]])*0.0001</f>
        <v>4.5653761869978091E-2</v>
      </c>
    </row>
    <row r="8" spans="2:7" x14ac:dyDescent="0.25">
      <c r="B8" s="1" t="s">
        <v>34</v>
      </c>
      <c r="E8" s="17">
        <v>7.4000000000000003E-3</v>
      </c>
      <c r="F8" s="15">
        <f>$B$3/Tabela3[[#This Row],[Tempo(s)]]</f>
        <v>3.3783783783783785</v>
      </c>
      <c r="G8" s="16">
        <f>(Tabela3[[#This Row],[Velocidade (m s^-1)]]/Tabela3[[#This Row],[Tempo(s)]])*0.0001</f>
        <v>4.5653761869978091E-2</v>
      </c>
    </row>
    <row r="9" spans="2:7" x14ac:dyDescent="0.25">
      <c r="B9" s="14">
        <f>_xlfn.STDEV.P(Tabela3[Incerteza da Velocidade (m s^-1)])</f>
        <v>7.6177959402335901E-4</v>
      </c>
      <c r="E9" s="17">
        <v>7.4000000000000003E-3</v>
      </c>
      <c r="F9" s="15">
        <f>$B$3/Tabela3[[#This Row],[Tempo(s)]]</f>
        <v>3.3783783783783785</v>
      </c>
      <c r="G9" s="16">
        <f>(Tabela3[[#This Row],[Velocidade (m s^-1)]]/Tabela3[[#This Row],[Tempo(s)]])*0.0001</f>
        <v>4.5653761869978091E-2</v>
      </c>
    </row>
    <row r="10" spans="2:7" x14ac:dyDescent="0.25">
      <c r="E10" s="17">
        <v>7.4000000000000003E-3</v>
      </c>
      <c r="F10" s="15">
        <f>$B$3/Tabela3[[#This Row],[Tempo(s)]]</f>
        <v>3.3783783783783785</v>
      </c>
      <c r="G10" s="16">
        <f>(Tabela3[[#This Row],[Velocidade (m s^-1)]]/Tabela3[[#This Row],[Tempo(s)]])*0.0001</f>
        <v>4.5653761869978091E-2</v>
      </c>
    </row>
    <row r="11" spans="2:7" x14ac:dyDescent="0.25">
      <c r="E11" s="17">
        <v>7.4000000000000003E-3</v>
      </c>
      <c r="F11" s="15">
        <f>$B$3/Tabela3[[#This Row],[Tempo(s)]]</f>
        <v>3.3783783783783785</v>
      </c>
      <c r="G11" s="16">
        <f>(Tabela3[[#This Row],[Velocidade (m s^-1)]]/Tabela3[[#This Row],[Tempo(s)]])*0.0001</f>
        <v>4.5653761869978091E-2</v>
      </c>
    </row>
    <row r="12" spans="2:7" x14ac:dyDescent="0.25">
      <c r="E12" s="17">
        <v>7.4000000000000003E-3</v>
      </c>
      <c r="F12" s="15">
        <f>$B$3/Tabela3[[#This Row],[Tempo(s)]]</f>
        <v>3.3783783783783785</v>
      </c>
      <c r="G12" s="16">
        <f>(Tabela3[[#This Row],[Velocidade (m s^-1)]]/Tabela3[[#This Row],[Tempo(s)]])*0.0001</f>
        <v>4.5653761869978091E-2</v>
      </c>
    </row>
    <row r="17" spans="3:3" x14ac:dyDescent="0.25">
      <c r="C17" s="4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6C94-BF3B-4D55-B261-C447FF80F6C3}">
  <dimension ref="A4:K78"/>
  <sheetViews>
    <sheetView tabSelected="1" topLeftCell="D1" zoomScale="101" workbookViewId="0">
      <selection activeCell="J11" sqref="J11"/>
    </sheetView>
  </sheetViews>
  <sheetFormatPr defaultRowHeight="15" x14ac:dyDescent="0.25"/>
  <cols>
    <col min="1" max="2" width="7.85546875" bestFit="1" customWidth="1"/>
    <col min="3" max="3" width="8" customWidth="1"/>
    <col min="4" max="5" width="7.85546875" bestFit="1" customWidth="1"/>
    <col min="6" max="6" width="8.5703125" customWidth="1"/>
    <col min="7" max="7" width="8.7109375" bestFit="1" customWidth="1"/>
    <col min="8" max="8" width="16.42578125" bestFit="1" customWidth="1"/>
    <col min="9" max="9" width="16.85546875" bestFit="1" customWidth="1"/>
    <col min="10" max="11" width="28.42578125" bestFit="1" customWidth="1"/>
    <col min="12" max="12" width="8.5703125" bestFit="1" customWidth="1"/>
    <col min="13" max="13" width="16.42578125" bestFit="1" customWidth="1"/>
    <col min="14" max="14" width="16.85546875" bestFit="1" customWidth="1"/>
    <col min="15" max="15" width="11.42578125" bestFit="1" customWidth="1"/>
  </cols>
  <sheetData>
    <row r="4" spans="1:11" x14ac:dyDescent="0.25">
      <c r="A4" s="1" t="s">
        <v>35</v>
      </c>
      <c r="B4" s="7">
        <v>30</v>
      </c>
      <c r="D4" s="1" t="s">
        <v>36</v>
      </c>
      <c r="E4" s="3">
        <v>0.5</v>
      </c>
    </row>
    <row r="6" spans="1:11" x14ac:dyDescent="0.25">
      <c r="A6" s="1" t="s">
        <v>29</v>
      </c>
      <c r="B6" s="6">
        <v>0.26300000000000001</v>
      </c>
      <c r="D6" s="1" t="s">
        <v>30</v>
      </c>
      <c r="E6" s="6">
        <v>0.11</v>
      </c>
      <c r="G6" s="8" t="s">
        <v>37</v>
      </c>
      <c r="H6" s="10">
        <v>5.0000000000000001E-4</v>
      </c>
    </row>
    <row r="10" spans="1:11" x14ac:dyDescent="0.25">
      <c r="A10" s="13" t="s">
        <v>4</v>
      </c>
      <c r="B10" s="13"/>
      <c r="D10" s="13" t="s">
        <v>5</v>
      </c>
      <c r="E10" s="13"/>
      <c r="G10" t="s">
        <v>16</v>
      </c>
      <c r="H10" t="s">
        <v>17</v>
      </c>
      <c r="I10" t="s">
        <v>18</v>
      </c>
      <c r="J10" t="s">
        <v>38</v>
      </c>
      <c r="K10" t="s">
        <v>39</v>
      </c>
    </row>
    <row r="11" spans="1:11" x14ac:dyDescent="0.25">
      <c r="A11" t="s">
        <v>14</v>
      </c>
      <c r="B11" t="s">
        <v>15</v>
      </c>
      <c r="D11" t="s">
        <v>14</v>
      </c>
      <c r="E11" t="s">
        <v>15</v>
      </c>
      <c r="G11" s="5">
        <v>1</v>
      </c>
      <c r="H11" s="4">
        <f>AVERAGE(A$12:A$15)</f>
        <v>1.234</v>
      </c>
      <c r="I11" s="4">
        <f>AVERAGE(B$12:B$15)</f>
        <v>0</v>
      </c>
      <c r="J11" s="18">
        <f>_xlfn.STDEV.P(Tabela7[x (m)])</f>
        <v>4.5276925690686635E-3</v>
      </c>
      <c r="K11" s="18">
        <v>0</v>
      </c>
    </row>
    <row r="12" spans="1:11" x14ac:dyDescent="0.25">
      <c r="A12" s="4">
        <f>1.351-0.11</f>
        <v>1.2409999999999999</v>
      </c>
      <c r="B12" s="4">
        <v>0</v>
      </c>
      <c r="D12" s="4">
        <f>1.3-0.11</f>
        <v>1.19</v>
      </c>
      <c r="E12" s="4">
        <v>7.0000000000000007E-2</v>
      </c>
      <c r="G12" s="5">
        <v>2</v>
      </c>
      <c r="H12" s="4">
        <f>AVERAGE(D$12:D$15)</f>
        <v>1.19</v>
      </c>
      <c r="I12" s="4">
        <f>AVERAGE(E$12:E$15)</f>
        <v>6.9750000000000006E-2</v>
      </c>
      <c r="J12" s="18">
        <v>0</v>
      </c>
      <c r="K12" s="18">
        <f>_xlfn.STDEV.P(Tabela710[y (m)])</f>
        <v>4.3301270189221967E-4</v>
      </c>
    </row>
    <row r="13" spans="1:11" x14ac:dyDescent="0.25">
      <c r="A13" s="4">
        <f>1.345-0.11</f>
        <v>1.2349999999999999</v>
      </c>
      <c r="B13" s="4">
        <v>0</v>
      </c>
      <c r="D13" s="4">
        <f>1.3-0.11</f>
        <v>1.19</v>
      </c>
      <c r="E13" s="4">
        <v>7.0000000000000007E-2</v>
      </c>
      <c r="G13" s="5">
        <v>3</v>
      </c>
      <c r="H13" s="4">
        <f>AVERAGE(A$19:A$22)</f>
        <v>1.1399999999999999</v>
      </c>
      <c r="I13" s="4">
        <f>AVERAGE(B$19:B$22)</f>
        <v>0.11674999999999999</v>
      </c>
      <c r="J13" s="18">
        <v>0</v>
      </c>
      <c r="K13" s="18">
        <f>_xlfn.STDEV.P(Tabela71011[y (m)])</f>
        <v>1.7853571071357072E-3</v>
      </c>
    </row>
    <row r="14" spans="1:11" x14ac:dyDescent="0.25">
      <c r="A14" s="4">
        <f>1.34-0.11</f>
        <v>1.23</v>
      </c>
      <c r="B14" s="4">
        <v>0</v>
      </c>
      <c r="D14" s="4">
        <f>1.3-0.11</f>
        <v>1.19</v>
      </c>
      <c r="E14" s="4">
        <v>7.0000000000000007E-2</v>
      </c>
      <c r="G14" s="5">
        <v>4</v>
      </c>
      <c r="H14" s="4">
        <f>AVERAGE(D$19:D$22)</f>
        <v>1.0899999999999999</v>
      </c>
      <c r="I14" s="4">
        <f>AVERAGE(E$19:E$22)</f>
        <v>0.16200000000000001</v>
      </c>
      <c r="J14" s="18">
        <v>0</v>
      </c>
      <c r="K14" s="18">
        <f>_xlfn.STDEV.P(Tabela71012[y (m)])</f>
        <v>1.7320508075688789E-3</v>
      </c>
    </row>
    <row r="15" spans="1:11" x14ac:dyDescent="0.25">
      <c r="A15" s="4">
        <f>1.34-0.11</f>
        <v>1.23</v>
      </c>
      <c r="B15" s="4">
        <v>0</v>
      </c>
      <c r="D15" s="4">
        <f>1.3-0.11</f>
        <v>1.19</v>
      </c>
      <c r="E15" s="4">
        <v>6.9000000000000006E-2</v>
      </c>
      <c r="G15" s="5">
        <v>5</v>
      </c>
      <c r="H15" s="4">
        <f>AVERAGE(A$26:A$29)</f>
        <v>1.0399999999999998</v>
      </c>
      <c r="I15" s="4">
        <f>AVERAGE(B$26:B$29)</f>
        <v>0.20224999999999999</v>
      </c>
      <c r="J15" s="18">
        <v>0</v>
      </c>
      <c r="K15" s="18">
        <f>_xlfn.STDEV.P(Tabela71013[y (m)])</f>
        <v>1.479019945774897E-3</v>
      </c>
    </row>
    <row r="16" spans="1:11" x14ac:dyDescent="0.25">
      <c r="A16" s="4"/>
      <c r="B16" s="4"/>
      <c r="G16" s="5">
        <v>6</v>
      </c>
      <c r="H16" s="4">
        <f>AVERAGE(D$26:D$29)</f>
        <v>0.9900000000000001</v>
      </c>
      <c r="I16" s="4">
        <f>AVERAGE(E$26:E$29)</f>
        <v>0.24149999999999999</v>
      </c>
      <c r="J16" s="18">
        <v>0</v>
      </c>
      <c r="K16" s="18">
        <f>_xlfn.STDEV.P(Tabela71014[y (m)])</f>
        <v>2.0615528128088323E-3</v>
      </c>
    </row>
    <row r="17" spans="1:11" x14ac:dyDescent="0.25">
      <c r="A17" s="13" t="s">
        <v>6</v>
      </c>
      <c r="B17" s="13"/>
      <c r="D17" s="13" t="s">
        <v>7</v>
      </c>
      <c r="E17" s="13"/>
      <c r="G17" s="5">
        <v>7</v>
      </c>
      <c r="H17" s="4">
        <f>AVERAGE(A$33:A$36)</f>
        <v>0.94000000000000006</v>
      </c>
      <c r="I17" s="4">
        <f>AVERAGE(B$33:B$36)</f>
        <v>0.27575000000000005</v>
      </c>
      <c r="J17" s="18">
        <v>0</v>
      </c>
      <c r="K17" s="18">
        <f>_xlfn.STDEV.P(Tabela71015[y (m)])</f>
        <v>4.3301270189221978E-4</v>
      </c>
    </row>
    <row r="18" spans="1:11" x14ac:dyDescent="0.25">
      <c r="A18" t="s">
        <v>14</v>
      </c>
      <c r="B18" t="s">
        <v>15</v>
      </c>
      <c r="D18" t="s">
        <v>14</v>
      </c>
      <c r="E18" t="s">
        <v>15</v>
      </c>
      <c r="G18" s="5">
        <v>8</v>
      </c>
      <c r="H18" s="4">
        <f>AVERAGE(D$33:D$36)</f>
        <v>0.89</v>
      </c>
      <c r="I18" s="4">
        <f>AVERAGE(E$33:E$36)</f>
        <v>0.307</v>
      </c>
      <c r="J18" s="18">
        <v>0</v>
      </c>
      <c r="K18" s="18">
        <f>_xlfn.STDEV.P(Tabela71016[y (m)])</f>
        <v>7.0710678118654816E-4</v>
      </c>
    </row>
    <row r="19" spans="1:11" x14ac:dyDescent="0.25">
      <c r="A19" s="4">
        <f>1.25-0.11</f>
        <v>1.1399999999999999</v>
      </c>
      <c r="B19" s="4">
        <v>0.115</v>
      </c>
      <c r="D19" s="4">
        <f>-0.11+1.2</f>
        <v>1.0899999999999999</v>
      </c>
      <c r="E19" s="4">
        <v>0.159</v>
      </c>
      <c r="G19" s="5">
        <v>9</v>
      </c>
      <c r="H19" s="4">
        <f>AVERAGE(A$40:A$43)</f>
        <v>0.84</v>
      </c>
      <c r="I19" s="4">
        <f>AVERAGE(B$40:B$43)</f>
        <v>0.33424999999999999</v>
      </c>
      <c r="J19" s="18">
        <v>0</v>
      </c>
      <c r="K19" s="18">
        <f>_xlfn.STDEV.P(Tabela71017[y (m)])</f>
        <v>8.2915619758885072E-4</v>
      </c>
    </row>
    <row r="20" spans="1:11" x14ac:dyDescent="0.25">
      <c r="A20" s="4">
        <f>1.25-0.11</f>
        <v>1.1399999999999999</v>
      </c>
      <c r="B20" s="4">
        <v>0.11899999999999999</v>
      </c>
      <c r="D20" s="4">
        <f>-0.11+1.2</f>
        <v>1.0899999999999999</v>
      </c>
      <c r="E20" s="4">
        <v>0.16300000000000001</v>
      </c>
      <c r="G20" s="5">
        <v>10</v>
      </c>
      <c r="H20" s="4">
        <f>AVERAGE(D$40:D$43)</f>
        <v>0.79</v>
      </c>
      <c r="I20" s="4">
        <f>AVERAGE(E$40:E$43)</f>
        <v>0.35949999999999999</v>
      </c>
      <c r="J20" s="18">
        <v>0</v>
      </c>
      <c r="K20" s="18">
        <f>_xlfn.STDEV.P(Tabela71018[y (m)])</f>
        <v>1.5000000000000013E-3</v>
      </c>
    </row>
    <row r="21" spans="1:11" x14ac:dyDescent="0.25">
      <c r="A21" s="4">
        <f>-0.11+1.25</f>
        <v>1.1399999999999999</v>
      </c>
      <c r="B21" s="4">
        <v>0.11799999999999999</v>
      </c>
      <c r="D21" s="4">
        <f>-0.11+1.2</f>
        <v>1.0899999999999999</v>
      </c>
      <c r="E21" s="4">
        <v>0.16300000000000001</v>
      </c>
      <c r="G21" s="5">
        <v>11</v>
      </c>
      <c r="H21" s="4">
        <f>AVERAGE(A$47:A$50)</f>
        <v>0.74</v>
      </c>
      <c r="I21" s="4">
        <f>AVERAGE(B$47:B$50)</f>
        <v>0.38300000000000001</v>
      </c>
      <c r="J21" s="18">
        <v>0</v>
      </c>
      <c r="K21" s="18">
        <f>_xlfn.STDEV.P(Tabela71019[y (m)])</f>
        <v>0</v>
      </c>
    </row>
    <row r="22" spans="1:11" x14ac:dyDescent="0.25">
      <c r="A22" s="4">
        <f>-0.11+1.25</f>
        <v>1.1399999999999999</v>
      </c>
      <c r="B22" s="4">
        <v>0.115</v>
      </c>
      <c r="D22" s="4">
        <f>-0.11+1.2</f>
        <v>1.0899999999999999</v>
      </c>
      <c r="E22" s="4">
        <v>0.16300000000000001</v>
      </c>
      <c r="G22" s="5">
        <v>12</v>
      </c>
      <c r="H22" s="4">
        <f>AVERAGE(D$47:D$50)</f>
        <v>0.69000000000000006</v>
      </c>
      <c r="I22" s="4">
        <f>AVERAGE(E$47:E$50)</f>
        <v>0.4</v>
      </c>
      <c r="J22" s="18">
        <v>0</v>
      </c>
      <c r="K22" s="18">
        <f>_xlfn.STDEV.P(Tabela71020[y (m)])</f>
        <v>0</v>
      </c>
    </row>
    <row r="23" spans="1:11" x14ac:dyDescent="0.25">
      <c r="G23" s="5">
        <v>13</v>
      </c>
      <c r="H23" s="4">
        <f>AVERAGE(A$54:A$57)</f>
        <v>0.64</v>
      </c>
      <c r="I23" s="4">
        <f>AVERAGE(B$54:B$57)</f>
        <v>0.41474999999999995</v>
      </c>
      <c r="J23" s="18">
        <v>0</v>
      </c>
      <c r="K23" s="18">
        <f>_xlfn.STDEV.P(Tabela71021[y (m)])</f>
        <v>1.2990381056766592E-3</v>
      </c>
    </row>
    <row r="24" spans="1:11" x14ac:dyDescent="0.25">
      <c r="A24" s="13" t="s">
        <v>8</v>
      </c>
      <c r="B24" s="13"/>
      <c r="D24" s="13" t="s">
        <v>9</v>
      </c>
      <c r="E24" s="13"/>
      <c r="G24" s="5">
        <v>14</v>
      </c>
      <c r="H24" s="4">
        <f>AVERAGE(D$54:D$57)</f>
        <v>0.59</v>
      </c>
      <c r="I24" s="4">
        <f>AVERAGE(E$54:E$57)</f>
        <v>0.42374999999999996</v>
      </c>
      <c r="J24" s="18">
        <v>0</v>
      </c>
      <c r="K24" s="18">
        <f>_xlfn.STDEV.P(Tabela71022[y (m)])</f>
        <v>1.7853571071357139E-3</v>
      </c>
    </row>
    <row r="25" spans="1:11" x14ac:dyDescent="0.25">
      <c r="A25" t="s">
        <v>14</v>
      </c>
      <c r="B25" t="s">
        <v>15</v>
      </c>
      <c r="D25" t="s">
        <v>14</v>
      </c>
      <c r="E25" t="s">
        <v>15</v>
      </c>
      <c r="G25" s="5">
        <v>15</v>
      </c>
      <c r="H25" s="4">
        <f>AVERAGE(A$61:A$64)</f>
        <v>0.54</v>
      </c>
      <c r="I25" s="4">
        <f>AVERAGE(B$61:B$64)</f>
        <v>0.43099999999999999</v>
      </c>
      <c r="J25" s="18">
        <v>0</v>
      </c>
      <c r="K25" s="18">
        <f>_xlfn.STDEV.P(Tabela71023[y (m)])</f>
        <v>0</v>
      </c>
    </row>
    <row r="26" spans="1:11" x14ac:dyDescent="0.25">
      <c r="A26" s="4">
        <f>-0.11+1.15</f>
        <v>1.0399999999999998</v>
      </c>
      <c r="B26" s="11">
        <v>0.2</v>
      </c>
      <c r="D26" s="4">
        <f>-0.11+1.1</f>
        <v>0.9900000000000001</v>
      </c>
      <c r="E26" s="4">
        <v>0.23899999999999999</v>
      </c>
      <c r="G26" s="5">
        <v>16</v>
      </c>
      <c r="H26" s="4">
        <f>AVERAGE(D$61:D$64)</f>
        <v>0.49</v>
      </c>
      <c r="I26" s="4">
        <f>AVERAGE(E$61:E$64)</f>
        <v>0.4355</v>
      </c>
      <c r="J26" s="18">
        <v>0</v>
      </c>
      <c r="K26" s="18">
        <f>_xlfn.STDEV.P(Tabela71024[y (m)])</f>
        <v>2.0615528128088323E-3</v>
      </c>
    </row>
    <row r="27" spans="1:11" x14ac:dyDescent="0.25">
      <c r="A27" s="4">
        <f>-0.11+1.15</f>
        <v>1.0399999999999998</v>
      </c>
      <c r="B27" s="11">
        <v>0.20200000000000001</v>
      </c>
      <c r="D27" s="4">
        <f>-0.11+1.1</f>
        <v>0.9900000000000001</v>
      </c>
      <c r="E27" s="4">
        <v>0.24</v>
      </c>
      <c r="G27" s="5">
        <v>17</v>
      </c>
      <c r="H27" s="4">
        <f>AVERAGE(A$68:A$71)</f>
        <v>0.44000000000000006</v>
      </c>
      <c r="I27" s="4">
        <f>AVERAGE(B$68:B$71)</f>
        <v>0.43575000000000003</v>
      </c>
      <c r="J27" s="18">
        <v>0</v>
      </c>
      <c r="K27" s="18">
        <f>_xlfn.STDEV.P(Tabela71025[y (m)])</f>
        <v>1.7853571071357139E-3</v>
      </c>
    </row>
    <row r="28" spans="1:11" x14ac:dyDescent="0.25">
      <c r="A28" s="4">
        <f>-0.11+1.15</f>
        <v>1.0399999999999998</v>
      </c>
      <c r="B28" s="11">
        <v>0.20300000000000001</v>
      </c>
      <c r="D28" s="4">
        <f>-0.11+1.1</f>
        <v>0.9900000000000001</v>
      </c>
      <c r="E28" s="4">
        <v>0.24299999999999999</v>
      </c>
      <c r="G28" s="5">
        <v>18</v>
      </c>
      <c r="H28" s="4">
        <f>AVERAGE(D$68:D$71)</f>
        <v>0.39</v>
      </c>
      <c r="I28" s="4">
        <f>AVERAGE(E$68:E$71)</f>
        <v>0.432</v>
      </c>
      <c r="J28" s="18">
        <v>0</v>
      </c>
      <c r="K28" s="18">
        <f>_xlfn.STDEV.P(Tabela71026[y (m)])</f>
        <v>1.8708286933869723E-3</v>
      </c>
    </row>
    <row r="29" spans="1:11" x14ac:dyDescent="0.25">
      <c r="A29" s="4">
        <f>-0.11+1.15</f>
        <v>1.0399999999999998</v>
      </c>
      <c r="B29" s="11">
        <v>0.20399999999999999</v>
      </c>
      <c r="D29" s="4">
        <f>-0.11+1.1</f>
        <v>0.9900000000000001</v>
      </c>
      <c r="E29" s="4">
        <v>0.24399999999999999</v>
      </c>
      <c r="G29" s="5">
        <v>19</v>
      </c>
      <c r="H29" s="4">
        <f>AVERAGE(A$75:A$78)</f>
        <v>0.34</v>
      </c>
      <c r="I29" s="4">
        <f>AVERAGE(B$75:B$78)</f>
        <v>0.42849999999999999</v>
      </c>
      <c r="J29" s="18">
        <v>0</v>
      </c>
      <c r="K29" s="18">
        <f>_xlfn.STDEV.P(Tabela71027[y (m)])</f>
        <v>5.0000000000000044E-4</v>
      </c>
    </row>
    <row r="30" spans="1:11" x14ac:dyDescent="0.25">
      <c r="G30" s="5">
        <v>20</v>
      </c>
      <c r="H30" s="4">
        <f>AVERAGE(D$75:D$78)</f>
        <v>0.29000000000000004</v>
      </c>
      <c r="I30" s="4">
        <f>AVERAGE(E$75:E$78)</f>
        <v>0.41</v>
      </c>
      <c r="J30" s="18">
        <v>0</v>
      </c>
      <c r="K30" s="18">
        <f>_xlfn.STDEV.P(Tabela71028[y (m)])</f>
        <v>0</v>
      </c>
    </row>
    <row r="31" spans="1:11" x14ac:dyDescent="0.25">
      <c r="A31" s="13" t="s">
        <v>10</v>
      </c>
      <c r="B31" s="13"/>
      <c r="D31" s="13" t="s">
        <v>11</v>
      </c>
      <c r="E31" s="13"/>
      <c r="G31" s="5">
        <v>0</v>
      </c>
      <c r="H31" s="4">
        <v>0</v>
      </c>
      <c r="I31" s="4">
        <v>0.26300000000000001</v>
      </c>
      <c r="J31" s="18">
        <v>0</v>
      </c>
      <c r="K31" s="18">
        <f>0.0005</f>
        <v>5.0000000000000001E-4</v>
      </c>
    </row>
    <row r="32" spans="1:11" x14ac:dyDescent="0.25">
      <c r="A32" t="s">
        <v>14</v>
      </c>
      <c r="B32" t="s">
        <v>15</v>
      </c>
      <c r="D32" t="s">
        <v>14</v>
      </c>
      <c r="E32" t="s">
        <v>15</v>
      </c>
    </row>
    <row r="33" spans="1:5" x14ac:dyDescent="0.25">
      <c r="A33" s="4">
        <f>-0.11+1.05</f>
        <v>0.94000000000000006</v>
      </c>
      <c r="B33" s="4">
        <v>0.27500000000000002</v>
      </c>
      <c r="D33" s="4">
        <f>-0.11+1</f>
        <v>0.89</v>
      </c>
      <c r="E33" s="4">
        <v>0.307</v>
      </c>
    </row>
    <row r="34" spans="1:5" x14ac:dyDescent="0.25">
      <c r="A34" s="4">
        <f>-0.11+1.05</f>
        <v>0.94000000000000006</v>
      </c>
      <c r="B34" s="4">
        <v>0.27600000000000002</v>
      </c>
      <c r="D34" s="4">
        <f>-0.11+1</f>
        <v>0.89</v>
      </c>
      <c r="E34" s="4">
        <v>0.30599999999999999</v>
      </c>
    </row>
    <row r="35" spans="1:5" x14ac:dyDescent="0.25">
      <c r="A35" s="4">
        <f>-0.11+1.05</f>
        <v>0.94000000000000006</v>
      </c>
      <c r="B35" s="4">
        <v>0.27600000000000002</v>
      </c>
      <c r="D35" s="4">
        <f>-0.11+1</f>
        <v>0.89</v>
      </c>
      <c r="E35" s="4">
        <v>0.308</v>
      </c>
    </row>
    <row r="36" spans="1:5" x14ac:dyDescent="0.25">
      <c r="A36" s="4">
        <f>-0.11+1.05</f>
        <v>0.94000000000000006</v>
      </c>
      <c r="B36" s="4">
        <v>0.27600000000000002</v>
      </c>
      <c r="D36" s="4">
        <f>-0.11+1</f>
        <v>0.89</v>
      </c>
      <c r="E36" s="4">
        <v>0.307</v>
      </c>
    </row>
    <row r="38" spans="1:5" x14ac:dyDescent="0.25">
      <c r="A38" s="13" t="s">
        <v>12</v>
      </c>
      <c r="B38" s="13"/>
      <c r="D38" s="13" t="s">
        <v>13</v>
      </c>
      <c r="E38" s="13"/>
    </row>
    <row r="39" spans="1:5" x14ac:dyDescent="0.25">
      <c r="A39" t="s">
        <v>14</v>
      </c>
      <c r="B39" t="s">
        <v>15</v>
      </c>
      <c r="D39" t="s">
        <v>14</v>
      </c>
      <c r="E39" t="s">
        <v>15</v>
      </c>
    </row>
    <row r="40" spans="1:5" x14ac:dyDescent="0.25">
      <c r="A40" s="4">
        <f>-0.11+0.95</f>
        <v>0.84</v>
      </c>
      <c r="B40" s="4">
        <v>0.33300000000000002</v>
      </c>
      <c r="D40" s="4">
        <f>-0.11+0.9</f>
        <v>0.79</v>
      </c>
      <c r="E40" s="4">
        <v>0.35799999999999998</v>
      </c>
    </row>
    <row r="41" spans="1:5" x14ac:dyDescent="0.25">
      <c r="A41" s="4">
        <f>-0.11+0.95</f>
        <v>0.84</v>
      </c>
      <c r="B41" s="4">
        <v>0.33400000000000002</v>
      </c>
      <c r="D41" s="4">
        <f>-0.11+0.9</f>
        <v>0.79</v>
      </c>
      <c r="E41" s="4">
        <v>0.36199999999999999</v>
      </c>
    </row>
    <row r="42" spans="1:5" x14ac:dyDescent="0.25">
      <c r="A42" s="4">
        <f>-0.11+0.95</f>
        <v>0.84</v>
      </c>
      <c r="B42" s="4">
        <v>0.33500000000000002</v>
      </c>
      <c r="D42" s="4">
        <f>-0.11+0.9</f>
        <v>0.79</v>
      </c>
      <c r="E42" s="4">
        <v>0.35899999999999999</v>
      </c>
    </row>
    <row r="43" spans="1:5" x14ac:dyDescent="0.25">
      <c r="A43" s="4">
        <f>-0.11+0.95</f>
        <v>0.84</v>
      </c>
      <c r="B43" s="4">
        <v>0.33500000000000002</v>
      </c>
      <c r="D43" s="4">
        <f>-0.11+0.9</f>
        <v>0.79</v>
      </c>
      <c r="E43" s="4">
        <v>0.35899999999999999</v>
      </c>
    </row>
    <row r="45" spans="1:5" x14ac:dyDescent="0.25">
      <c r="A45" s="13" t="s">
        <v>19</v>
      </c>
      <c r="B45" s="13"/>
      <c r="D45" s="13" t="s">
        <v>20</v>
      </c>
      <c r="E45" s="13"/>
    </row>
    <row r="46" spans="1:5" x14ac:dyDescent="0.25">
      <c r="A46" t="s">
        <v>14</v>
      </c>
      <c r="B46" t="s">
        <v>15</v>
      </c>
      <c r="D46" t="s">
        <v>14</v>
      </c>
      <c r="E46" t="s">
        <v>15</v>
      </c>
    </row>
    <row r="47" spans="1:5" x14ac:dyDescent="0.25">
      <c r="A47" s="4">
        <f>-0.11+0.85</f>
        <v>0.74</v>
      </c>
      <c r="B47" s="4">
        <v>0.38300000000000001</v>
      </c>
      <c r="D47" s="4">
        <f>-0.11+0.8</f>
        <v>0.69000000000000006</v>
      </c>
      <c r="E47" s="4">
        <v>0.4</v>
      </c>
    </row>
    <row r="48" spans="1:5" x14ac:dyDescent="0.25">
      <c r="A48" s="4">
        <f>-0.11+0.85</f>
        <v>0.74</v>
      </c>
      <c r="B48" s="4">
        <v>0.38300000000000001</v>
      </c>
      <c r="D48" s="4">
        <f>-0.11+0.8</f>
        <v>0.69000000000000006</v>
      </c>
      <c r="E48" s="4">
        <v>0.4</v>
      </c>
    </row>
    <row r="49" spans="1:5" x14ac:dyDescent="0.25">
      <c r="A49" s="4">
        <f>-0.11+0.85</f>
        <v>0.74</v>
      </c>
      <c r="B49" s="4">
        <v>0.38300000000000001</v>
      </c>
      <c r="D49" s="4">
        <f>-0.11+0.8</f>
        <v>0.69000000000000006</v>
      </c>
      <c r="E49" s="4">
        <v>0.4</v>
      </c>
    </row>
    <row r="50" spans="1:5" x14ac:dyDescent="0.25">
      <c r="A50" s="4">
        <f>-0.11+0.85</f>
        <v>0.74</v>
      </c>
      <c r="B50" s="4">
        <v>0.38300000000000001</v>
      </c>
      <c r="D50" s="4">
        <f>-0.11+0.8</f>
        <v>0.69000000000000006</v>
      </c>
      <c r="E50" s="4">
        <v>0.4</v>
      </c>
    </row>
    <row r="52" spans="1:5" x14ac:dyDescent="0.25">
      <c r="A52" s="13" t="s">
        <v>21</v>
      </c>
      <c r="B52" s="13"/>
      <c r="D52" s="13" t="s">
        <v>22</v>
      </c>
      <c r="E52" s="13"/>
    </row>
    <row r="53" spans="1:5" x14ac:dyDescent="0.25">
      <c r="A53" t="s">
        <v>14</v>
      </c>
      <c r="B53" t="s">
        <v>15</v>
      </c>
      <c r="D53" t="s">
        <v>14</v>
      </c>
      <c r="E53" t="s">
        <v>15</v>
      </c>
    </row>
    <row r="54" spans="1:5" x14ac:dyDescent="0.25">
      <c r="A54" s="4">
        <f>-0.11+0.75</f>
        <v>0.64</v>
      </c>
      <c r="B54" s="4">
        <v>0.41699999999999998</v>
      </c>
      <c r="D54" s="4">
        <f>-0.11+0.7</f>
        <v>0.59</v>
      </c>
      <c r="E54" s="4">
        <v>0.42099999999999999</v>
      </c>
    </row>
    <row r="55" spans="1:5" x14ac:dyDescent="0.25">
      <c r="A55" s="4">
        <f>-0.11+0.75</f>
        <v>0.64</v>
      </c>
      <c r="B55" s="4">
        <v>0.41399999999999998</v>
      </c>
      <c r="D55" s="4">
        <f>-0.11+0.7</f>
        <v>0.59</v>
      </c>
      <c r="E55" s="4">
        <v>0.42399999999999999</v>
      </c>
    </row>
    <row r="56" spans="1:5" x14ac:dyDescent="0.25">
      <c r="A56" s="4">
        <f>-0.11+0.75</f>
        <v>0.64</v>
      </c>
      <c r="B56" s="4">
        <v>0.41399999999999998</v>
      </c>
      <c r="D56" s="4">
        <f>-0.11+0.7</f>
        <v>0.59</v>
      </c>
      <c r="E56" s="4">
        <v>0.42399999999999999</v>
      </c>
    </row>
    <row r="57" spans="1:5" x14ac:dyDescent="0.25">
      <c r="A57" s="4">
        <f>-0.11+0.75</f>
        <v>0.64</v>
      </c>
      <c r="B57" s="4">
        <v>0.41399999999999998</v>
      </c>
      <c r="D57" s="4">
        <f>-0.11+0.7</f>
        <v>0.59</v>
      </c>
      <c r="E57" s="4">
        <v>0.42599999999999999</v>
      </c>
    </row>
    <row r="59" spans="1:5" x14ac:dyDescent="0.25">
      <c r="A59" s="13" t="s">
        <v>23</v>
      </c>
      <c r="B59" s="13"/>
      <c r="D59" s="13" t="s">
        <v>24</v>
      </c>
      <c r="E59" s="13"/>
    </row>
    <row r="60" spans="1:5" x14ac:dyDescent="0.25">
      <c r="A60" t="s">
        <v>14</v>
      </c>
      <c r="B60" t="s">
        <v>15</v>
      </c>
      <c r="D60" t="s">
        <v>14</v>
      </c>
      <c r="E60" t="s">
        <v>15</v>
      </c>
    </row>
    <row r="61" spans="1:5" x14ac:dyDescent="0.25">
      <c r="A61" s="4">
        <f>-0.11+0.65</f>
        <v>0.54</v>
      </c>
      <c r="B61" s="4">
        <v>0.43099999999999999</v>
      </c>
      <c r="D61" s="4">
        <f>-0.11+0.6</f>
        <v>0.49</v>
      </c>
      <c r="E61" s="4">
        <v>0.432</v>
      </c>
    </row>
    <row r="62" spans="1:5" x14ac:dyDescent="0.25">
      <c r="A62" s="4">
        <f>-0.11+0.65</f>
        <v>0.54</v>
      </c>
      <c r="B62" s="4">
        <v>0.43099999999999999</v>
      </c>
      <c r="D62" s="4">
        <f>-0.11+0.6</f>
        <v>0.49</v>
      </c>
      <c r="E62" s="4">
        <v>0.436</v>
      </c>
    </row>
    <row r="63" spans="1:5" x14ac:dyDescent="0.25">
      <c r="A63" s="4">
        <f>-0.11+0.65</f>
        <v>0.54</v>
      </c>
      <c r="B63" s="4">
        <v>0.43099999999999999</v>
      </c>
      <c r="D63" s="4">
        <f>-0.11+0.6</f>
        <v>0.49</v>
      </c>
      <c r="E63" s="4">
        <v>0.437</v>
      </c>
    </row>
    <row r="64" spans="1:5" x14ac:dyDescent="0.25">
      <c r="A64" s="4">
        <f>-0.11+0.65</f>
        <v>0.54</v>
      </c>
      <c r="B64" s="4">
        <v>0.43099999999999999</v>
      </c>
      <c r="D64" s="4">
        <f>-0.11+0.6</f>
        <v>0.49</v>
      </c>
      <c r="E64" s="4">
        <v>0.437</v>
      </c>
    </row>
    <row r="66" spans="1:5" x14ac:dyDescent="0.25">
      <c r="A66" s="13" t="s">
        <v>25</v>
      </c>
      <c r="B66" s="13"/>
      <c r="D66" s="13" t="s">
        <v>26</v>
      </c>
      <c r="E66" s="13"/>
    </row>
    <row r="67" spans="1:5" x14ac:dyDescent="0.25">
      <c r="A67" t="s">
        <v>14</v>
      </c>
      <c r="B67" t="s">
        <v>15</v>
      </c>
      <c r="D67" t="s">
        <v>14</v>
      </c>
      <c r="E67" t="s">
        <v>15</v>
      </c>
    </row>
    <row r="68" spans="1:5" x14ac:dyDescent="0.25">
      <c r="A68" s="4">
        <f>-0.11+0.55</f>
        <v>0.44000000000000006</v>
      </c>
      <c r="B68" s="4">
        <v>0.438</v>
      </c>
      <c r="D68" s="4">
        <f>-0.11+0.5</f>
        <v>0.39</v>
      </c>
      <c r="E68" s="4">
        <v>0.435</v>
      </c>
    </row>
    <row r="69" spans="1:5" x14ac:dyDescent="0.25">
      <c r="A69" s="4">
        <f>-0.11+0.55</f>
        <v>0.44000000000000006</v>
      </c>
      <c r="B69" s="4">
        <v>0.434</v>
      </c>
      <c r="D69" s="4">
        <f>-0.11+0.5</f>
        <v>0.39</v>
      </c>
      <c r="E69" s="4">
        <v>0.43</v>
      </c>
    </row>
    <row r="70" spans="1:5" x14ac:dyDescent="0.25">
      <c r="A70" s="4">
        <f>-0.11+0.55</f>
        <v>0.44000000000000006</v>
      </c>
      <c r="B70" s="4">
        <v>0.434</v>
      </c>
      <c r="D70" s="4">
        <f>-0.11+0.5</f>
        <v>0.39</v>
      </c>
      <c r="E70" s="4">
        <v>0.43099999999999999</v>
      </c>
    </row>
    <row r="71" spans="1:5" x14ac:dyDescent="0.25">
      <c r="A71" s="4">
        <f>-0.11+0.55</f>
        <v>0.44000000000000006</v>
      </c>
      <c r="B71" s="4">
        <v>0.437</v>
      </c>
      <c r="D71" s="4">
        <f>-0.11+0.5</f>
        <v>0.39</v>
      </c>
      <c r="E71" s="4">
        <v>0.432</v>
      </c>
    </row>
    <row r="73" spans="1:5" x14ac:dyDescent="0.25">
      <c r="A73" s="13" t="s">
        <v>27</v>
      </c>
      <c r="B73" s="13"/>
      <c r="D73" s="13" t="s">
        <v>28</v>
      </c>
      <c r="E73" s="13"/>
    </row>
    <row r="74" spans="1:5" x14ac:dyDescent="0.25">
      <c r="A74" t="s">
        <v>14</v>
      </c>
      <c r="B74" t="s">
        <v>15</v>
      </c>
      <c r="D74" t="s">
        <v>14</v>
      </c>
      <c r="E74" t="s">
        <v>15</v>
      </c>
    </row>
    <row r="75" spans="1:5" x14ac:dyDescent="0.25">
      <c r="A75" s="4">
        <f>-0.11+0.45</f>
        <v>0.34</v>
      </c>
      <c r="B75" s="4">
        <v>0.42899999999999999</v>
      </c>
      <c r="D75" s="4">
        <f>-0.11+0.4</f>
        <v>0.29000000000000004</v>
      </c>
      <c r="E75" s="4">
        <v>0.41</v>
      </c>
    </row>
    <row r="76" spans="1:5" x14ac:dyDescent="0.25">
      <c r="A76" s="4">
        <f>-0.11+0.45</f>
        <v>0.34</v>
      </c>
      <c r="B76" s="4">
        <v>0.42899999999999999</v>
      </c>
      <c r="D76" s="4">
        <f>-0.11+0.4</f>
        <v>0.29000000000000004</v>
      </c>
      <c r="E76" s="4">
        <v>0.41</v>
      </c>
    </row>
    <row r="77" spans="1:5" x14ac:dyDescent="0.25">
      <c r="A77" s="4">
        <f>-0.11+0.45</f>
        <v>0.34</v>
      </c>
      <c r="B77" s="4">
        <v>0.42799999999999999</v>
      </c>
      <c r="D77" s="4">
        <f>-0.11+0.4</f>
        <v>0.29000000000000004</v>
      </c>
      <c r="E77" s="4">
        <v>0.41</v>
      </c>
    </row>
    <row r="78" spans="1:5" x14ac:dyDescent="0.25">
      <c r="A78" s="4">
        <f>-0.11+0.45</f>
        <v>0.34</v>
      </c>
      <c r="B78" s="4">
        <v>0.42799999999999999</v>
      </c>
      <c r="D78" s="4">
        <f>-0.11+0.4</f>
        <v>0.29000000000000004</v>
      </c>
      <c r="E78" s="4">
        <v>0.41</v>
      </c>
    </row>
  </sheetData>
  <mergeCells count="20">
    <mergeCell ref="A73:B73"/>
    <mergeCell ref="D73:E73"/>
    <mergeCell ref="A52:B52"/>
    <mergeCell ref="D52:E52"/>
    <mergeCell ref="A59:B59"/>
    <mergeCell ref="D59:E59"/>
    <mergeCell ref="A66:B66"/>
    <mergeCell ref="D66:E66"/>
    <mergeCell ref="A31:B31"/>
    <mergeCell ref="D31:E31"/>
    <mergeCell ref="A38:B38"/>
    <mergeCell ref="D38:E38"/>
    <mergeCell ref="A45:B45"/>
    <mergeCell ref="D45:E45"/>
    <mergeCell ref="A10:B10"/>
    <mergeCell ref="D10:E10"/>
    <mergeCell ref="A17:B17"/>
    <mergeCell ref="D17:E17"/>
    <mergeCell ref="A24:B24"/>
    <mergeCell ref="D24:E24"/>
  </mergeCells>
  <phoneticPr fontId="3" type="noConversion"/>
  <pageMargins left="0.7" right="0.7" top="0.75" bottom="0.75" header="0.3" footer="0.3"/>
  <pageSetup paperSize="9" orientation="portrait" verticalDpi="300" r:id="rId1"/>
  <drawing r:id="rId2"/>
  <tableParts count="2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6D62-8305-47A0-916F-F774163EFA37}">
  <dimension ref="B4:L78"/>
  <sheetViews>
    <sheetView topLeftCell="J1" zoomScale="84" workbookViewId="0">
      <selection activeCell="P23" sqref="P23"/>
    </sheetView>
  </sheetViews>
  <sheetFormatPr defaultRowHeight="15" x14ac:dyDescent="0.25"/>
  <cols>
    <col min="2" max="2" width="17.7109375" bestFit="1" customWidth="1"/>
    <col min="3" max="3" width="8.42578125" bestFit="1" customWidth="1"/>
    <col min="4" max="4" width="10.85546875" customWidth="1"/>
    <col min="5" max="5" width="29.28515625" bestFit="1" customWidth="1"/>
    <col min="6" max="6" width="8.42578125" bestFit="1" customWidth="1"/>
    <col min="7" max="7" width="12.5703125" customWidth="1"/>
    <col min="8" max="8" width="33.28515625" bestFit="1" customWidth="1"/>
    <col min="9" max="9" width="16.42578125" bestFit="1" customWidth="1"/>
    <col min="10" max="10" width="17" bestFit="1" customWidth="1"/>
    <col min="11" max="11" width="11.7109375" bestFit="1" customWidth="1"/>
    <col min="12" max="12" width="9.85546875" bestFit="1" customWidth="1"/>
    <col min="13" max="13" width="16.42578125" bestFit="1" customWidth="1"/>
    <col min="14" max="14" width="16.85546875" bestFit="1" customWidth="1"/>
    <col min="15" max="15" width="11.42578125" bestFit="1" customWidth="1"/>
  </cols>
  <sheetData>
    <row r="4" spans="2:12" x14ac:dyDescent="0.25">
      <c r="B4" s="1" t="s">
        <v>41</v>
      </c>
      <c r="C4" s="3">
        <v>45</v>
      </c>
      <c r="E4" s="1" t="s">
        <v>40</v>
      </c>
      <c r="F4" s="6">
        <v>0.5</v>
      </c>
    </row>
    <row r="6" spans="2:12" x14ac:dyDescent="0.25">
      <c r="B6" s="1" t="s">
        <v>31</v>
      </c>
      <c r="C6" s="2">
        <v>0.26700000000000002</v>
      </c>
      <c r="E6" s="1" t="s">
        <v>30</v>
      </c>
      <c r="F6" s="2">
        <v>8.2000000000000003E-2</v>
      </c>
      <c r="H6" s="8" t="s">
        <v>43</v>
      </c>
      <c r="I6" s="10">
        <v>5.0000000000000002E-5</v>
      </c>
    </row>
    <row r="10" spans="2:12" x14ac:dyDescent="0.25">
      <c r="B10" s="13" t="s">
        <v>4</v>
      </c>
      <c r="C10" s="13"/>
      <c r="E10" s="13" t="s">
        <v>5</v>
      </c>
      <c r="F10" s="13"/>
      <c r="H10" t="s">
        <v>16</v>
      </c>
      <c r="I10" t="s">
        <v>42</v>
      </c>
      <c r="J10" t="s">
        <v>18</v>
      </c>
      <c r="K10" t="s">
        <v>38</v>
      </c>
      <c r="L10" t="s">
        <v>39</v>
      </c>
    </row>
    <row r="11" spans="2:12" x14ac:dyDescent="0.25">
      <c r="B11" t="s">
        <v>14</v>
      </c>
      <c r="C11" t="s">
        <v>15</v>
      </c>
      <c r="E11" t="s">
        <v>14</v>
      </c>
      <c r="F11" t="s">
        <v>15</v>
      </c>
      <c r="H11">
        <v>1</v>
      </c>
      <c r="I11" s="4">
        <f>AVERAGE(B$12:B$15)</f>
        <v>1.1905000000000001</v>
      </c>
      <c r="J11" s="4">
        <f>AVERAGE(C$12:C$15)</f>
        <v>0</v>
      </c>
      <c r="K11" s="9">
        <f>_xlfn.STDEV.P(Tabela730[x (m)])/4</f>
        <v>2.0728904939721266E-3</v>
      </c>
      <c r="L11" s="9">
        <v>0</v>
      </c>
    </row>
    <row r="12" spans="2:12" x14ac:dyDescent="0.25">
      <c r="B12" s="4">
        <f>-0.082+1.28</f>
        <v>1.198</v>
      </c>
      <c r="C12" s="4">
        <v>0</v>
      </c>
      <c r="E12" s="4">
        <f>-0.082+1.2</f>
        <v>1.1179999999999999</v>
      </c>
      <c r="F12" s="4">
        <v>0.12</v>
      </c>
      <c r="H12">
        <v>2</v>
      </c>
      <c r="I12" s="4">
        <f>AVERAGE(E$12:E$15)</f>
        <v>1.1179999999999999</v>
      </c>
      <c r="J12" s="4">
        <f>AVERAGE(F$12:F$15)</f>
        <v>0.12025</v>
      </c>
      <c r="K12" s="9">
        <v>0</v>
      </c>
      <c r="L12" s="9">
        <f>_xlfn.STDEV.P(Tabela71032[y (m)])/4</f>
        <v>2.7243118397129236E-4</v>
      </c>
    </row>
    <row r="13" spans="2:12" x14ac:dyDescent="0.25">
      <c r="B13" s="4">
        <f>-0.082+1.26</f>
        <v>1.1779999999999999</v>
      </c>
      <c r="C13" s="4">
        <v>0</v>
      </c>
      <c r="E13" s="4">
        <f>-0.082+1.2</f>
        <v>1.1179999999999999</v>
      </c>
      <c r="F13" s="4">
        <v>0.12</v>
      </c>
      <c r="H13">
        <v>3</v>
      </c>
      <c r="I13" s="4">
        <f>AVERAGE(B$19:B$22)</f>
        <v>1.0679999999999998</v>
      </c>
      <c r="J13" s="4">
        <f>AVERAGE(C$19:C$22)</f>
        <v>0.20474999999999999</v>
      </c>
      <c r="K13" s="9">
        <v>0</v>
      </c>
      <c r="L13" s="9">
        <f>_xlfn.STDEV.P(Tabela7101133[y (m)])/4</f>
        <v>4.8007160924178597E-4</v>
      </c>
    </row>
    <row r="14" spans="2:12" x14ac:dyDescent="0.25">
      <c r="B14" s="4">
        <f>-0.082+1.27</f>
        <v>1.1879999999999999</v>
      </c>
      <c r="C14" s="4">
        <v>0</v>
      </c>
      <c r="E14" s="4">
        <f>-0.082+1.2</f>
        <v>1.1179999999999999</v>
      </c>
      <c r="F14" s="4">
        <v>0.122</v>
      </c>
      <c r="H14">
        <v>4</v>
      </c>
      <c r="I14" s="4">
        <f>AVERAGE(E$19:E$22)</f>
        <v>1.018</v>
      </c>
      <c r="J14" s="4">
        <f>AVERAGE(F$19:F$22)</f>
        <v>0.33500000000000002</v>
      </c>
      <c r="K14" s="9">
        <v>0</v>
      </c>
      <c r="L14" s="9">
        <f>_xlfn.STDEV.P(Tabela7101234[y (m)])/4</f>
        <v>3.5355339059327408E-4</v>
      </c>
    </row>
    <row r="15" spans="2:12" x14ac:dyDescent="0.25">
      <c r="B15" s="4">
        <f>-0.082+1.28</f>
        <v>1.198</v>
      </c>
      <c r="C15" s="4">
        <v>0</v>
      </c>
      <c r="E15" s="4">
        <f>-0.082+1.2</f>
        <v>1.1179999999999999</v>
      </c>
      <c r="F15" s="4">
        <v>0.11899999999999999</v>
      </c>
      <c r="H15">
        <v>5</v>
      </c>
      <c r="I15" s="4">
        <f>AVERAGE(B$26:B$29)</f>
        <v>0.96800000000000008</v>
      </c>
      <c r="J15" s="4">
        <f>AVERAGE(C$26:C$29)</f>
        <v>0.38600000000000001</v>
      </c>
      <c r="K15" s="9">
        <v>0</v>
      </c>
      <c r="L15" s="9">
        <f>_xlfn.STDEV.P(Tabela7101335[y (m)])/4</f>
        <v>1.7677669529663704E-4</v>
      </c>
    </row>
    <row r="16" spans="2:12" x14ac:dyDescent="0.25">
      <c r="H16">
        <v>6</v>
      </c>
      <c r="I16" s="4">
        <f>AVERAGE(E$26:E$29)</f>
        <v>0.91800000000000004</v>
      </c>
      <c r="J16" s="4">
        <f>AVERAGE(F$26:F$29)</f>
        <v>0.4365</v>
      </c>
      <c r="K16" s="9">
        <v>0</v>
      </c>
      <c r="L16" s="9">
        <f>_xlfn.STDEV.P(Tabela7101436[y (m)])/4</f>
        <v>1.2500000000000011E-4</v>
      </c>
    </row>
    <row r="17" spans="2:12" x14ac:dyDescent="0.25">
      <c r="B17" s="13" t="s">
        <v>6</v>
      </c>
      <c r="C17" s="13"/>
      <c r="E17" s="13" t="s">
        <v>7</v>
      </c>
      <c r="F17" s="13"/>
      <c r="H17">
        <v>7</v>
      </c>
      <c r="I17" s="4">
        <f>AVERAGE(B$33:B$36)</f>
        <v>0.86799999999999999</v>
      </c>
      <c r="J17" s="4">
        <f>AVERAGE(C$33:C$36)</f>
        <v>0.47899999999999998</v>
      </c>
      <c r="K17" s="9">
        <v>0</v>
      </c>
      <c r="L17" s="9">
        <f>_xlfn.STDEV.P(Tabela7101537[y (m)])/4</f>
        <v>1.7677669529663704E-4</v>
      </c>
    </row>
    <row r="18" spans="2:12" x14ac:dyDescent="0.25">
      <c r="B18" t="s">
        <v>14</v>
      </c>
      <c r="C18" t="s">
        <v>15</v>
      </c>
      <c r="E18" t="s">
        <v>14</v>
      </c>
      <c r="F18" t="s">
        <v>15</v>
      </c>
      <c r="H18">
        <v>8</v>
      </c>
      <c r="I18" s="4">
        <f>AVERAGE(E$33:E$36)</f>
        <v>0.81800000000000006</v>
      </c>
      <c r="J18" s="4">
        <f>AVERAGE(F$33:F$36)</f>
        <v>0.51700000000000002</v>
      </c>
      <c r="K18" s="9">
        <v>0</v>
      </c>
      <c r="L18" s="9">
        <f>_xlfn.STDEV.P(Tabela7101638[y (m)])/4</f>
        <v>2.5000000000000022E-4</v>
      </c>
    </row>
    <row r="19" spans="2:12" x14ac:dyDescent="0.25">
      <c r="B19" s="4">
        <f>-0.082+1.15</f>
        <v>1.0679999999999998</v>
      </c>
      <c r="C19" s="4">
        <v>0.20200000000000001</v>
      </c>
      <c r="E19" s="4">
        <f>-0.082+1.1</f>
        <v>1.018</v>
      </c>
      <c r="F19" s="4">
        <v>0.33500000000000002</v>
      </c>
      <c r="H19">
        <v>9</v>
      </c>
      <c r="I19" s="4">
        <f>AVERAGE(B$40:B$43)</f>
        <v>0.76800000000000002</v>
      </c>
      <c r="J19" s="4">
        <f>AVERAGE(C$40:C$43)</f>
        <v>0.55200000000000005</v>
      </c>
      <c r="K19" s="9">
        <v>0</v>
      </c>
      <c r="L19" s="9">
        <f>_xlfn.STDEV.P(Tabela7101739[y (m)])/4</f>
        <v>0</v>
      </c>
    </row>
    <row r="20" spans="2:12" x14ac:dyDescent="0.25">
      <c r="B20" s="4">
        <f>-0.082+1.15</f>
        <v>1.0679999999999998</v>
      </c>
      <c r="C20" s="4">
        <v>0.20599999999999999</v>
      </c>
      <c r="E20" s="4">
        <f>-0.082+1.1</f>
        <v>1.018</v>
      </c>
      <c r="F20" s="4">
        <v>0.33500000000000002</v>
      </c>
      <c r="H20">
        <v>10</v>
      </c>
      <c r="I20" s="4">
        <f>AVERAGE(E$40:E$43)</f>
        <v>0.71800000000000008</v>
      </c>
      <c r="J20" s="4">
        <f>AVERAGE(F$40:F$43)</f>
        <v>0.59150000000000003</v>
      </c>
      <c r="K20" s="9">
        <v>0</v>
      </c>
      <c r="L20" s="9">
        <f>_xlfn.STDEV.P(Tabela7101840[y (m)])/4</f>
        <v>1.2500000000000011E-4</v>
      </c>
    </row>
    <row r="21" spans="2:12" x14ac:dyDescent="0.25">
      <c r="B21" s="4">
        <f>-0.082+1.15</f>
        <v>1.0679999999999998</v>
      </c>
      <c r="C21" s="4">
        <v>0.20399999999999999</v>
      </c>
      <c r="E21" s="4">
        <f>-0.082+1.1</f>
        <v>1.018</v>
      </c>
      <c r="F21" s="4">
        <v>0.33300000000000002</v>
      </c>
      <c r="H21">
        <v>11</v>
      </c>
      <c r="I21" s="4">
        <f>AVERAGE(B$47:B$50)</f>
        <v>0.66800000000000004</v>
      </c>
      <c r="J21" s="4">
        <f>AVERAGE(C$47:C$50)</f>
        <v>0.60150000000000003</v>
      </c>
      <c r="K21" s="9">
        <v>0</v>
      </c>
      <c r="L21" s="9">
        <f>_xlfn.STDEV.P(Tabela7101941[y (m)])/4</f>
        <v>5.1538820320220808E-4</v>
      </c>
    </row>
    <row r="22" spans="2:12" x14ac:dyDescent="0.25">
      <c r="B22" s="4">
        <f>-0.082+1.15</f>
        <v>1.0679999999999998</v>
      </c>
      <c r="C22" s="4">
        <v>0.20699999999999999</v>
      </c>
      <c r="E22" s="4">
        <f>-0.082+1.1</f>
        <v>1.018</v>
      </c>
      <c r="F22" s="4">
        <v>0.33700000000000002</v>
      </c>
      <c r="H22">
        <v>12</v>
      </c>
      <c r="I22" s="4">
        <f>AVERAGE(E$47:E$50)</f>
        <v>0.61799999999999999</v>
      </c>
      <c r="J22" s="4">
        <f>AVERAGE(F$47:F$50)</f>
        <v>0.57324999999999993</v>
      </c>
      <c r="K22" s="9">
        <v>0</v>
      </c>
      <c r="L22" s="9">
        <f>_xlfn.STDEV.P(Tabela7102042[y (m)])/4</f>
        <v>1.20383501776614E-3</v>
      </c>
    </row>
    <row r="23" spans="2:12" x14ac:dyDescent="0.25">
      <c r="H23">
        <v>13</v>
      </c>
      <c r="I23" s="4">
        <f>AVERAGE(B$54:B$57)</f>
        <v>0.56800000000000006</v>
      </c>
      <c r="J23" s="4">
        <f>AVERAGE(C$54:C$57)</f>
        <v>0.57399999999999995</v>
      </c>
      <c r="K23" s="9">
        <v>0</v>
      </c>
      <c r="L23" s="9">
        <f>_xlfn.STDEV.P(Tabela7102143[y (m)])/4</f>
        <v>0</v>
      </c>
    </row>
    <row r="24" spans="2:12" x14ac:dyDescent="0.25">
      <c r="B24" s="13" t="s">
        <v>8</v>
      </c>
      <c r="C24" s="13"/>
      <c r="E24" s="13" t="s">
        <v>9</v>
      </c>
      <c r="F24" s="13"/>
      <c r="H24">
        <v>14</v>
      </c>
      <c r="I24" s="4">
        <f>AVERAGE(E$54:E$57)</f>
        <v>0.51800000000000002</v>
      </c>
      <c r="J24" s="4">
        <f>AVERAGE(F$54:F$57)</f>
        <v>0.56524999999999992</v>
      </c>
      <c r="K24" s="9">
        <v>0</v>
      </c>
      <c r="L24" s="9">
        <f>_xlfn.STDEV.P(Tabela7102244[y (m)])/4</f>
        <v>2.0728904939721268E-4</v>
      </c>
    </row>
    <row r="25" spans="2:12" x14ac:dyDescent="0.25">
      <c r="B25" t="s">
        <v>14</v>
      </c>
      <c r="C25" t="s">
        <v>15</v>
      </c>
      <c r="E25" t="s">
        <v>14</v>
      </c>
      <c r="F25" t="s">
        <v>15</v>
      </c>
      <c r="H25">
        <v>15</v>
      </c>
      <c r="I25" s="4">
        <f>AVERAGE(B$61:B$64)</f>
        <v>0.46800000000000003</v>
      </c>
      <c r="J25" s="4">
        <f>AVERAGE(C$61:C$64)</f>
        <v>0.53425000000000011</v>
      </c>
      <c r="K25" s="9">
        <v>0</v>
      </c>
      <c r="L25" s="9">
        <f>_xlfn.STDEV.P(Tabela7102345[y (m)])/4</f>
        <v>2.0728904939721268E-4</v>
      </c>
    </row>
    <row r="26" spans="2:12" x14ac:dyDescent="0.25">
      <c r="B26" s="4">
        <f>-0.082+1.05</f>
        <v>0.96800000000000008</v>
      </c>
      <c r="C26" s="4">
        <v>0.38700000000000001</v>
      </c>
      <c r="E26" s="4">
        <f>-0.082+1</f>
        <v>0.91800000000000004</v>
      </c>
      <c r="F26" s="4">
        <v>0.437</v>
      </c>
      <c r="H26">
        <v>16</v>
      </c>
      <c r="I26" s="4">
        <f>AVERAGE(E$61:E$64)</f>
        <v>0.41799999999999998</v>
      </c>
      <c r="J26" s="4">
        <f>AVERAGE(F$61:F$64)</f>
        <v>0.50049999999999994</v>
      </c>
      <c r="K26" s="9">
        <v>0</v>
      </c>
      <c r="L26" s="9">
        <f>_xlfn.STDEV.P(Tabela7102446[y (m)])/4</f>
        <v>2.7950849718747401E-4</v>
      </c>
    </row>
    <row r="27" spans="2:12" x14ac:dyDescent="0.25">
      <c r="B27" s="4">
        <f>-0.082+1.05</f>
        <v>0.96800000000000008</v>
      </c>
      <c r="C27" s="4">
        <v>0.38600000000000001</v>
      </c>
      <c r="E27" s="4">
        <f>-0.082+1</f>
        <v>0.91800000000000004</v>
      </c>
      <c r="F27" s="4">
        <v>0.436</v>
      </c>
      <c r="H27">
        <v>17</v>
      </c>
      <c r="I27" s="4">
        <f>AVERAGE(B$68:B$71)</f>
        <v>0.36799999999999999</v>
      </c>
      <c r="J27" s="4">
        <f>AVERAGE(C$68:C$71)</f>
        <v>0.46250000000000002</v>
      </c>
      <c r="K27" s="9">
        <v>0</v>
      </c>
      <c r="L27" s="9">
        <f>_xlfn.STDEV.P(Tabela7102547[y (m)])/4</f>
        <v>2.1650635094610986E-4</v>
      </c>
    </row>
    <row r="28" spans="2:12" x14ac:dyDescent="0.25">
      <c r="B28" s="4">
        <f>-0.082+1.05</f>
        <v>0.96800000000000008</v>
      </c>
      <c r="C28" s="4">
        <v>0.38600000000000001</v>
      </c>
      <c r="E28" s="4">
        <f>-0.082+1</f>
        <v>0.91800000000000004</v>
      </c>
      <c r="F28" s="4">
        <v>0.436</v>
      </c>
      <c r="H28">
        <v>18</v>
      </c>
      <c r="I28" s="4">
        <f>AVERAGE(E$68:E$71)</f>
        <v>0.318</v>
      </c>
      <c r="J28" s="4">
        <f>AVERAGE(F$68:F$71)</f>
        <v>0.42199999999999999</v>
      </c>
      <c r="K28" s="9">
        <v>0</v>
      </c>
      <c r="L28" s="9">
        <f>_xlfn.STDEV.P(Tabela7102648[y (m)])/4</f>
        <v>0</v>
      </c>
    </row>
    <row r="29" spans="2:12" x14ac:dyDescent="0.25">
      <c r="B29" s="4">
        <f>-0.082+1.05</f>
        <v>0.96800000000000008</v>
      </c>
      <c r="C29" s="4">
        <v>0.38500000000000001</v>
      </c>
      <c r="E29" s="4">
        <f>-0.082+1</f>
        <v>0.91800000000000004</v>
      </c>
      <c r="F29" s="4">
        <v>0.437</v>
      </c>
      <c r="H29">
        <v>19</v>
      </c>
      <c r="I29" s="4">
        <f>AVERAGE(B$75:B$78)</f>
        <v>0.26799999999999996</v>
      </c>
      <c r="J29" s="4">
        <f>AVERAGE(C$75:C$78)</f>
        <v>0.42849999999999999</v>
      </c>
      <c r="K29" s="9">
        <v>0</v>
      </c>
      <c r="L29" s="9">
        <f>_xlfn.STDEV.P(Tabela7102749[y (m)])/4</f>
        <v>1.2500000000000011E-4</v>
      </c>
    </row>
    <row r="30" spans="2:12" x14ac:dyDescent="0.25">
      <c r="H30">
        <v>20</v>
      </c>
      <c r="I30" s="4">
        <f>AVERAGE(E$75:E$78)</f>
        <v>0.21799999999999997</v>
      </c>
      <c r="J30" s="4">
        <f>AVERAGE(F$75:F$78)</f>
        <v>0.41</v>
      </c>
      <c r="K30" s="9">
        <v>0</v>
      </c>
      <c r="L30" s="9">
        <f>_xlfn.STDEV.P(Tabela7102850[y (m)])/4</f>
        <v>0</v>
      </c>
    </row>
    <row r="31" spans="2:12" x14ac:dyDescent="0.25">
      <c r="B31" s="13" t="s">
        <v>10</v>
      </c>
      <c r="C31" s="13"/>
      <c r="E31" s="13" t="s">
        <v>11</v>
      </c>
      <c r="F31" s="13"/>
      <c r="H31">
        <v>0</v>
      </c>
      <c r="I31" s="4">
        <v>0</v>
      </c>
      <c r="J31" s="4">
        <v>0.26700000000000002</v>
      </c>
      <c r="K31" s="9">
        <v>0</v>
      </c>
      <c r="L31" s="9">
        <v>5.0000000000000002E-5</v>
      </c>
    </row>
    <row r="32" spans="2:12" x14ac:dyDescent="0.25">
      <c r="B32" t="s">
        <v>14</v>
      </c>
      <c r="C32" t="s">
        <v>15</v>
      </c>
      <c r="E32" t="s">
        <v>14</v>
      </c>
      <c r="F32" t="s">
        <v>15</v>
      </c>
    </row>
    <row r="33" spans="2:6" x14ac:dyDescent="0.25">
      <c r="B33" s="4">
        <f>-0.082+0.95</f>
        <v>0.86799999999999999</v>
      </c>
      <c r="C33" s="4">
        <v>0.47899999999999998</v>
      </c>
      <c r="E33" s="4">
        <f>-0.082+0.9</f>
        <v>0.81800000000000006</v>
      </c>
      <c r="F33" s="4">
        <v>0.51600000000000001</v>
      </c>
    </row>
    <row r="34" spans="2:6" x14ac:dyDescent="0.25">
      <c r="B34" s="4">
        <f>-0.082+0.95</f>
        <v>0.86799999999999999</v>
      </c>
      <c r="C34" s="4">
        <v>0.47899999999999998</v>
      </c>
      <c r="E34" s="4">
        <f>-0.082+0.9</f>
        <v>0.81800000000000006</v>
      </c>
      <c r="F34" s="4">
        <v>0.51600000000000001</v>
      </c>
    </row>
    <row r="35" spans="2:6" x14ac:dyDescent="0.25">
      <c r="B35" s="4">
        <f>-0.082+0.95</f>
        <v>0.86799999999999999</v>
      </c>
      <c r="C35" s="4">
        <v>0.48</v>
      </c>
      <c r="E35" s="4">
        <f>-0.082+0.9</f>
        <v>0.81800000000000006</v>
      </c>
      <c r="F35" s="4">
        <v>0.51800000000000002</v>
      </c>
    </row>
    <row r="36" spans="2:6" x14ac:dyDescent="0.25">
      <c r="B36" s="4">
        <f>-0.082+0.95</f>
        <v>0.86799999999999999</v>
      </c>
      <c r="C36" s="4">
        <v>0.47799999999999998</v>
      </c>
      <c r="E36" s="4">
        <f>-0.082+0.9</f>
        <v>0.81800000000000006</v>
      </c>
      <c r="F36" s="4">
        <v>0.51800000000000002</v>
      </c>
    </row>
    <row r="38" spans="2:6" x14ac:dyDescent="0.25">
      <c r="B38" s="13" t="s">
        <v>12</v>
      </c>
      <c r="C38" s="13"/>
      <c r="E38" s="13" t="s">
        <v>13</v>
      </c>
      <c r="F38" s="13"/>
    </row>
    <row r="39" spans="2:6" x14ac:dyDescent="0.25">
      <c r="B39" t="s">
        <v>14</v>
      </c>
      <c r="C39" t="s">
        <v>15</v>
      </c>
      <c r="E39" t="s">
        <v>14</v>
      </c>
      <c r="F39" t="s">
        <v>15</v>
      </c>
    </row>
    <row r="40" spans="2:6" x14ac:dyDescent="0.25">
      <c r="B40" s="4">
        <f>-0.082+0.85</f>
        <v>0.76800000000000002</v>
      </c>
      <c r="C40" s="4">
        <v>0.55200000000000005</v>
      </c>
      <c r="E40" s="4">
        <f>-0.082+0.8</f>
        <v>0.71800000000000008</v>
      </c>
      <c r="F40" s="4">
        <v>0.59099999999999997</v>
      </c>
    </row>
    <row r="41" spans="2:6" x14ac:dyDescent="0.25">
      <c r="B41" s="4">
        <f>-0.082+0.85</f>
        <v>0.76800000000000002</v>
      </c>
      <c r="C41" s="4">
        <v>0.55200000000000005</v>
      </c>
      <c r="E41" s="4">
        <f>-0.082+0.8</f>
        <v>0.71800000000000008</v>
      </c>
      <c r="F41" s="4">
        <v>0.59099999999999997</v>
      </c>
    </row>
    <row r="42" spans="2:6" x14ac:dyDescent="0.25">
      <c r="B42" s="4">
        <f>-0.082+0.85</f>
        <v>0.76800000000000002</v>
      </c>
      <c r="C42" s="4">
        <v>0.55200000000000005</v>
      </c>
      <c r="E42" s="4">
        <f>-0.082+0.8</f>
        <v>0.71800000000000008</v>
      </c>
      <c r="F42" s="4">
        <v>0.59199999999999997</v>
      </c>
    </row>
    <row r="43" spans="2:6" x14ac:dyDescent="0.25">
      <c r="B43" s="4">
        <f>-0.082+0.85</f>
        <v>0.76800000000000002</v>
      </c>
      <c r="C43" s="4">
        <v>0.55200000000000005</v>
      </c>
      <c r="E43" s="4">
        <f>-0.082+0.8</f>
        <v>0.71800000000000008</v>
      </c>
      <c r="F43" s="4">
        <v>0.59199999999999997</v>
      </c>
    </row>
    <row r="45" spans="2:6" x14ac:dyDescent="0.25">
      <c r="B45" s="13" t="s">
        <v>19</v>
      </c>
      <c r="C45" s="13"/>
      <c r="E45" s="13" t="s">
        <v>20</v>
      </c>
      <c r="F45" s="13"/>
    </row>
    <row r="46" spans="2:6" x14ac:dyDescent="0.25">
      <c r="B46" t="s">
        <v>14</v>
      </c>
      <c r="C46" t="s">
        <v>15</v>
      </c>
      <c r="E46" t="s">
        <v>14</v>
      </c>
      <c r="F46" t="s">
        <v>15</v>
      </c>
    </row>
    <row r="47" spans="2:6" x14ac:dyDescent="0.25">
      <c r="B47" s="4">
        <f>-0.082+0.75</f>
        <v>0.66800000000000004</v>
      </c>
      <c r="C47" s="4">
        <v>0.6</v>
      </c>
      <c r="E47" s="4">
        <f>-0.082+0.7</f>
        <v>0.61799999999999999</v>
      </c>
      <c r="F47" s="4">
        <v>0.57499999999999996</v>
      </c>
    </row>
    <row r="48" spans="2:6" x14ac:dyDescent="0.25">
      <c r="B48" s="4">
        <f>-0.082+0.75</f>
        <v>0.66800000000000004</v>
      </c>
      <c r="C48" s="4">
        <v>0.60099999999999998</v>
      </c>
      <c r="E48" s="4">
        <f>-0.082+0.7</f>
        <v>0.61799999999999999</v>
      </c>
      <c r="F48" s="4">
        <v>0.57599999999999996</v>
      </c>
    </row>
    <row r="49" spans="2:6" x14ac:dyDescent="0.25">
      <c r="B49" s="4">
        <f>-0.082+0.75</f>
        <v>0.66800000000000004</v>
      </c>
      <c r="C49" s="4">
        <v>0.6</v>
      </c>
      <c r="E49" s="4">
        <f>-0.082+0.7</f>
        <v>0.61799999999999999</v>
      </c>
      <c r="F49" s="4">
        <v>0.57699999999999996</v>
      </c>
    </row>
    <row r="50" spans="2:6" x14ac:dyDescent="0.25">
      <c r="B50" s="4">
        <f>-0.082+0.75</f>
        <v>0.66800000000000004</v>
      </c>
      <c r="C50" s="4">
        <v>0.60499999999999998</v>
      </c>
      <c r="E50" s="4">
        <f>-0.082+0.7</f>
        <v>0.61799999999999999</v>
      </c>
      <c r="F50" s="4">
        <v>0.56499999999999995</v>
      </c>
    </row>
    <row r="52" spans="2:6" x14ac:dyDescent="0.25">
      <c r="B52" s="13" t="s">
        <v>21</v>
      </c>
      <c r="C52" s="13"/>
      <c r="E52" s="13" t="s">
        <v>22</v>
      </c>
      <c r="F52" s="13"/>
    </row>
    <row r="53" spans="2:6" x14ac:dyDescent="0.25">
      <c r="B53" t="s">
        <v>14</v>
      </c>
      <c r="C53" t="s">
        <v>15</v>
      </c>
      <c r="E53" t="s">
        <v>14</v>
      </c>
      <c r="F53" t="s">
        <v>15</v>
      </c>
    </row>
    <row r="54" spans="2:6" x14ac:dyDescent="0.25">
      <c r="B54" s="4">
        <f>-0.082+0.65</f>
        <v>0.56800000000000006</v>
      </c>
      <c r="C54" s="4">
        <v>0.57399999999999995</v>
      </c>
      <c r="E54" s="4">
        <f>-0.082+0.6</f>
        <v>0.51800000000000002</v>
      </c>
      <c r="F54" s="4">
        <v>0.56399999999999995</v>
      </c>
    </row>
    <row r="55" spans="2:6" x14ac:dyDescent="0.25">
      <c r="B55" s="4">
        <f>-0.082+0.65</f>
        <v>0.56800000000000006</v>
      </c>
      <c r="C55" s="4">
        <v>0.57399999999999995</v>
      </c>
      <c r="E55" s="4">
        <f>-0.082+0.6</f>
        <v>0.51800000000000002</v>
      </c>
      <c r="F55" s="4">
        <v>0.56599999999999995</v>
      </c>
    </row>
    <row r="56" spans="2:6" x14ac:dyDescent="0.25">
      <c r="B56" s="4">
        <f>-0.082+0.65</f>
        <v>0.56800000000000006</v>
      </c>
      <c r="C56" s="4">
        <v>0.57399999999999995</v>
      </c>
      <c r="E56" s="4">
        <f>-0.082+0.6</f>
        <v>0.51800000000000002</v>
      </c>
      <c r="F56" s="4">
        <v>0.56599999999999995</v>
      </c>
    </row>
    <row r="57" spans="2:6" x14ac:dyDescent="0.25">
      <c r="B57" s="4">
        <f>-0.082+0.65</f>
        <v>0.56800000000000006</v>
      </c>
      <c r="C57" s="4">
        <v>0.57399999999999995</v>
      </c>
      <c r="E57" s="4">
        <f>-0.082+0.6</f>
        <v>0.51800000000000002</v>
      </c>
      <c r="F57" s="4">
        <v>0.56499999999999995</v>
      </c>
    </row>
    <row r="59" spans="2:6" x14ac:dyDescent="0.25">
      <c r="B59" s="13" t="s">
        <v>23</v>
      </c>
      <c r="C59" s="13"/>
      <c r="E59" s="13" t="s">
        <v>24</v>
      </c>
      <c r="F59" s="13"/>
    </row>
    <row r="60" spans="2:6" x14ac:dyDescent="0.25">
      <c r="B60" t="s">
        <v>14</v>
      </c>
      <c r="C60" t="s">
        <v>15</v>
      </c>
      <c r="E60" t="s">
        <v>14</v>
      </c>
      <c r="F60" t="s">
        <v>15</v>
      </c>
    </row>
    <row r="61" spans="2:6" x14ac:dyDescent="0.25">
      <c r="B61" s="4">
        <f>-0.082+0.55</f>
        <v>0.46800000000000003</v>
      </c>
      <c r="C61" s="4">
        <v>0.53300000000000003</v>
      </c>
      <c r="E61" s="4">
        <f>-0.082+0.5</f>
        <v>0.41799999999999998</v>
      </c>
      <c r="F61" s="4">
        <v>0.499</v>
      </c>
    </row>
    <row r="62" spans="2:6" x14ac:dyDescent="0.25">
      <c r="B62" s="4">
        <f>-0.082+0.55</f>
        <v>0.46800000000000003</v>
      </c>
      <c r="C62" s="4">
        <v>0.53400000000000003</v>
      </c>
      <c r="E62" s="4">
        <f>-0.082+0.5</f>
        <v>0.41799999999999998</v>
      </c>
      <c r="F62" s="4">
        <v>0.5</v>
      </c>
    </row>
    <row r="63" spans="2:6" x14ac:dyDescent="0.25">
      <c r="B63" s="4">
        <f>-0.082+0.55</f>
        <v>0.46800000000000003</v>
      </c>
      <c r="C63" s="4">
        <v>0.53500000000000003</v>
      </c>
      <c r="E63" s="4">
        <f>-0.082+0.5</f>
        <v>0.41799999999999998</v>
      </c>
      <c r="F63" s="4">
        <v>0.501</v>
      </c>
    </row>
    <row r="64" spans="2:6" x14ac:dyDescent="0.25">
      <c r="B64" s="4">
        <f>-0.082+0.55</f>
        <v>0.46800000000000003</v>
      </c>
      <c r="C64" s="4">
        <v>0.53500000000000003</v>
      </c>
      <c r="E64" s="4">
        <f>-0.082+0.5</f>
        <v>0.41799999999999998</v>
      </c>
      <c r="F64" s="4">
        <v>0.502</v>
      </c>
    </row>
    <row r="66" spans="2:6" x14ac:dyDescent="0.25">
      <c r="B66" s="13" t="s">
        <v>25</v>
      </c>
      <c r="C66" s="13"/>
      <c r="E66" s="13" t="s">
        <v>26</v>
      </c>
      <c r="F66" s="13"/>
    </row>
    <row r="67" spans="2:6" x14ac:dyDescent="0.25">
      <c r="B67" t="s">
        <v>14</v>
      </c>
      <c r="C67" t="s">
        <v>15</v>
      </c>
      <c r="E67" t="s">
        <v>14</v>
      </c>
      <c r="F67" t="s">
        <v>15</v>
      </c>
    </row>
    <row r="68" spans="2:6" x14ac:dyDescent="0.25">
      <c r="B68" s="4">
        <f>-0.082+0.45</f>
        <v>0.36799999999999999</v>
      </c>
      <c r="C68" s="4">
        <v>0.46200000000000002</v>
      </c>
      <c r="E68" s="4">
        <f>-0.082+0.4</f>
        <v>0.318</v>
      </c>
      <c r="F68" s="4">
        <v>0.42199999999999999</v>
      </c>
    </row>
    <row r="69" spans="2:6" x14ac:dyDescent="0.25">
      <c r="B69" s="4">
        <f>-0.082+0.45</f>
        <v>0.36799999999999999</v>
      </c>
      <c r="C69" s="4">
        <v>0.46200000000000002</v>
      </c>
      <c r="E69" s="4">
        <f>-0.082+0.4</f>
        <v>0.318</v>
      </c>
      <c r="F69" s="4">
        <v>0.42199999999999999</v>
      </c>
    </row>
    <row r="70" spans="2:6" x14ac:dyDescent="0.25">
      <c r="B70" s="4">
        <f>-0.082+0.45</f>
        <v>0.36799999999999999</v>
      </c>
      <c r="C70" s="4">
        <v>0.46400000000000002</v>
      </c>
      <c r="E70" s="4">
        <f>-0.082+0.4</f>
        <v>0.318</v>
      </c>
      <c r="F70" s="4">
        <v>0.42199999999999999</v>
      </c>
    </row>
    <row r="71" spans="2:6" x14ac:dyDescent="0.25">
      <c r="B71" s="4">
        <f>-0.082+0.45</f>
        <v>0.36799999999999999</v>
      </c>
      <c r="C71" s="4">
        <v>0.46200000000000002</v>
      </c>
      <c r="E71" s="4">
        <f>-0.082+0.4</f>
        <v>0.318</v>
      </c>
      <c r="F71" s="4">
        <v>0.42199999999999999</v>
      </c>
    </row>
    <row r="73" spans="2:6" x14ac:dyDescent="0.25">
      <c r="B73" s="13" t="s">
        <v>27</v>
      </c>
      <c r="C73" s="13"/>
      <c r="E73" s="13" t="s">
        <v>28</v>
      </c>
      <c r="F73" s="13"/>
    </row>
    <row r="74" spans="2:6" x14ac:dyDescent="0.25">
      <c r="B74" t="s">
        <v>14</v>
      </c>
      <c r="C74" t="s">
        <v>15</v>
      </c>
      <c r="E74" t="s">
        <v>14</v>
      </c>
      <c r="F74" t="s">
        <v>15</v>
      </c>
    </row>
    <row r="75" spans="2:6" x14ac:dyDescent="0.25">
      <c r="B75" s="4">
        <f>-0.082+0.35</f>
        <v>0.26799999999999996</v>
      </c>
      <c r="C75" s="4">
        <v>0.42899999999999999</v>
      </c>
      <c r="E75" s="4">
        <f>-0.082+0.3</f>
        <v>0.21799999999999997</v>
      </c>
      <c r="F75" s="4">
        <v>0.41</v>
      </c>
    </row>
    <row r="76" spans="2:6" x14ac:dyDescent="0.25">
      <c r="B76" s="4">
        <f>-0.082+0.35</f>
        <v>0.26799999999999996</v>
      </c>
      <c r="C76" s="4">
        <v>0.42899999999999999</v>
      </c>
      <c r="E76" s="4">
        <f>-0.082+0.3</f>
        <v>0.21799999999999997</v>
      </c>
      <c r="F76" s="4">
        <v>0.41</v>
      </c>
    </row>
    <row r="77" spans="2:6" x14ac:dyDescent="0.25">
      <c r="B77" s="4">
        <f>-0.082+0.35</f>
        <v>0.26799999999999996</v>
      </c>
      <c r="C77" s="4">
        <v>0.42799999999999999</v>
      </c>
      <c r="E77" s="4">
        <f>-0.082+0.3</f>
        <v>0.21799999999999997</v>
      </c>
      <c r="F77" s="4">
        <v>0.41</v>
      </c>
    </row>
    <row r="78" spans="2:6" x14ac:dyDescent="0.25">
      <c r="B78" s="4">
        <f>-0.082+0.35</f>
        <v>0.26799999999999996</v>
      </c>
      <c r="C78" s="4">
        <v>0.42799999999999999</v>
      </c>
      <c r="E78" s="4">
        <f>-0.082+0.3</f>
        <v>0.21799999999999997</v>
      </c>
      <c r="F78" s="4">
        <v>0.41</v>
      </c>
    </row>
  </sheetData>
  <mergeCells count="20">
    <mergeCell ref="B73:C73"/>
    <mergeCell ref="E73:F73"/>
    <mergeCell ref="B52:C52"/>
    <mergeCell ref="E52:F52"/>
    <mergeCell ref="B59:C59"/>
    <mergeCell ref="E59:F59"/>
    <mergeCell ref="B66:C66"/>
    <mergeCell ref="E66:F66"/>
    <mergeCell ref="B31:C31"/>
    <mergeCell ref="E31:F31"/>
    <mergeCell ref="B38:C38"/>
    <mergeCell ref="E38:F38"/>
    <mergeCell ref="B45:C45"/>
    <mergeCell ref="E45:F45"/>
    <mergeCell ref="B10:C10"/>
    <mergeCell ref="E10:F10"/>
    <mergeCell ref="B17:C17"/>
    <mergeCell ref="E17:F17"/>
    <mergeCell ref="B24:C24"/>
    <mergeCell ref="E24:F24"/>
  </mergeCells>
  <pageMargins left="0.7" right="0.7" top="0.75" bottom="0.75" header="0.3" footer="0.3"/>
  <pageSetup paperSize="9" orientation="portrait" verticalDpi="300" r:id="rId1"/>
  <drawing r:id="rId2"/>
  <tableParts count="2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Velocidade</vt:lpstr>
      <vt:lpstr>Projeção 30º</vt:lpstr>
      <vt:lpstr>Projeção 45º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Godinho</dc:creator>
  <cp:lastModifiedBy>Miguel Godinho</cp:lastModifiedBy>
  <dcterms:created xsi:type="dcterms:W3CDTF">2015-06-05T18:17:20Z</dcterms:created>
  <dcterms:modified xsi:type="dcterms:W3CDTF">2019-10-08T22:55:34Z</dcterms:modified>
</cp:coreProperties>
</file>