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9B4549DB-F65D-474C-B6B1-E01DC1AE2D4B}" xr6:coauthVersionLast="47" xr6:coauthVersionMax="47" xr10:uidLastSave="{00000000-0000-0000-0000-000000000000}"/>
  <bookViews>
    <workbookView xWindow="-120" yWindow="-120" windowWidth="29040" windowHeight="15840" firstSheet="1" activeTab="4" xr2:uid="{982A583F-7322-483F-A670-B7C2A1345130}"/>
  </bookViews>
  <sheets>
    <sheet name="Introdução" sheetId="9" r:id="rId1"/>
    <sheet name="Dados recolhidos (ELÁSTICO)" sheetId="5" r:id="rId2"/>
    <sheet name="Dados recolhidos (P.INELÁSTICO)" sheetId="2" r:id="rId3"/>
    <sheet name="Dados recolhidos (INELÁSTICO)" sheetId="4" r:id="rId4"/>
    <sheet name="Velocidades iniciais |= 0" sheetId="10" r:id="rId5"/>
    <sheet name="Possiveis err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0" l="1"/>
  <c r="L12" i="10"/>
  <c r="T22" i="10"/>
  <c r="S22" i="10"/>
  <c r="R22" i="10"/>
  <c r="U15" i="10"/>
  <c r="T15" i="10"/>
  <c r="S15" i="10"/>
  <c r="R15" i="10"/>
  <c r="X12" i="10"/>
  <c r="W12" i="10"/>
  <c r="AE22" i="10"/>
  <c r="AD22" i="10"/>
  <c r="AC22" i="10"/>
  <c r="AF15" i="10"/>
  <c r="AE15" i="10"/>
  <c r="AD15" i="10"/>
  <c r="AC15" i="10"/>
  <c r="L9" i="10"/>
  <c r="T12" i="10"/>
  <c r="T13" i="10"/>
  <c r="T14" i="10"/>
  <c r="T11" i="10"/>
  <c r="S12" i="10"/>
  <c r="S13" i="10"/>
  <c r="S14" i="10"/>
  <c r="S11" i="10"/>
  <c r="R12" i="10"/>
  <c r="R19" i="10" s="1"/>
  <c r="R13" i="10"/>
  <c r="R20" i="10" s="1"/>
  <c r="R14" i="10"/>
  <c r="R21" i="10" s="1"/>
  <c r="R11" i="10"/>
  <c r="R18" i="10" s="1"/>
  <c r="AE14" i="10"/>
  <c r="AD14" i="10"/>
  <c r="AC14" i="10"/>
  <c r="AE13" i="10"/>
  <c r="AD20" i="10" s="1"/>
  <c r="AD13" i="10"/>
  <c r="AC13" i="10"/>
  <c r="AC20" i="10" s="1"/>
  <c r="AF13" i="10" s="1"/>
  <c r="AE12" i="10"/>
  <c r="AD12" i="10"/>
  <c r="AC12" i="10"/>
  <c r="AE11" i="10"/>
  <c r="AD11" i="10"/>
  <c r="AC11" i="10"/>
  <c r="K12" i="2"/>
  <c r="K13" i="2"/>
  <c r="K14" i="2"/>
  <c r="K15" i="2"/>
  <c r="K16" i="2"/>
  <c r="K17" i="2"/>
  <c r="K18" i="2"/>
  <c r="K19" i="2"/>
  <c r="K20" i="2"/>
  <c r="K21" i="2"/>
  <c r="K22" i="2"/>
  <c r="K11" i="2"/>
  <c r="A12" i="2"/>
  <c r="A13" i="2"/>
  <c r="A14" i="2"/>
  <c r="A15" i="2"/>
  <c r="A16" i="2"/>
  <c r="A17" i="2"/>
  <c r="A18" i="2"/>
  <c r="A19" i="2"/>
  <c r="A20" i="2"/>
  <c r="A21" i="2"/>
  <c r="A22" i="2"/>
  <c r="A11" i="2"/>
  <c r="L12" i="5"/>
  <c r="L13" i="5"/>
  <c r="L14" i="5"/>
  <c r="L15" i="5"/>
  <c r="L16" i="5"/>
  <c r="L17" i="5"/>
  <c r="L18" i="5"/>
  <c r="L19" i="5"/>
  <c r="L20" i="5"/>
  <c r="L21" i="5"/>
  <c r="L22" i="5"/>
  <c r="L11" i="5"/>
  <c r="A13" i="5"/>
  <c r="A14" i="5"/>
  <c r="A15" i="5"/>
  <c r="A16" i="5"/>
  <c r="A17" i="5"/>
  <c r="A18" i="5"/>
  <c r="A19" i="5"/>
  <c r="A20" i="5"/>
  <c r="A21" i="5"/>
  <c r="A22" i="5"/>
  <c r="A12" i="5"/>
  <c r="A11" i="5"/>
  <c r="I12" i="10"/>
  <c r="H19" i="10" s="1"/>
  <c r="I13" i="10"/>
  <c r="I14" i="10"/>
  <c r="H21" i="10" s="1"/>
  <c r="B11" i="10" s="1"/>
  <c r="I11" i="10"/>
  <c r="H12" i="10"/>
  <c r="H13" i="10"/>
  <c r="H14" i="10"/>
  <c r="G12" i="10"/>
  <c r="G13" i="10"/>
  <c r="G20" i="10" s="1"/>
  <c r="J13" i="10" s="1"/>
  <c r="I20" i="10" s="1"/>
  <c r="G14" i="10"/>
  <c r="G21" i="10" s="1"/>
  <c r="J14" i="10" s="1"/>
  <c r="I21" i="10" s="1"/>
  <c r="G11" i="10"/>
  <c r="G18" i="10" s="1"/>
  <c r="J11" i="10" s="1"/>
  <c r="I18" i="10" s="1"/>
  <c r="H11" i="10"/>
  <c r="AD18" i="10" l="1"/>
  <c r="AC19" i="10"/>
  <c r="AF12" i="10" s="1"/>
  <c r="AE19" i="10" s="1"/>
  <c r="AD21" i="10"/>
  <c r="AD19" i="10"/>
  <c r="AC18" i="10"/>
  <c r="AF11" i="10" s="1"/>
  <c r="AE18" i="10" s="1"/>
  <c r="X8" i="10" s="1"/>
  <c r="AC21" i="10"/>
  <c r="AF14" i="10" s="1"/>
  <c r="AE21" i="10" s="1"/>
  <c r="X11" i="10" s="1"/>
  <c r="U11" i="10"/>
  <c r="T18" i="10" s="1"/>
  <c r="U14" i="10"/>
  <c r="T21" i="10" s="1"/>
  <c r="S21" i="10"/>
  <c r="S18" i="10"/>
  <c r="U13" i="10"/>
  <c r="T20" i="10" s="1"/>
  <c r="S20" i="10"/>
  <c r="U12" i="10"/>
  <c r="T19" i="10" s="1"/>
  <c r="S19" i="10"/>
  <c r="X9" i="10"/>
  <c r="W11" i="10"/>
  <c r="AE20" i="10"/>
  <c r="X10" i="10" s="1"/>
  <c r="W10" i="10"/>
  <c r="B8" i="10"/>
  <c r="B10" i="10"/>
  <c r="H18" i="10"/>
  <c r="H20" i="10"/>
  <c r="A11" i="10"/>
  <c r="A10" i="10"/>
  <c r="A8" i="10"/>
  <c r="G19" i="10"/>
  <c r="J12" i="10"/>
  <c r="W9" i="10" l="1"/>
  <c r="W8" i="10"/>
  <c r="L11" i="10"/>
  <c r="M11" i="10"/>
  <c r="M10" i="10"/>
  <c r="M8" i="10"/>
  <c r="L8" i="10"/>
  <c r="L10" i="10"/>
  <c r="M9" i="10"/>
  <c r="I19" i="10"/>
  <c r="B9" i="10" s="1"/>
  <c r="A9" i="10"/>
  <c r="A25" i="2"/>
  <c r="K25" i="2"/>
  <c r="L25" i="5"/>
  <c r="L28" i="5" s="1"/>
  <c r="M25" i="5"/>
  <c r="A67" i="5"/>
  <c r="A64" i="5"/>
  <c r="B64" i="5"/>
  <c r="A58" i="5"/>
  <c r="A59" i="5"/>
  <c r="A60" i="5"/>
  <c r="A61" i="5"/>
  <c r="A57" i="5"/>
  <c r="J66" i="5"/>
  <c r="J67" i="5"/>
  <c r="J68" i="5"/>
  <c r="J69" i="5"/>
  <c r="J65" i="5"/>
  <c r="H66" i="5"/>
  <c r="H67" i="5"/>
  <c r="H68" i="5"/>
  <c r="H69" i="5"/>
  <c r="H65" i="5"/>
  <c r="H59" i="5"/>
  <c r="H60" i="5"/>
  <c r="H61" i="5"/>
  <c r="H62" i="5"/>
  <c r="H58" i="5"/>
  <c r="I66" i="5"/>
  <c r="I67" i="5"/>
  <c r="I59" i="5"/>
  <c r="G66" i="5" s="1"/>
  <c r="I60" i="5"/>
  <c r="G67" i="5" s="1"/>
  <c r="I61" i="5"/>
  <c r="I68" i="5" s="1"/>
  <c r="I62" i="5"/>
  <c r="G69" i="5" s="1"/>
  <c r="I58" i="5"/>
  <c r="I65" i="5" s="1"/>
  <c r="B57" i="5" l="1"/>
  <c r="B60" i="5"/>
  <c r="G65" i="5"/>
  <c r="E57" i="5" s="1"/>
  <c r="I69" i="5"/>
  <c r="B61" i="5" s="1"/>
  <c r="B58" i="5"/>
  <c r="G68" i="5"/>
  <c r="B59" i="5"/>
  <c r="O12" i="4"/>
  <c r="O13" i="4"/>
  <c r="O14" i="4"/>
  <c r="O15" i="4"/>
  <c r="O16" i="4"/>
  <c r="O17" i="4"/>
  <c r="O18" i="4"/>
  <c r="O19" i="4"/>
  <c r="O20" i="4"/>
  <c r="O21" i="4"/>
  <c r="O11" i="4"/>
  <c r="E12" i="4"/>
  <c r="E13" i="4"/>
  <c r="E14" i="4"/>
  <c r="E15" i="4"/>
  <c r="E16" i="4"/>
  <c r="E17" i="4"/>
  <c r="E18" i="4"/>
  <c r="E19" i="4"/>
  <c r="E20" i="4"/>
  <c r="E21" i="4"/>
  <c r="E11" i="4"/>
  <c r="S34" i="4"/>
  <c r="Q35" i="4"/>
  <c r="Q36" i="4"/>
  <c r="Q37" i="4"/>
  <c r="Q38" i="4"/>
  <c r="Q39" i="4"/>
  <c r="Q40" i="4"/>
  <c r="Q41" i="4"/>
  <c r="Q42" i="4"/>
  <c r="Q43" i="4"/>
  <c r="Q44" i="4"/>
  <c r="Q34" i="4"/>
  <c r="P35" i="4"/>
  <c r="P36" i="4"/>
  <c r="P37" i="4"/>
  <c r="P38" i="4"/>
  <c r="P39" i="4"/>
  <c r="P40" i="4"/>
  <c r="P41" i="4"/>
  <c r="P42" i="4"/>
  <c r="P43" i="4"/>
  <c r="P44" i="4"/>
  <c r="P34" i="4"/>
  <c r="A11" i="4"/>
  <c r="H34" i="4"/>
  <c r="I35" i="4"/>
  <c r="I36" i="4"/>
  <c r="I37" i="4"/>
  <c r="I38" i="4"/>
  <c r="I39" i="4"/>
  <c r="I40" i="4"/>
  <c r="I41" i="4"/>
  <c r="I42" i="4"/>
  <c r="I43" i="4"/>
  <c r="I44" i="4"/>
  <c r="I34" i="4"/>
  <c r="G35" i="4"/>
  <c r="G36" i="4"/>
  <c r="G37" i="4"/>
  <c r="G38" i="4"/>
  <c r="G39" i="4"/>
  <c r="G40" i="4"/>
  <c r="G41" i="4"/>
  <c r="G42" i="4"/>
  <c r="G43" i="4"/>
  <c r="G44" i="4"/>
  <c r="G34" i="4"/>
  <c r="F35" i="4"/>
  <c r="F36" i="4"/>
  <c r="F37" i="4"/>
  <c r="F38" i="4"/>
  <c r="F39" i="4"/>
  <c r="F40" i="4"/>
  <c r="F41" i="4"/>
  <c r="F42" i="4"/>
  <c r="F43" i="4"/>
  <c r="F44" i="4"/>
  <c r="F34" i="4"/>
  <c r="S20" i="4"/>
  <c r="S21" i="4"/>
  <c r="S22" i="4"/>
  <c r="S23" i="4"/>
  <c r="S24" i="4"/>
  <c r="S25" i="4"/>
  <c r="S26" i="4"/>
  <c r="S27" i="4"/>
  <c r="S28" i="4"/>
  <c r="S29" i="4"/>
  <c r="S19" i="4"/>
  <c r="I20" i="4"/>
  <c r="I21" i="4"/>
  <c r="I22" i="4"/>
  <c r="I23" i="4"/>
  <c r="I24" i="4"/>
  <c r="I25" i="4"/>
  <c r="I26" i="4"/>
  <c r="I27" i="4"/>
  <c r="I28" i="4"/>
  <c r="I29" i="4"/>
  <c r="I19" i="4"/>
  <c r="H19" i="5"/>
  <c r="H34" i="5" s="1"/>
  <c r="J34" i="5" l="1"/>
  <c r="E59" i="5" l="1"/>
  <c r="E58" i="5"/>
  <c r="E61" i="5"/>
  <c r="E60" i="5"/>
  <c r="S30" i="5"/>
  <c r="R30" i="5"/>
  <c r="R45" i="5" s="1"/>
  <c r="I30" i="5"/>
  <c r="H30" i="5"/>
  <c r="S29" i="5"/>
  <c r="Q44" i="5" s="1"/>
  <c r="R29" i="5"/>
  <c r="R44" i="5" s="1"/>
  <c r="I29" i="5"/>
  <c r="H29" i="5"/>
  <c r="S28" i="5"/>
  <c r="R28" i="5"/>
  <c r="R43" i="5" s="1"/>
  <c r="I28" i="5"/>
  <c r="H28" i="5"/>
  <c r="S27" i="5"/>
  <c r="R27" i="5"/>
  <c r="R42" i="5" s="1"/>
  <c r="I27" i="5"/>
  <c r="H27" i="5"/>
  <c r="S26" i="5"/>
  <c r="R26" i="5"/>
  <c r="R41" i="5" s="1"/>
  <c r="I26" i="5"/>
  <c r="H26" i="5"/>
  <c r="S25" i="5"/>
  <c r="Q40" i="5" s="1"/>
  <c r="R25" i="5"/>
  <c r="R40" i="5" s="1"/>
  <c r="I25" i="5"/>
  <c r="H25" i="5"/>
  <c r="S24" i="5"/>
  <c r="R24" i="5"/>
  <c r="R39" i="5" s="1"/>
  <c r="I24" i="5"/>
  <c r="H24" i="5"/>
  <c r="S23" i="5"/>
  <c r="R23" i="5"/>
  <c r="R38" i="5" s="1"/>
  <c r="I23" i="5"/>
  <c r="H23" i="5"/>
  <c r="S22" i="5"/>
  <c r="R22" i="5"/>
  <c r="R37" i="5" s="1"/>
  <c r="I22" i="5"/>
  <c r="H22" i="5"/>
  <c r="S21" i="5"/>
  <c r="Q36" i="5" s="1"/>
  <c r="R21" i="5"/>
  <c r="R36" i="5" s="1"/>
  <c r="I21" i="5"/>
  <c r="H21" i="5"/>
  <c r="S20" i="5"/>
  <c r="R20" i="5"/>
  <c r="R35" i="5" s="1"/>
  <c r="I20" i="5"/>
  <c r="H20" i="5"/>
  <c r="S19" i="5"/>
  <c r="R19" i="5"/>
  <c r="I19" i="5"/>
  <c r="R29" i="4"/>
  <c r="Q29" i="4"/>
  <c r="H29" i="4"/>
  <c r="H44" i="4" s="1"/>
  <c r="G29" i="4"/>
  <c r="R28" i="4"/>
  <c r="R43" i="4" s="1"/>
  <c r="Q28" i="4"/>
  <c r="H28" i="4"/>
  <c r="H43" i="4" s="1"/>
  <c r="G28" i="4"/>
  <c r="R27" i="4"/>
  <c r="R42" i="4" s="1"/>
  <c r="Q27" i="4"/>
  <c r="H27" i="4"/>
  <c r="H42" i="4" s="1"/>
  <c r="G27" i="4"/>
  <c r="R26" i="4"/>
  <c r="R41" i="4" s="1"/>
  <c r="Q26" i="4"/>
  <c r="H26" i="4"/>
  <c r="H41" i="4" s="1"/>
  <c r="G26" i="4"/>
  <c r="R25" i="4"/>
  <c r="Q25" i="4"/>
  <c r="H25" i="4"/>
  <c r="H40" i="4" s="1"/>
  <c r="G25" i="4"/>
  <c r="R24" i="4"/>
  <c r="R39" i="4" s="1"/>
  <c r="Q24" i="4"/>
  <c r="H24" i="4"/>
  <c r="H39" i="4" s="1"/>
  <c r="G24" i="4"/>
  <c r="R23" i="4"/>
  <c r="R38" i="4" s="1"/>
  <c r="Q23" i="4"/>
  <c r="H23" i="4"/>
  <c r="H38" i="4" s="1"/>
  <c r="G23" i="4"/>
  <c r="R22" i="4"/>
  <c r="R37" i="4" s="1"/>
  <c r="Q22" i="4"/>
  <c r="H22" i="4"/>
  <c r="H37" i="4" s="1"/>
  <c r="G22" i="4"/>
  <c r="R21" i="4"/>
  <c r="Q21" i="4"/>
  <c r="H21" i="4"/>
  <c r="H36" i="4" s="1"/>
  <c r="G21" i="4"/>
  <c r="R20" i="4"/>
  <c r="R35" i="4" s="1"/>
  <c r="Q20" i="4"/>
  <c r="H20" i="4"/>
  <c r="H35" i="4" s="1"/>
  <c r="G20" i="4"/>
  <c r="R19" i="4"/>
  <c r="R34" i="4" s="1"/>
  <c r="Q19" i="4"/>
  <c r="H19" i="4"/>
  <c r="G19" i="4"/>
  <c r="R35" i="2"/>
  <c r="R37" i="2"/>
  <c r="R38" i="2"/>
  <c r="R43" i="2"/>
  <c r="L20" i="2" s="1"/>
  <c r="R45" i="2"/>
  <c r="R34" i="2"/>
  <c r="Q35" i="2"/>
  <c r="S20" i="2" s="1"/>
  <c r="Q37" i="2"/>
  <c r="S22" i="2" s="1"/>
  <c r="Q38" i="2"/>
  <c r="S23" i="2" s="1"/>
  <c r="Q43" i="2"/>
  <c r="S28" i="2" s="1"/>
  <c r="Q45" i="2"/>
  <c r="S30" i="2" s="1"/>
  <c r="Q34" i="2"/>
  <c r="S19" i="2" s="1"/>
  <c r="R20" i="2"/>
  <c r="R21" i="2"/>
  <c r="R36" i="2" s="1"/>
  <c r="R22" i="2"/>
  <c r="R23" i="2"/>
  <c r="R24" i="2"/>
  <c r="R39" i="2" s="1"/>
  <c r="R25" i="2"/>
  <c r="R40" i="2" s="1"/>
  <c r="R26" i="2"/>
  <c r="R41" i="2" s="1"/>
  <c r="R27" i="2"/>
  <c r="R42" i="2" s="1"/>
  <c r="R28" i="2"/>
  <c r="R29" i="2"/>
  <c r="R44" i="2" s="1"/>
  <c r="R30" i="2"/>
  <c r="R19" i="2"/>
  <c r="Q19" i="2"/>
  <c r="Q20" i="2"/>
  <c r="Q21" i="2"/>
  <c r="Q22" i="2"/>
  <c r="S37" i="2" s="1"/>
  <c r="Q23" i="2"/>
  <c r="S38" i="2" s="1"/>
  <c r="Q24" i="2"/>
  <c r="Q25" i="2"/>
  <c r="Q26" i="2"/>
  <c r="Q27" i="2"/>
  <c r="Q28" i="2"/>
  <c r="S43" i="2" s="1"/>
  <c r="Q29" i="2"/>
  <c r="Q30" i="2"/>
  <c r="S45" i="2" s="1"/>
  <c r="H37" i="2"/>
  <c r="H38" i="2"/>
  <c r="H45" i="2"/>
  <c r="H34" i="2"/>
  <c r="G36" i="2"/>
  <c r="I21" i="2" s="1"/>
  <c r="G38" i="2"/>
  <c r="I23" i="2" s="1"/>
  <c r="G39" i="2"/>
  <c r="I24" i="2" s="1"/>
  <c r="G44" i="2"/>
  <c r="I29" i="2" s="1"/>
  <c r="G34" i="2"/>
  <c r="I19" i="2" s="1"/>
  <c r="H20" i="2"/>
  <c r="H35" i="2" s="1"/>
  <c r="H21" i="2"/>
  <c r="H36" i="2" s="1"/>
  <c r="B13" i="2" s="1"/>
  <c r="H22" i="2"/>
  <c r="G37" i="2" s="1"/>
  <c r="I22" i="2" s="1"/>
  <c r="H23" i="2"/>
  <c r="H24" i="2"/>
  <c r="H39" i="2" s="1"/>
  <c r="H25" i="2"/>
  <c r="G40" i="2" s="1"/>
  <c r="I25" i="2" s="1"/>
  <c r="H26" i="2"/>
  <c r="G41" i="2" s="1"/>
  <c r="I26" i="2" s="1"/>
  <c r="H27" i="2"/>
  <c r="G42" i="2" s="1"/>
  <c r="I27" i="2" s="1"/>
  <c r="H28" i="2"/>
  <c r="G43" i="2" s="1"/>
  <c r="I28" i="2" s="1"/>
  <c r="H29" i="2"/>
  <c r="H44" i="2" s="1"/>
  <c r="H30" i="2"/>
  <c r="G45" i="2" s="1"/>
  <c r="I30" i="2" s="1"/>
  <c r="H19" i="2"/>
  <c r="G20" i="2"/>
  <c r="G21" i="2"/>
  <c r="I36" i="2" s="1"/>
  <c r="G22" i="2"/>
  <c r="I37" i="2" s="1"/>
  <c r="B14" i="2" s="1"/>
  <c r="G23" i="2"/>
  <c r="G24" i="2"/>
  <c r="I39" i="2" s="1"/>
  <c r="G25" i="2"/>
  <c r="I40" i="2" s="1"/>
  <c r="G26" i="2"/>
  <c r="G27" i="2"/>
  <c r="G28" i="2"/>
  <c r="G29" i="2"/>
  <c r="G30" i="2"/>
  <c r="I45" i="2" s="1"/>
  <c r="B22" i="2" s="1"/>
  <c r="G19" i="2"/>
  <c r="I34" i="2" s="1"/>
  <c r="B11" i="2" s="1"/>
  <c r="P17" i="5" l="1"/>
  <c r="P21" i="5"/>
  <c r="P13" i="5"/>
  <c r="J36" i="5"/>
  <c r="H36" i="5"/>
  <c r="J38" i="5"/>
  <c r="H38" i="5"/>
  <c r="J40" i="5"/>
  <c r="H40" i="5"/>
  <c r="J42" i="5"/>
  <c r="H42" i="5"/>
  <c r="J44" i="5"/>
  <c r="H44" i="5"/>
  <c r="I34" i="5"/>
  <c r="G34" i="5"/>
  <c r="E11" i="5" s="1"/>
  <c r="I36" i="5"/>
  <c r="G36" i="5"/>
  <c r="I38" i="5"/>
  <c r="G38" i="5"/>
  <c r="I40" i="5"/>
  <c r="G40" i="5"/>
  <c r="I42" i="5"/>
  <c r="G42" i="5"/>
  <c r="I44" i="5"/>
  <c r="G44" i="5"/>
  <c r="J35" i="5"/>
  <c r="H35" i="5"/>
  <c r="H37" i="5"/>
  <c r="J37" i="5"/>
  <c r="J39" i="5"/>
  <c r="H39" i="5"/>
  <c r="H41" i="5"/>
  <c r="J41" i="5"/>
  <c r="J43" i="5"/>
  <c r="H43" i="5"/>
  <c r="J45" i="5"/>
  <c r="H45" i="5"/>
  <c r="I35" i="5"/>
  <c r="G35" i="5"/>
  <c r="I37" i="5"/>
  <c r="G37" i="5"/>
  <c r="I39" i="5"/>
  <c r="G39" i="5"/>
  <c r="I41" i="5"/>
  <c r="G41" i="5"/>
  <c r="I43" i="5"/>
  <c r="G43" i="5"/>
  <c r="I45" i="5"/>
  <c r="G45" i="5"/>
  <c r="S35" i="5"/>
  <c r="Q35" i="5"/>
  <c r="P12" i="5" s="1"/>
  <c r="S37" i="5"/>
  <c r="Q37" i="5"/>
  <c r="P14" i="5" s="1"/>
  <c r="S39" i="5"/>
  <c r="Q39" i="5"/>
  <c r="P16" i="5" s="1"/>
  <c r="S41" i="5"/>
  <c r="Q41" i="5"/>
  <c r="P18" i="5" s="1"/>
  <c r="S43" i="5"/>
  <c r="Q43" i="5"/>
  <c r="P20" i="5" s="1"/>
  <c r="S45" i="5"/>
  <c r="Q45" i="5"/>
  <c r="P22" i="5" s="1"/>
  <c r="T34" i="5"/>
  <c r="R34" i="5"/>
  <c r="S34" i="5"/>
  <c r="Q34" i="5"/>
  <c r="S38" i="5"/>
  <c r="Q38" i="5"/>
  <c r="P15" i="5" s="1"/>
  <c r="S42" i="5"/>
  <c r="Q42" i="5"/>
  <c r="P19" i="5" s="1"/>
  <c r="I38" i="2"/>
  <c r="B15" i="2" s="1"/>
  <c r="I42" i="2"/>
  <c r="L22" i="2"/>
  <c r="L15" i="2"/>
  <c r="B21" i="2"/>
  <c r="S35" i="2"/>
  <c r="L12" i="2" s="1"/>
  <c r="L14" i="2"/>
  <c r="I44" i="2"/>
  <c r="I43" i="2"/>
  <c r="B16" i="2"/>
  <c r="S34" i="2"/>
  <c r="L11" i="2" s="1"/>
  <c r="I41" i="2"/>
  <c r="Q44" i="2"/>
  <c r="S29" i="2" s="1"/>
  <c r="Q36" i="2"/>
  <c r="S21" i="2" s="1"/>
  <c r="H43" i="2"/>
  <c r="B20" i="2" s="1"/>
  <c r="G35" i="2"/>
  <c r="I20" i="2" s="1"/>
  <c r="H42" i="2"/>
  <c r="Q42" i="2"/>
  <c r="S27" i="2" s="1"/>
  <c r="H41" i="2"/>
  <c r="B18" i="2" s="1"/>
  <c r="Q41" i="2"/>
  <c r="S26" i="2" s="1"/>
  <c r="H40" i="2"/>
  <c r="B17" i="2" s="1"/>
  <c r="Q40" i="2"/>
  <c r="S25" i="2" s="1"/>
  <c r="Q39" i="2"/>
  <c r="S24" i="2" s="1"/>
  <c r="S36" i="5"/>
  <c r="S44" i="5"/>
  <c r="T36" i="5"/>
  <c r="T40" i="5"/>
  <c r="S40" i="5"/>
  <c r="K13" i="4"/>
  <c r="S40" i="4"/>
  <c r="S44" i="4"/>
  <c r="K12" i="4"/>
  <c r="R36" i="4"/>
  <c r="K16" i="4"/>
  <c r="K20" i="4"/>
  <c r="S35" i="4"/>
  <c r="L12" i="4" s="1"/>
  <c r="A15" i="4"/>
  <c r="A19" i="4"/>
  <c r="K21" i="4"/>
  <c r="A14" i="4"/>
  <c r="A18" i="4"/>
  <c r="K15" i="4"/>
  <c r="K19" i="4"/>
  <c r="R40" i="4"/>
  <c r="A13" i="4"/>
  <c r="A17" i="4"/>
  <c r="A21" i="4"/>
  <c r="K14" i="4"/>
  <c r="K18" i="4"/>
  <c r="R44" i="4"/>
  <c r="A12" i="4"/>
  <c r="E16" i="5" l="1"/>
  <c r="E15" i="5"/>
  <c r="E22" i="5"/>
  <c r="E21" i="5"/>
  <c r="E13" i="5"/>
  <c r="P11" i="5"/>
  <c r="E14" i="5"/>
  <c r="E20" i="5"/>
  <c r="E12" i="5"/>
  <c r="E19" i="5"/>
  <c r="E18" i="5"/>
  <c r="E17" i="5"/>
  <c r="T44" i="5"/>
  <c r="M21" i="5" s="1"/>
  <c r="M17" i="5"/>
  <c r="K11" i="4"/>
  <c r="S39" i="2"/>
  <c r="L16" i="2" s="1"/>
  <c r="I35" i="2"/>
  <c r="B12" i="2" s="1"/>
  <c r="S41" i="2"/>
  <c r="L18" i="2" s="1"/>
  <c r="S40" i="2"/>
  <c r="L17" i="2" s="1"/>
  <c r="S36" i="2"/>
  <c r="L13" i="2" s="1"/>
  <c r="S42" i="2"/>
  <c r="L19" i="2" s="1"/>
  <c r="S44" i="2"/>
  <c r="L21" i="2" s="1"/>
  <c r="B19" i="2"/>
  <c r="B15" i="5"/>
  <c r="B11" i="5"/>
  <c r="B14" i="5" s="1"/>
  <c r="M13" i="5"/>
  <c r="T38" i="5"/>
  <c r="M15" i="5" s="1"/>
  <c r="T35" i="5"/>
  <c r="M12" i="5" s="1"/>
  <c r="T42" i="5"/>
  <c r="M19" i="5" s="1"/>
  <c r="M11" i="5"/>
  <c r="B12" i="5"/>
  <c r="T45" i="5"/>
  <c r="M22" i="5" s="1"/>
  <c r="T43" i="5"/>
  <c r="M20" i="5" s="1"/>
  <c r="T41" i="5"/>
  <c r="M18" i="5" s="1"/>
  <c r="T39" i="5"/>
  <c r="M16" i="5" s="1"/>
  <c r="T37" i="5"/>
  <c r="M14" i="5" s="1"/>
  <c r="K17" i="4"/>
  <c r="S39" i="4"/>
  <c r="L16" i="4" s="1"/>
  <c r="S36" i="4"/>
  <c r="L13" i="4" s="1"/>
  <c r="S43" i="4"/>
  <c r="L20" i="4" s="1"/>
  <c r="S38" i="4"/>
  <c r="L15" i="4" s="1"/>
  <c r="B11" i="4"/>
  <c r="B15" i="4"/>
  <c r="B19" i="4"/>
  <c r="S37" i="4"/>
  <c r="L14" i="4" s="1"/>
  <c r="B18" i="4"/>
  <c r="B21" i="4"/>
  <c r="B14" i="4"/>
  <c r="A20" i="4"/>
  <c r="B20" i="4"/>
  <c r="A16" i="4"/>
  <c r="B16" i="4"/>
  <c r="B12" i="4"/>
  <c r="L17" i="4"/>
  <c r="S41" i="4"/>
  <c r="L18" i="4" s="1"/>
  <c r="L21" i="4"/>
  <c r="L11" i="4"/>
  <c r="B13" i="4"/>
  <c r="B17" i="4"/>
  <c r="S42" i="4"/>
  <c r="L19" i="4" s="1"/>
  <c r="B13" i="5" l="1"/>
  <c r="B16" i="5" s="1"/>
  <c r="B19" i="5" s="1"/>
  <c r="B22" i="5" s="1"/>
  <c r="B18" i="5"/>
  <c r="B21" i="5" s="1"/>
  <c r="B17" i="5"/>
  <c r="B20" i="5" s="1"/>
</calcChain>
</file>

<file path=xl/sharedStrings.xml><?xml version="1.0" encoding="utf-8"?>
<sst xmlns="http://schemas.openxmlformats.org/spreadsheetml/2006/main" count="259" uniqueCount="33">
  <si>
    <t>g</t>
  </si>
  <si>
    <t>cm</t>
  </si>
  <si>
    <t>±</t>
  </si>
  <si>
    <t>Comprimento bandeira</t>
  </si>
  <si>
    <t>Massa cavaleiro (A)</t>
  </si>
  <si>
    <t>Massa cavaleiro (B)</t>
  </si>
  <si>
    <t>Incerteza</t>
  </si>
  <si>
    <t>Unidade de medida</t>
  </si>
  <si>
    <t>Valor medido</t>
  </si>
  <si>
    <t>Velocidade inicial (A) (m/s)</t>
  </si>
  <si>
    <t>Velocidade inicial (B) (m/s)</t>
  </si>
  <si>
    <t>Velocidade final (A) (m/s)</t>
  </si>
  <si>
    <t>Variação do tempo final (B) (s)</t>
  </si>
  <si>
    <t>Variação do tempo inicial (A) (s)</t>
  </si>
  <si>
    <t>Velocidade final (B) (m/s)</t>
  </si>
  <si>
    <t>Momento ((kg*m)/s)</t>
  </si>
  <si>
    <t>Energia cinetica inicial (J)</t>
  </si>
  <si>
    <t>Energia cinetica final (J)</t>
  </si>
  <si>
    <t>Coeficiente de restituição</t>
  </si>
  <si>
    <t>Diferença da energia cinética (J)</t>
  </si>
  <si>
    <t>Massas dos cavaleiros diferentes  (1ª Análise)</t>
  </si>
  <si>
    <t>Massas dos cavaleiros "iguais"  (1ª Análise)</t>
  </si>
  <si>
    <t>Massas dos cavaleiros "iguais"  (2ª Análise)</t>
  </si>
  <si>
    <t>Momento final((kg*m)/s)</t>
  </si>
  <si>
    <t>Momento inicial ((kg*m)/s)</t>
  </si>
  <si>
    <t>Diferença dos momentos ((kg*m)/s)</t>
  </si>
  <si>
    <t>Momento final ((kg*m)/s)</t>
  </si>
  <si>
    <t>Momento inicial((kg*m)/s)</t>
  </si>
  <si>
    <t>Incerteza associada aos tempos</t>
  </si>
  <si>
    <t>Valor médio do coeficiente de restituição</t>
  </si>
  <si>
    <t>Valor esperado do coeficiente de restituição</t>
  </si>
  <si>
    <t>Desvio percentual do valor médio do coeficiente de restituição (%)</t>
  </si>
  <si>
    <t>Variação do tempo inicial (B)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</si>
</sst>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2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0" xfId="0" applyFill="1"/>
    <xf numFmtId="2" fontId="0" fillId="4" borderId="1" xfId="0" quotePrefix="1" applyNumberFormat="1" applyFill="1" applyBorder="1" applyAlignment="1">
      <alignment horizontal="center"/>
    </xf>
    <xf numFmtId="0" fontId="0" fillId="5" borderId="0" xfId="0" applyFill="1"/>
    <xf numFmtId="2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/>
    <xf numFmtId="2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Estudo do coeficiente de restituição em função da velocidade colisão</a:t>
            </a:r>
          </a:p>
        </c:rich>
      </c:tx>
      <c:layout>
        <c:manualLayout>
          <c:xMode val="edge"/>
          <c:yMode val="edge"/>
          <c:x val="0.12881746506832845"/>
          <c:y val="2.535657264325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927205005807021"/>
          <c:y val="0.24737898891831256"/>
          <c:w val="0.79946442367218706"/>
          <c:h val="0.58987873435429594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'Dados recolhidos (ELÁSTICO)'!$S$19:$S$30</c:f>
              <c:numCache>
                <c:formatCode>0.00</c:formatCode>
                <c:ptCount val="12"/>
                <c:pt idx="0">
                  <c:v>0.66711140760507004</c:v>
                </c:pt>
                <c:pt idx="1">
                  <c:v>0.83682008368200844</c:v>
                </c:pt>
                <c:pt idx="2">
                  <c:v>0.94428706326723333</c:v>
                </c:pt>
                <c:pt idx="3">
                  <c:v>0.90009000900090008</c:v>
                </c:pt>
                <c:pt idx="4">
                  <c:v>1.0351966873706004</c:v>
                </c:pt>
                <c:pt idx="5">
                  <c:v>0.88967971530249113</c:v>
                </c:pt>
                <c:pt idx="6">
                  <c:v>0.84530853761622993</c:v>
                </c:pt>
                <c:pt idx="7">
                  <c:v>0.87489063867016625</c:v>
                </c:pt>
                <c:pt idx="8">
                  <c:v>0.88183421516754856</c:v>
                </c:pt>
                <c:pt idx="9">
                  <c:v>0.89525514771709946</c:v>
                </c:pt>
                <c:pt idx="10">
                  <c:v>0.85034013605442182</c:v>
                </c:pt>
                <c:pt idx="11">
                  <c:v>0.90909090909090917</c:v>
                </c:pt>
              </c:numCache>
            </c:numRef>
          </c:xVal>
          <c:yVal>
            <c:numRef>
              <c:f>'Dados recolhidos (ELÁSTICO)'!$L$11:$L$22</c:f>
              <c:numCache>
                <c:formatCode>0.00</c:formatCode>
                <c:ptCount val="12"/>
                <c:pt idx="0">
                  <c:v>1.1253753753753752</c:v>
                </c:pt>
                <c:pt idx="1">
                  <c:v>1.0631672597864767</c:v>
                </c:pt>
                <c:pt idx="2">
                  <c:v>1.0454096742349457</c:v>
                </c:pt>
                <c:pt idx="3">
                  <c:v>1.0601145038167938</c:v>
                </c:pt>
                <c:pt idx="4">
                  <c:v>1.0398277717976321</c:v>
                </c:pt>
                <c:pt idx="5">
                  <c:v>1.077660594439118</c:v>
                </c:pt>
                <c:pt idx="6">
                  <c:v>1.091328413284133</c:v>
                </c:pt>
                <c:pt idx="7">
                  <c:v>1.0937799043062202</c:v>
                </c:pt>
                <c:pt idx="8">
                  <c:v>1.087248322147651</c:v>
                </c:pt>
                <c:pt idx="9">
                  <c:v>1.0699233716475094</c:v>
                </c:pt>
                <c:pt idx="10">
                  <c:v>1.0878815911193338</c:v>
                </c:pt>
                <c:pt idx="11">
                  <c:v>1.0816125860373649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9-4F69-942D-1F9DD89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18687"/>
        <c:axId val="343693807"/>
      </c:scatterChart>
      <c:valAx>
        <c:axId val="3319186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 de colisão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693807"/>
        <c:crosses val="autoZero"/>
        <c:crossBetween val="midCat"/>
        <c:majorUnit val="0.1"/>
        <c:minorUnit val="2.0000000000000004E-2"/>
      </c:valAx>
      <c:valAx>
        <c:axId val="343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Coeficiente restituição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918687"/>
        <c:crosses val="autoZero"/>
        <c:crossBetween val="midCat"/>
        <c:majorUnit val="3.0000000000000006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Estudo do coeficiente de restituição em função da velocidade colisão</a:t>
            </a:r>
          </a:p>
        </c:rich>
      </c:tx>
      <c:layout>
        <c:manualLayout>
          <c:xMode val="edge"/>
          <c:yMode val="edge"/>
          <c:x val="0.13129584638351433"/>
          <c:y val="2.5356517935258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927205005807021"/>
          <c:y val="0.24737898891831256"/>
          <c:w val="0.79946442367218706"/>
          <c:h val="0.58987873435429594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'Dados recolhidos (ELÁSTICO)'!$I$19:$I$30</c:f>
              <c:numCache>
                <c:formatCode>0.00</c:formatCode>
                <c:ptCount val="12"/>
                <c:pt idx="0">
                  <c:v>1.2376237623762378</c:v>
                </c:pt>
                <c:pt idx="1">
                  <c:v>0.76335877862595425</c:v>
                </c:pt>
                <c:pt idx="2">
                  <c:v>0.80192461908580592</c:v>
                </c:pt>
                <c:pt idx="3">
                  <c:v>1.2121212121212122</c:v>
                </c:pt>
                <c:pt idx="4">
                  <c:v>1.2738853503184715</c:v>
                </c:pt>
                <c:pt idx="5">
                  <c:v>1.0706638115631693</c:v>
                </c:pt>
                <c:pt idx="6">
                  <c:v>0.90009000900090008</c:v>
                </c:pt>
                <c:pt idx="7">
                  <c:v>0.56401579244218836</c:v>
                </c:pt>
                <c:pt idx="8">
                  <c:v>1.0822510822510825</c:v>
                </c:pt>
                <c:pt idx="9">
                  <c:v>1.1764705882352942</c:v>
                </c:pt>
                <c:pt idx="10">
                  <c:v>1.0604453870625663</c:v>
                </c:pt>
                <c:pt idx="11">
                  <c:v>0.86058519793459554</c:v>
                </c:pt>
              </c:numCache>
            </c:numRef>
          </c:xVal>
          <c:yVal>
            <c:numRef>
              <c:f>'Dados recolhidos (ELÁSTICO)'!$A$11:$A$22</c:f>
              <c:numCache>
                <c:formatCode>0.00</c:formatCode>
                <c:ptCount val="12"/>
                <c:pt idx="0">
                  <c:v>0.78446601941747574</c:v>
                </c:pt>
                <c:pt idx="1">
                  <c:v>0.93437945791726118</c:v>
                </c:pt>
                <c:pt idx="2">
                  <c:v>0.9397136397889978</c:v>
                </c:pt>
                <c:pt idx="3">
                  <c:v>0.84528688524590156</c:v>
                </c:pt>
                <c:pt idx="4">
                  <c:v>0.82112970711297062</c:v>
                </c:pt>
                <c:pt idx="5">
                  <c:v>0.84448462929475587</c:v>
                </c:pt>
                <c:pt idx="6">
                  <c:v>0.90842191332788225</c:v>
                </c:pt>
                <c:pt idx="7">
                  <c:v>0.95322580645161303</c:v>
                </c:pt>
                <c:pt idx="8">
                  <c:v>0.79518072289156616</c:v>
                </c:pt>
                <c:pt idx="9">
                  <c:v>0.80416272469252592</c:v>
                </c:pt>
                <c:pt idx="10">
                  <c:v>0.84422560429722482</c:v>
                </c:pt>
                <c:pt idx="11">
                  <c:v>0.91280439905734501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B-49D1-818C-BFC1B2AF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18687"/>
        <c:axId val="343693807"/>
      </c:scatterChart>
      <c:valAx>
        <c:axId val="3319186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 de colisão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693807"/>
        <c:crosses val="autoZero"/>
        <c:crossBetween val="midCat"/>
        <c:majorUnit val="0.1"/>
        <c:minorUnit val="2.0000000000000004E-2"/>
      </c:valAx>
      <c:valAx>
        <c:axId val="343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Coeficiente restituição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918687"/>
        <c:crosses val="autoZero"/>
        <c:crossBetween val="midCat"/>
        <c:majorUnit val="0.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142876</xdr:rowOff>
    </xdr:from>
    <xdr:to>
      <xdr:col>21</xdr:col>
      <xdr:colOff>561974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EEAC32-9932-4B7C-921F-2BD11389B525}"/>
                </a:ext>
              </a:extLst>
            </xdr:cNvPr>
            <xdr:cNvSpPr txBox="1"/>
          </xdr:nvSpPr>
          <xdr:spPr>
            <a:xfrm>
              <a:off x="190499" y="142876"/>
              <a:ext cx="13173075" cy="28860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Esta experiência tem como objetivo a verificação da conservação do momento linear (quantidade de movimento), através do estudo de várias colisões a uma dimensão, cujo carácter dessas mesmas colisões variou entre elásticas, parcialmente elásticas e inelásticas. Este estudo foi feito utilizando uma calha de ar, de modo a reduzir ao máximo o atrito, e dois cavaleiros a moverem-se sobre ela, medindo o tempo de passagem das bandeiras pelas fotocélulas, fixas aos cavaleiros.</a:t>
              </a:r>
            </a:p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Para calcular a velocidade dos cavaleiros usámos a seguinte expressão: </a:t>
              </a:r>
              <a14:m>
                <m:oMath xmlns:m="http://schemas.openxmlformats.org/officeDocument/2006/math">
                  <m:r>
                    <a:rPr lang="pt-PT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𝑣</m:t>
                  </m:r>
                  <m:r>
                    <a:rPr lang="pt-PT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f>
                    <m:fPr>
                      <m:type m:val="skw"/>
                      <m:ctrlPr>
                        <a:rPr lang="pt-PT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pt-PT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𝑑</m:t>
                      </m:r>
                    </m:num>
                    <m:den>
                      <m:r>
                        <a:rPr lang="pt-PT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</m:den>
                  </m:f>
                  <m:r>
                    <a:rPr lang="pt-PT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</m:t>
                  </m:r>
                </m:oMath>
              </a14:m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em que d é o comprimento da bandeira do cavaleiro e </a:t>
              </a:r>
              <a:r>
                <a:rPr lang="pt-PT" sz="1600" b="1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</a:t>
              </a:r>
              <a:r>
                <a:rPr lang="pt-PT" sz="1600" b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tempo em que esta demora a percorrer a fotocélula.</a:t>
              </a:r>
            </a:p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	Sabendo as respetivas velocidades iniciais e finais de cada cavaleiro, podemos calcular o coeficiente de restituição para verificar o caráter elástico de cada choque. Para calcular o coeficiente de restituição utilizamos a seguinte expressão:</a:t>
              </a:r>
            </a:p>
            <a:p>
              <a:endParaRPr lang="pt-PT" sz="16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pt-PT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pt-PT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𝑓</m:t>
                            </m:r>
                          </m:sub>
                        </m:sSub>
                        <m:r>
                          <a:rPr lang="pt-PT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pt-PT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𝐵</m:t>
                            </m:r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pt-PT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𝐵</m:t>
                            </m:r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PT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pt-PT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  <m:r>
                              <a:rPr lang="pt-PT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PT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pt-PT" sz="16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endParaRPr lang="pt-PT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EEAC32-9932-4B7C-921F-2BD11389B525}"/>
                </a:ext>
              </a:extLst>
            </xdr:cNvPr>
            <xdr:cNvSpPr txBox="1"/>
          </xdr:nvSpPr>
          <xdr:spPr>
            <a:xfrm>
              <a:off x="190499" y="142876"/>
              <a:ext cx="13173075" cy="28860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Esta experiência tem como objetivo a verificação da conservação do momento linear (quantidade de movimento), através do estudo de várias colisões a uma dimensão, cujo carácter dessas mesmas colisões variou entre elásticas, parcialmente elásticas e inelásticas. Este estudo foi feito utilizando uma calha de ar, de modo a reduzir ao máximo o atrito, e dois cavaleiros a moverem-se sobre ela, medindo o tempo de passagem das bandeiras pelas fotocélulas, fixas aos cavaleiros.</a:t>
              </a:r>
            </a:p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Para calcular a velocidade dos cavaleiros usámos a seguinte expressão: </a:t>
              </a:r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𝑣=𝑑⁄𝑡,</a:t>
              </a:r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em que d é o comprimento da bandeira do cavaleiro e </a:t>
              </a:r>
              <a:r>
                <a:rPr lang="pt-PT" sz="1600" b="1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</a:t>
              </a:r>
              <a:r>
                <a:rPr lang="pt-PT" sz="1600" b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tempo em que esta demora a percorrer a fotocélula.</a:t>
              </a:r>
            </a:p>
            <a:p>
              <a:r>
                <a:rPr lang="pt-PT" sz="16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	Sabendo as respetivas velocidades iniciais e finais de cada cavaleiro, podemos calcular o coeficiente de restituição para verificar o caráter elástico de cada choque. Para calcular o coeficiente de restituição utilizamos a seguinte expressão:</a:t>
              </a:r>
            </a:p>
            <a:p>
              <a:endParaRPr lang="pt-PT" sz="16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𝑒=(𝑣_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𝑓−𝑣_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</a:t>
              </a:r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𝑓)/(𝑣_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</a:t>
              </a:r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𝑖−𝑣_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pt-PT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 )  </a:t>
              </a:r>
              <a:endParaRPr lang="pt-PT" sz="16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endParaRPr lang="pt-PT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22</xdr:row>
      <xdr:rowOff>66676</xdr:rowOff>
    </xdr:from>
    <xdr:to>
      <xdr:col>1</xdr:col>
      <xdr:colOff>1666875</xdr:colOff>
      <xdr:row>34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C07236A-4EA1-486A-82A9-F70C60703925}"/>
            </a:ext>
          </a:extLst>
        </xdr:cNvPr>
        <xdr:cNvSpPr txBox="1"/>
      </xdr:nvSpPr>
      <xdr:spPr>
        <a:xfrm>
          <a:off x="266701" y="4657726"/>
          <a:ext cx="5505449" cy="2314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Analisando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 os valores das tabelas e o gráfico podemos ver que, quando a velocidade inicial do cavaleiro A é elevada o coeficiente restituição (e) afasta-se de 1 (valor esperado) e a diferença da energia cinética inicial e final afasta-se de 0 (valor esperado). Isto deve se ao facto do cavaleiro A ao colidir com o cavaleiro B puder criar uma componente segundo y de velocidade, o que implica erro nos valores de velocidade alta. Por esse motivo é feita uma segunda análise sem os valores de velocidade alta (2ª Análise)!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0</xdr:col>
      <xdr:colOff>0</xdr:colOff>
      <xdr:row>70</xdr:row>
      <xdr:rowOff>142876</xdr:rowOff>
    </xdr:from>
    <xdr:to>
      <xdr:col>4</xdr:col>
      <xdr:colOff>333375</xdr:colOff>
      <xdr:row>80</xdr:row>
      <xdr:rowOff>9525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12272A1-7D05-4F2B-8CED-F841628E26FB}"/>
            </a:ext>
          </a:extLst>
        </xdr:cNvPr>
        <xdr:cNvSpPr txBox="1"/>
      </xdr:nvSpPr>
      <xdr:spPr>
        <a:xfrm>
          <a:off x="0" y="14239876"/>
          <a:ext cx="7924800" cy="1771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Tendo em conta os valores do coeficiente de restituição e da variação da energia cinética podemos concluir que se trata de uma colisão elástica. Observa se também que o momento não se conserva durante a colisão, provavelmente porque os cavaleiros não estavam bem alinhados. Obtendo um desvio percentual do valor médio do coeficiente de restituição de 7%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Nota: A velocidade final de A é 0 m/s porque numa colisão elástica, a velocidade inicial de B é igual á velocidade final de A 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11</xdr:col>
      <xdr:colOff>104775</xdr:colOff>
      <xdr:row>28</xdr:row>
      <xdr:rowOff>133350</xdr:rowOff>
    </xdr:from>
    <xdr:to>
      <xdr:col>15</xdr:col>
      <xdr:colOff>552450</xdr:colOff>
      <xdr:row>44</xdr:row>
      <xdr:rowOff>90488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2200E7-3F85-47EA-8864-987BE742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46</xdr:row>
      <xdr:rowOff>457200</xdr:rowOff>
    </xdr:from>
    <xdr:to>
      <xdr:col>15</xdr:col>
      <xdr:colOff>1285876</xdr:colOff>
      <xdr:row>54</xdr:row>
      <xdr:rowOff>104776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67EDE8-AA8F-4BD7-A64C-8D51E58A842E}"/>
            </a:ext>
          </a:extLst>
        </xdr:cNvPr>
        <xdr:cNvSpPr txBox="1"/>
      </xdr:nvSpPr>
      <xdr:spPr>
        <a:xfrm>
          <a:off x="18659475" y="9620250"/>
          <a:ext cx="8686801" cy="1533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Novamente podemos ver com a ajuda deste gráfico, que o coeficiente de restituição diminui com o aumento da velocidade de colisão. Novamente a colisão é elástica apesar de não ser conservado o momento inicial. Obtendo um desvio percentual do valor médio do coeficiente de restituição de 8%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Nota: A velocidade final de A é 0 m/s porque numa colisão elástica velocidade inicial de B é igual á velocidade final de A.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</xdr:col>
      <xdr:colOff>1857375</xdr:colOff>
      <xdr:row>23</xdr:row>
      <xdr:rowOff>180975</xdr:rowOff>
    </xdr:from>
    <xdr:to>
      <xdr:col>5</xdr:col>
      <xdr:colOff>1257300</xdr:colOff>
      <xdr:row>40</xdr:row>
      <xdr:rowOff>142875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2B5FCCB-80D2-43FA-8FAE-ED8815E9C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26</xdr:row>
      <xdr:rowOff>152400</xdr:rowOff>
    </xdr:from>
    <xdr:to>
      <xdr:col>5</xdr:col>
      <xdr:colOff>438150</xdr:colOff>
      <xdr:row>34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722C294-7BFE-456F-884D-0BCC2B49B221}"/>
            </a:ext>
          </a:extLst>
        </xdr:cNvPr>
        <xdr:cNvSpPr txBox="1"/>
      </xdr:nvSpPr>
      <xdr:spPr>
        <a:xfrm>
          <a:off x="114300" y="5553075"/>
          <a:ext cx="684847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Nesta análise não foram registadas as velocidades finais de A, por isso é obtida a partir da conservação do momento. Como esperado o coeficiente de restituição encontra-se dentro do intervalo 0 e 1, um valor médio de aproximadamente 0,09. Também se verifica a perda do sistema de energia cinética após a colisão. sendo assim uma colisão parcialmente inelástica.</a:t>
          </a:r>
        </a:p>
        <a:p>
          <a:endParaRPr lang="pt-PT" sz="1600" baseline="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10</xdr:col>
      <xdr:colOff>123825</xdr:colOff>
      <xdr:row>25</xdr:row>
      <xdr:rowOff>180976</xdr:rowOff>
    </xdr:from>
    <xdr:to>
      <xdr:col>15</xdr:col>
      <xdr:colOff>38100</xdr:colOff>
      <xdr:row>33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E6FB585-D71A-4AFF-8FE8-43FD51F047D9}"/>
            </a:ext>
          </a:extLst>
        </xdr:cNvPr>
        <xdr:cNvSpPr txBox="1"/>
      </xdr:nvSpPr>
      <xdr:spPr>
        <a:xfrm>
          <a:off x="12896850" y="5391151"/>
          <a:ext cx="6457950" cy="1343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Novamente, não foram registadas as velocidades finais de A, por isso é obtida a partir da conservação do momento. O valor médio do coeficiente de restituição é 0,08 e verifica-se uma perda de energia cinética por isso trata-se também de uma colisão parcialmente inelástica.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66675</xdr:rowOff>
    </xdr:from>
    <xdr:to>
      <xdr:col>4</xdr:col>
      <xdr:colOff>1038225</xdr:colOff>
      <xdr:row>30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7BA9B15-A420-4085-90E1-1D72B6E53AB9}"/>
            </a:ext>
          </a:extLst>
        </xdr:cNvPr>
        <xdr:cNvSpPr txBox="1"/>
      </xdr:nvSpPr>
      <xdr:spPr>
        <a:xfrm>
          <a:off x="19050" y="4695825"/>
          <a:ext cx="54578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Não há conservação de momento, a diferença da energia cinética é considerável e o coeficiente de restituição é zero. Então esta colisão trata-se de uma colisão inelástica.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Nota: A velocidade final de A é igual á velocidade final de b porque numa colisão inelástica,  logo a velocidade A em relação a B é 0 m/s.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10</xdr:col>
      <xdr:colOff>66675</xdr:colOff>
      <xdr:row>21</xdr:row>
      <xdr:rowOff>161926</xdr:rowOff>
    </xdr:from>
    <xdr:to>
      <xdr:col>15</xdr:col>
      <xdr:colOff>714375</xdr:colOff>
      <xdr:row>26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38AEFB-F713-444D-9B24-AA232BC89C79}"/>
            </a:ext>
          </a:extLst>
        </xdr:cNvPr>
        <xdr:cNvSpPr txBox="1"/>
      </xdr:nvSpPr>
      <xdr:spPr>
        <a:xfrm>
          <a:off x="14106525" y="4600576"/>
          <a:ext cx="7353300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Novamente , agora com massas diferentes, verifica-se que é uma colisão inelástica.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Nota: A velocidade final de A é igual á velocidade final de b porque numa colisão inelástica,  logo a velocidade A em relação a B é 0 m/s.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76200</xdr:rowOff>
    </xdr:from>
    <xdr:to>
      <xdr:col>20</xdr:col>
      <xdr:colOff>114300</xdr:colOff>
      <xdr:row>12</xdr:row>
      <xdr:rowOff>123825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1B3072-7D74-4432-BFD2-B69C9A087716}"/>
            </a:ext>
          </a:extLst>
        </xdr:cNvPr>
        <xdr:cNvSpPr txBox="1"/>
      </xdr:nvSpPr>
      <xdr:spPr>
        <a:xfrm>
          <a:off x="200025" y="76200"/>
          <a:ext cx="1210627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Alguns cuidados que nós tivemos: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 Manter sempre a bandeira na mesma posição;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 Nivelamento da calha (de modo a não criar uma aceleração segundo o eixo paralelo ao plano);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 Não acelerar o cavaleiro na região onde a bandeira passa pela fotocélula.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Após a realização da experiência e a análise dos resultados, temos alguns aspetos que podíamos ter melhorado durante a experiência: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-Colisões com menores velocidades;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-Alinhamento dos cavaleiros;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-Para uma melhor análise de dados com incertezas e desvios, deveríamos ter anotado as velocidades iniciais e finais dos dois cavaleiros.</a:t>
          </a:r>
        </a:p>
        <a:p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0</xdr:col>
      <xdr:colOff>190500</xdr:colOff>
      <xdr:row>13</xdr:row>
      <xdr:rowOff>133351</xdr:rowOff>
    </xdr:from>
    <xdr:to>
      <xdr:col>20</xdr:col>
      <xdr:colOff>95250</xdr:colOff>
      <xdr:row>21</xdr:row>
      <xdr:rowOff>76201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47BDED9-2597-4C02-8D3B-58DEC6348B6B}"/>
            </a:ext>
          </a:extLst>
        </xdr:cNvPr>
        <xdr:cNvSpPr txBox="1"/>
      </xdr:nvSpPr>
      <xdr:spPr>
        <a:xfrm>
          <a:off x="190500" y="2609851"/>
          <a:ext cx="120967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Nota da análise dos resultados:</a:t>
          </a:r>
        </a:p>
        <a:p>
          <a:r>
            <a:rPr lang="pt-PT" sz="16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Não há sentido em fazer a propagação das incertezas tendo em conta que não temos todos os valores das velocidades dos cavaleiros, iniciais e finais. Também devido ás condições da experiencia há vários erros possíveis a serem cometidos como, por exemplo a bandeira após a colisão alterar a sua posição (aconteceu durante a realização da experiencia, colisão elástica). Para ter uma ideia dos valores obtido compara-se com os valores esperados de cada tipo de colisão.</a:t>
          </a:r>
        </a:p>
        <a:p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1ED7-20A4-4554-AE26-A3482F265DEB}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B859-181C-4DD5-89C1-81F54F66AF6A}">
  <dimension ref="A1:T69"/>
  <sheetViews>
    <sheetView topLeftCell="J4" workbookViewId="0">
      <selection activeCell="K4" sqref="K1:K1048576"/>
    </sheetView>
  </sheetViews>
  <sheetFormatPr defaultRowHeight="15" x14ac:dyDescent="0.25"/>
  <cols>
    <col min="1" max="1" width="61.5703125" bestFit="1" customWidth="1"/>
    <col min="2" max="2" width="41.140625" bestFit="1" customWidth="1"/>
    <col min="3" max="3" width="2" bestFit="1" customWidth="1"/>
    <col min="4" max="4" width="9.140625" bestFit="1" customWidth="1"/>
    <col min="5" max="5" width="33.5703125" bestFit="1" customWidth="1"/>
    <col min="6" max="6" width="21.5703125" customWidth="1"/>
    <col min="7" max="7" width="25.140625" customWidth="1"/>
    <col min="8" max="8" width="28.28515625" bestFit="1" customWidth="1"/>
    <col min="9" max="9" width="29.85546875" bestFit="1" customWidth="1"/>
    <col min="10" max="10" width="22.28515625" bestFit="1" customWidth="1"/>
    <col min="11" max="11" width="2.42578125" style="14" customWidth="1"/>
    <col min="12" max="12" width="61.5703125" bestFit="1" customWidth="1"/>
    <col min="13" max="13" width="41.140625" bestFit="1" customWidth="1"/>
    <col min="14" max="14" width="2" bestFit="1" customWidth="1"/>
    <col min="16" max="16" width="33.5703125" bestFit="1" customWidth="1"/>
    <col min="17" max="17" width="24.5703125" bestFit="1" customWidth="1"/>
    <col min="18" max="18" width="23.7109375" customWidth="1"/>
    <col min="19" max="19" width="29.85546875" bestFit="1" customWidth="1"/>
    <col min="20" max="20" width="24.28515625" bestFit="1" customWidth="1"/>
    <col min="22" max="22" width="22" bestFit="1" customWidth="1"/>
    <col min="23" max="23" width="13.140625" bestFit="1" customWidth="1"/>
    <col min="24" max="24" width="2" bestFit="1" customWidth="1"/>
    <col min="25" max="25" width="9.28515625" customWidth="1"/>
    <col min="26" max="26" width="18.5703125" bestFit="1" customWidth="1"/>
    <col min="28" max="28" width="29.7109375" bestFit="1" customWidth="1"/>
    <col min="29" max="29" width="28.28515625" bestFit="1" customWidth="1"/>
    <col min="30" max="30" width="29.85546875" bestFit="1" customWidth="1"/>
    <col min="31" max="31" width="24.28515625" bestFit="1" customWidth="1"/>
  </cols>
  <sheetData>
    <row r="1" spans="1:20" ht="46.5" customHeight="1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20</v>
      </c>
      <c r="M1" s="19"/>
      <c r="N1" s="19"/>
      <c r="O1" s="19"/>
      <c r="P1" s="19"/>
      <c r="Q1" s="19"/>
      <c r="R1" s="19"/>
      <c r="S1" s="19"/>
      <c r="T1" s="19"/>
    </row>
    <row r="2" spans="1:20" x14ac:dyDescent="0.25">
      <c r="B2" s="4" t="s">
        <v>8</v>
      </c>
      <c r="D2" s="5" t="s">
        <v>6</v>
      </c>
      <c r="E2" s="4" t="s">
        <v>7</v>
      </c>
      <c r="M2" s="5" t="s">
        <v>8</v>
      </c>
      <c r="O2" s="5" t="s">
        <v>6</v>
      </c>
      <c r="P2" s="5" t="s">
        <v>7</v>
      </c>
    </row>
    <row r="3" spans="1:20" x14ac:dyDescent="0.25">
      <c r="A3" s="3" t="s">
        <v>4</v>
      </c>
      <c r="B3" s="10">
        <v>211.2</v>
      </c>
      <c r="C3" s="11" t="s">
        <v>2</v>
      </c>
      <c r="D3" s="10">
        <v>0.01</v>
      </c>
      <c r="E3" s="10" t="s">
        <v>0</v>
      </c>
      <c r="H3" s="2" t="s">
        <v>12</v>
      </c>
      <c r="I3" s="2" t="s">
        <v>13</v>
      </c>
      <c r="L3" s="3" t="s">
        <v>4</v>
      </c>
      <c r="M3" s="10">
        <v>311.63</v>
      </c>
      <c r="N3" s="11" t="s">
        <v>2</v>
      </c>
      <c r="O3" s="10">
        <v>0.01</v>
      </c>
      <c r="P3" s="10" t="s">
        <v>0</v>
      </c>
      <c r="R3" s="3" t="s">
        <v>12</v>
      </c>
      <c r="S3" s="3" t="s">
        <v>13</v>
      </c>
    </row>
    <row r="4" spans="1:20" x14ac:dyDescent="0.25">
      <c r="A4" s="3" t="s">
        <v>5</v>
      </c>
      <c r="B4" s="10">
        <v>211.75</v>
      </c>
      <c r="C4" s="10" t="s">
        <v>2</v>
      </c>
      <c r="D4" s="10">
        <v>0.01</v>
      </c>
      <c r="E4" s="10" t="s">
        <v>0</v>
      </c>
      <c r="H4" s="6">
        <v>0.10299999999999999</v>
      </c>
      <c r="I4" s="6">
        <v>8.0799999999999997E-2</v>
      </c>
      <c r="L4" s="3" t="s">
        <v>5</v>
      </c>
      <c r="M4" s="10">
        <v>211.75</v>
      </c>
      <c r="N4" s="10" t="s">
        <v>2</v>
      </c>
      <c r="O4" s="10">
        <v>0.01</v>
      </c>
      <c r="P4" s="10" t="s">
        <v>0</v>
      </c>
      <c r="R4" s="8">
        <v>0.13320000000000001</v>
      </c>
      <c r="S4" s="8">
        <v>0.14990000000000001</v>
      </c>
    </row>
    <row r="5" spans="1:20" x14ac:dyDescent="0.25">
      <c r="A5" s="3" t="s">
        <v>3</v>
      </c>
      <c r="B5" s="8">
        <v>10</v>
      </c>
      <c r="C5" s="10" t="s">
        <v>2</v>
      </c>
      <c r="D5" s="10">
        <v>0.05</v>
      </c>
      <c r="E5" s="10" t="s">
        <v>1</v>
      </c>
      <c r="H5" s="8">
        <v>0.14019999999999999</v>
      </c>
      <c r="I5" s="8">
        <v>0.13100000000000001</v>
      </c>
      <c r="L5" s="3" t="s">
        <v>3</v>
      </c>
      <c r="M5" s="8">
        <v>10</v>
      </c>
      <c r="N5" s="10" t="s">
        <v>2</v>
      </c>
      <c r="O5" s="10">
        <v>0.05</v>
      </c>
      <c r="P5" s="10" t="s">
        <v>1</v>
      </c>
      <c r="R5" s="8">
        <v>0.1124</v>
      </c>
      <c r="S5" s="8">
        <v>0.1195</v>
      </c>
    </row>
    <row r="6" spans="1:20" x14ac:dyDescent="0.25">
      <c r="H6" s="8">
        <v>0.13270000000000001</v>
      </c>
      <c r="I6" s="8">
        <v>0.12470000000000001</v>
      </c>
      <c r="R6" s="8">
        <v>0.1013</v>
      </c>
      <c r="S6" s="8">
        <v>0.10589999999999999</v>
      </c>
    </row>
    <row r="7" spans="1:20" x14ac:dyDescent="0.25">
      <c r="A7" s="2" t="s">
        <v>10</v>
      </c>
      <c r="B7" s="2" t="s">
        <v>11</v>
      </c>
      <c r="H7" s="6">
        <v>9.7600000000000006E-2</v>
      </c>
      <c r="I7" s="6">
        <v>8.2500000000000004E-2</v>
      </c>
      <c r="L7" s="2" t="s">
        <v>10</v>
      </c>
      <c r="M7" s="2" t="s">
        <v>11</v>
      </c>
      <c r="R7" s="8">
        <v>0.1048</v>
      </c>
      <c r="S7" s="8">
        <v>0.1111</v>
      </c>
    </row>
    <row r="8" spans="1:20" x14ac:dyDescent="0.25">
      <c r="A8" s="10">
        <v>0</v>
      </c>
      <c r="B8" s="16">
        <v>0</v>
      </c>
      <c r="H8" s="6">
        <v>9.5600000000000004E-2</v>
      </c>
      <c r="I8" s="6">
        <v>7.85E-2</v>
      </c>
      <c r="L8" s="10">
        <v>0</v>
      </c>
      <c r="M8" s="16">
        <v>0</v>
      </c>
      <c r="R8" s="8">
        <v>9.2899999999999996E-2</v>
      </c>
      <c r="S8" s="8">
        <v>9.6600000000000005E-2</v>
      </c>
    </row>
    <row r="9" spans="1:20" x14ac:dyDescent="0.25">
      <c r="H9" s="6">
        <v>0.1106</v>
      </c>
      <c r="I9" s="6">
        <v>9.3399999999999997E-2</v>
      </c>
      <c r="R9" s="8">
        <v>0.1043</v>
      </c>
      <c r="S9" s="8">
        <v>0.1124</v>
      </c>
    </row>
    <row r="10" spans="1:20" x14ac:dyDescent="0.25">
      <c r="A10" s="2" t="s">
        <v>18</v>
      </c>
      <c r="B10" s="2" t="s">
        <v>19</v>
      </c>
      <c r="E10" s="2" t="s">
        <v>25</v>
      </c>
      <c r="H10" s="8">
        <v>0.12230000000000001</v>
      </c>
      <c r="I10" s="8">
        <v>0.1111</v>
      </c>
      <c r="L10" s="2" t="s">
        <v>18</v>
      </c>
      <c r="M10" s="2" t="s">
        <v>19</v>
      </c>
      <c r="P10" s="2" t="s">
        <v>25</v>
      </c>
      <c r="R10" s="8">
        <v>0.1084</v>
      </c>
      <c r="S10" s="8">
        <v>0.1183</v>
      </c>
    </row>
    <row r="11" spans="1:20" x14ac:dyDescent="0.25">
      <c r="A11" s="6">
        <f>(H19/I19)</f>
        <v>0.78446601941747574</v>
      </c>
      <c r="B11" s="7">
        <f t="shared" ref="B11:B22" si="0">I34-J34</f>
        <v>6.1951506272605733E-2</v>
      </c>
      <c r="E11" s="6">
        <f t="shared" ref="E11:E22" si="1">G34-H34</f>
        <v>5.5803614342016777E-2</v>
      </c>
      <c r="H11" s="8">
        <v>0.186</v>
      </c>
      <c r="I11" s="8">
        <v>0.17730000000000001</v>
      </c>
      <c r="L11" s="8">
        <f>($M$8-R19)/($L$8-S19)</f>
        <v>1.1253753753753752</v>
      </c>
      <c r="M11" s="8">
        <f>S34-T34</f>
        <v>9.6695625653052189E-3</v>
      </c>
      <c r="P11" s="15">
        <f>Q34-R34</f>
        <v>4.8920456480496533E-2</v>
      </c>
      <c r="R11" s="8">
        <v>0.1045</v>
      </c>
      <c r="S11" s="8">
        <v>0.1143</v>
      </c>
    </row>
    <row r="12" spans="1:20" x14ac:dyDescent="0.25">
      <c r="A12" s="23">
        <f>(H20/I20)</f>
        <v>0.93437945791726118</v>
      </c>
      <c r="B12" s="9">
        <f t="shared" si="0"/>
        <v>7.6710250890858478E-3</v>
      </c>
      <c r="E12" s="8">
        <f t="shared" si="1"/>
        <v>1.0187137241236599E-2</v>
      </c>
      <c r="H12" s="6">
        <v>0.1162</v>
      </c>
      <c r="I12" s="6">
        <v>9.2399999999999996E-2</v>
      </c>
      <c r="L12" s="8">
        <f t="shared" ref="L12:L22" si="2">($M$8-R20)/($L$8-S20)</f>
        <v>1.0631672597864767</v>
      </c>
      <c r="M12" s="8">
        <f t="shared" ref="M12:M22" si="3">S35-T35</f>
        <v>2.5308997122533095E-2</v>
      </c>
      <c r="P12" s="15">
        <f t="shared" ref="P12:P22" si="4">Q35-R35</f>
        <v>7.2388562962521802E-2</v>
      </c>
      <c r="R12" s="8">
        <v>0.1043</v>
      </c>
      <c r="S12" s="8">
        <v>0.1134</v>
      </c>
    </row>
    <row r="13" spans="1:20" x14ac:dyDescent="0.25">
      <c r="A13" s="23">
        <f t="shared" ref="A13:A22" si="5">(H21/I21)</f>
        <v>0.9397136397889978</v>
      </c>
      <c r="B13" s="9">
        <f t="shared" si="0"/>
        <v>7.7850609779230445E-3</v>
      </c>
      <c r="E13" s="8">
        <f t="shared" si="1"/>
        <v>9.7960198674255927E-3</v>
      </c>
      <c r="H13" s="6">
        <v>0.1057</v>
      </c>
      <c r="I13" s="6">
        <v>8.5000000000000006E-2</v>
      </c>
      <c r="L13" s="8">
        <f t="shared" si="2"/>
        <v>1.0454096742349457</v>
      </c>
      <c r="M13" s="8">
        <f t="shared" si="3"/>
        <v>3.5761803501858161E-2</v>
      </c>
      <c r="P13" s="15">
        <f t="shared" si="4"/>
        <v>8.5235601020538537E-2</v>
      </c>
      <c r="R13" s="8">
        <v>0.10440000000000001</v>
      </c>
      <c r="S13" s="8">
        <v>0.11169999999999999</v>
      </c>
    </row>
    <row r="14" spans="1:20" x14ac:dyDescent="0.25">
      <c r="A14" s="6">
        <f t="shared" si="5"/>
        <v>0.84528688524590156</v>
      </c>
      <c r="B14" s="7">
        <f t="shared" si="0"/>
        <v>4.4005527849714579E-2</v>
      </c>
      <c r="E14" s="6">
        <f t="shared" si="1"/>
        <v>3.9043032786885284E-2</v>
      </c>
      <c r="H14" s="6">
        <v>0.11169999999999999</v>
      </c>
      <c r="I14" s="6">
        <v>9.4299999999999995E-2</v>
      </c>
      <c r="L14" s="8">
        <f t="shared" si="2"/>
        <v>1.0601145038167938</v>
      </c>
      <c r="M14" s="8">
        <f t="shared" si="3"/>
        <v>2.9836766657669475E-2</v>
      </c>
      <c r="P14" s="15">
        <f t="shared" si="4"/>
        <v>7.8443522787393277E-2</v>
      </c>
      <c r="R14" s="8">
        <v>0.1081</v>
      </c>
      <c r="S14" s="8">
        <v>0.1176</v>
      </c>
    </row>
    <row r="15" spans="1:20" x14ac:dyDescent="0.25">
      <c r="A15" s="6">
        <f t="shared" si="5"/>
        <v>0.82112970711297062</v>
      </c>
      <c r="B15" s="7">
        <f t="shared" si="0"/>
        <v>5.5520886338146072E-2</v>
      </c>
      <c r="E15" s="6">
        <f t="shared" si="1"/>
        <v>4.7548770087679576E-2</v>
      </c>
      <c r="H15" s="8">
        <v>0.1273</v>
      </c>
      <c r="I15" s="8">
        <v>0.1162</v>
      </c>
      <c r="L15" s="8">
        <f t="shared" si="2"/>
        <v>1.0398277717976321</v>
      </c>
      <c r="M15" s="8">
        <f t="shared" si="3"/>
        <v>4.4299693678444579E-2</v>
      </c>
      <c r="P15" s="15">
        <f t="shared" si="4"/>
        <v>9.4665082113717824E-2</v>
      </c>
      <c r="R15" s="8">
        <v>0.1017</v>
      </c>
      <c r="S15" s="8">
        <v>0.11</v>
      </c>
    </row>
    <row r="16" spans="1:20" x14ac:dyDescent="0.25">
      <c r="A16" s="6">
        <f t="shared" si="5"/>
        <v>0.84448462929475587</v>
      </c>
      <c r="B16" s="7">
        <f t="shared" si="0"/>
        <v>3.4498289276326019E-2</v>
      </c>
      <c r="E16" s="6">
        <f t="shared" si="1"/>
        <v>3.4668500799609703E-2</v>
      </c>
      <c r="L16" s="8">
        <f t="shared" si="2"/>
        <v>1.077660594439118</v>
      </c>
      <c r="M16" s="8">
        <f t="shared" si="3"/>
        <v>2.6007157982320658E-2</v>
      </c>
      <c r="P16" s="15">
        <f t="shared" si="4"/>
        <v>7.4230755451527408E-2</v>
      </c>
    </row>
    <row r="17" spans="1:19" x14ac:dyDescent="0.25">
      <c r="A17" s="23">
        <f t="shared" si="5"/>
        <v>0.90842191332788225</v>
      </c>
      <c r="B17" s="9">
        <f t="shared" si="0"/>
        <v>1.4768228280538032E-2</v>
      </c>
      <c r="E17" s="8">
        <f t="shared" si="1"/>
        <v>1.6959189786517503E-2</v>
      </c>
      <c r="L17" s="8">
        <f t="shared" si="2"/>
        <v>1.091328413284133</v>
      </c>
      <c r="M17" s="8">
        <f t="shared" si="3"/>
        <v>2.1234977849223013E-2</v>
      </c>
      <c r="P17" s="15">
        <f t="shared" si="4"/>
        <v>6.8082171164061595E-2</v>
      </c>
    </row>
    <row r="18" spans="1:19" x14ac:dyDescent="0.25">
      <c r="A18" s="23">
        <f t="shared" si="5"/>
        <v>0.95322580645161303</v>
      </c>
      <c r="B18" s="9">
        <f t="shared" si="0"/>
        <v>2.9895698410022271E-3</v>
      </c>
      <c r="E18" s="8">
        <f t="shared" si="1"/>
        <v>5.2760493422847887E-3</v>
      </c>
      <c r="H18" s="2" t="s">
        <v>14</v>
      </c>
      <c r="I18" s="2" t="s">
        <v>9</v>
      </c>
      <c r="L18" s="8">
        <f t="shared" si="2"/>
        <v>1.0937799043062202</v>
      </c>
      <c r="M18" s="8">
        <f t="shared" si="3"/>
        <v>2.2313132413960185E-2</v>
      </c>
      <c r="P18" s="15">
        <f t="shared" si="4"/>
        <v>7.0010590781415472E-2</v>
      </c>
      <c r="R18" s="2" t="s">
        <v>14</v>
      </c>
      <c r="S18" s="2" t="s">
        <v>9</v>
      </c>
    </row>
    <row r="19" spans="1:19" x14ac:dyDescent="0.25">
      <c r="A19" s="6">
        <f t="shared" si="5"/>
        <v>0.79518072289156616</v>
      </c>
      <c r="B19" s="7">
        <f t="shared" si="0"/>
        <v>4.5274084244077847E-2</v>
      </c>
      <c r="E19" s="6">
        <f t="shared" si="1"/>
        <v>4.6342512908778027E-2</v>
      </c>
      <c r="H19" s="6">
        <f>($B$5*0.01)/H4</f>
        <v>0.97087378640776711</v>
      </c>
      <c r="I19" s="6">
        <f>($B$5*0.01/I4)</f>
        <v>1.2376237623762378</v>
      </c>
      <c r="L19" s="8">
        <f t="shared" si="2"/>
        <v>1.087248322147651</v>
      </c>
      <c r="M19" s="8">
        <f t="shared" si="3"/>
        <v>2.3841576794918412E-2</v>
      </c>
      <c r="P19" s="15">
        <f t="shared" si="4"/>
        <v>7.1785862244475251E-2</v>
      </c>
      <c r="R19" s="8">
        <f>($M$5*0.01)/R4</f>
        <v>0.75075075075075071</v>
      </c>
      <c r="S19" s="8">
        <f>($M$5*0.01)/S4</f>
        <v>0.66711140760507004</v>
      </c>
    </row>
    <row r="20" spans="1:19" x14ac:dyDescent="0.25">
      <c r="A20" s="6">
        <f t="shared" si="5"/>
        <v>0.80416272469252592</v>
      </c>
      <c r="B20" s="7">
        <f t="shared" si="0"/>
        <v>5.1395155440516149E-2</v>
      </c>
      <c r="E20" s="6">
        <f t="shared" si="1"/>
        <v>4.8139462407479572E-2</v>
      </c>
      <c r="H20" s="8">
        <f t="shared" ref="H20:H30" si="6">($B$5*0.01)/H5</f>
        <v>0.71326676176890169</v>
      </c>
      <c r="I20" s="8">
        <f t="shared" ref="I20:I30" si="7">($B$5*0.01/I5)</f>
        <v>0.76335877862595425</v>
      </c>
      <c r="L20" s="8">
        <f t="shared" si="2"/>
        <v>1.0699233716475094</v>
      </c>
      <c r="M20" s="8">
        <f t="shared" si="3"/>
        <v>2.7744152393510552E-2</v>
      </c>
      <c r="P20" s="15">
        <f t="shared" si="4"/>
        <v>7.616269118499544E-2</v>
      </c>
      <c r="R20" s="8">
        <f t="shared" ref="R20:S30" si="8">($M$5*0.01)/R5</f>
        <v>0.88967971530249113</v>
      </c>
      <c r="S20" s="8">
        <f t="shared" si="8"/>
        <v>0.83682008368200844</v>
      </c>
    </row>
    <row r="21" spans="1:19" x14ac:dyDescent="0.25">
      <c r="A21" s="6">
        <f t="shared" si="5"/>
        <v>0.84422560429722482</v>
      </c>
      <c r="B21" s="7">
        <f t="shared" si="0"/>
        <v>3.3895007234263225E-2</v>
      </c>
      <c r="E21" s="6">
        <f t="shared" si="1"/>
        <v>3.4395788218518158E-2</v>
      </c>
      <c r="H21" s="8">
        <f t="shared" si="6"/>
        <v>0.75357950263752826</v>
      </c>
      <c r="I21" s="8">
        <f t="shared" si="7"/>
        <v>0.80192461908580592</v>
      </c>
      <c r="L21" s="8">
        <f t="shared" si="2"/>
        <v>1.0878815911193338</v>
      </c>
      <c r="M21" s="8">
        <f t="shared" si="3"/>
        <v>2.206356583709744E-2</v>
      </c>
      <c r="P21" s="15">
        <f t="shared" si="4"/>
        <v>6.9108055340545121E-2</v>
      </c>
      <c r="R21" s="8">
        <f t="shared" si="8"/>
        <v>0.98716683119447191</v>
      </c>
      <c r="S21" s="8">
        <f t="shared" si="8"/>
        <v>0.94428706326723333</v>
      </c>
    </row>
    <row r="22" spans="1:19" x14ac:dyDescent="0.25">
      <c r="A22" s="23">
        <f t="shared" si="5"/>
        <v>0.91280439905734501</v>
      </c>
      <c r="B22" s="9">
        <f t="shared" si="0"/>
        <v>1.2874482807842577E-2</v>
      </c>
      <c r="E22" s="8">
        <f t="shared" si="1"/>
        <v>1.5416237951469181E-2</v>
      </c>
      <c r="H22" s="6">
        <f t="shared" si="6"/>
        <v>1.0245901639344261</v>
      </c>
      <c r="I22" s="6">
        <f t="shared" si="7"/>
        <v>1.2121212121212122</v>
      </c>
      <c r="L22" s="8">
        <f t="shared" si="2"/>
        <v>1.0816125860373649</v>
      </c>
      <c r="M22" s="8">
        <f t="shared" si="3"/>
        <v>2.6407720973714147E-2</v>
      </c>
      <c r="P22" s="15">
        <f t="shared" si="4"/>
        <v>7.5089577187807316E-2</v>
      </c>
      <c r="R22" s="8">
        <f t="shared" si="8"/>
        <v>0.95419847328244278</v>
      </c>
      <c r="S22" s="8">
        <f t="shared" si="8"/>
        <v>0.90009000900090008</v>
      </c>
    </row>
    <row r="23" spans="1:19" x14ac:dyDescent="0.25">
      <c r="A23" s="1"/>
      <c r="H23" s="6">
        <f t="shared" si="6"/>
        <v>1.0460251046025104</v>
      </c>
      <c r="I23" s="6">
        <f t="shared" si="7"/>
        <v>1.2738853503184715</v>
      </c>
      <c r="R23" s="8">
        <f t="shared" si="8"/>
        <v>1.0764262648008613</v>
      </c>
      <c r="S23" s="8">
        <f t="shared" si="8"/>
        <v>1.0351966873706004</v>
      </c>
    </row>
    <row r="24" spans="1:19" x14ac:dyDescent="0.25">
      <c r="H24" s="6">
        <f t="shared" si="6"/>
        <v>0.9041591320072333</v>
      </c>
      <c r="I24" s="6">
        <f t="shared" si="7"/>
        <v>1.0706638115631693</v>
      </c>
      <c r="L24" s="2" t="s">
        <v>29</v>
      </c>
      <c r="M24" s="2" t="s">
        <v>30</v>
      </c>
      <c r="R24" s="8">
        <f t="shared" si="8"/>
        <v>0.95877277085330781</v>
      </c>
      <c r="S24" s="8">
        <f t="shared" si="8"/>
        <v>0.88967971530249113</v>
      </c>
    </row>
    <row r="25" spans="1:19" x14ac:dyDescent="0.25">
      <c r="H25" s="8">
        <f t="shared" si="6"/>
        <v>0.81766148814390838</v>
      </c>
      <c r="I25" s="8">
        <f t="shared" si="7"/>
        <v>0.90009000900090008</v>
      </c>
      <c r="L25" s="8">
        <f>AVERAGE(L11:L22)</f>
        <v>1.0769441139993794</v>
      </c>
      <c r="M25" s="21">
        <f>1</f>
        <v>1</v>
      </c>
      <c r="R25" s="8">
        <f t="shared" si="8"/>
        <v>0.92250922509225097</v>
      </c>
      <c r="S25" s="8">
        <f t="shared" si="8"/>
        <v>0.84530853761622993</v>
      </c>
    </row>
    <row r="26" spans="1:19" x14ac:dyDescent="0.25">
      <c r="H26" s="8">
        <f t="shared" si="6"/>
        <v>0.53763440860215062</v>
      </c>
      <c r="I26" s="8">
        <f t="shared" si="7"/>
        <v>0.56401579244218836</v>
      </c>
      <c r="R26" s="8">
        <f t="shared" si="8"/>
        <v>0.95693779904306231</v>
      </c>
      <c r="S26" s="8">
        <f t="shared" si="8"/>
        <v>0.87489063867016625</v>
      </c>
    </row>
    <row r="27" spans="1:19" x14ac:dyDescent="0.25">
      <c r="H27" s="6">
        <f t="shared" si="6"/>
        <v>0.86058519793459554</v>
      </c>
      <c r="I27" s="6">
        <f t="shared" si="7"/>
        <v>1.0822510822510825</v>
      </c>
      <c r="L27" s="2" t="s">
        <v>31</v>
      </c>
      <c r="R27" s="8">
        <f t="shared" si="8"/>
        <v>0.95877277085330781</v>
      </c>
      <c r="S27" s="8">
        <f t="shared" si="8"/>
        <v>0.88183421516754856</v>
      </c>
    </row>
    <row r="28" spans="1:19" x14ac:dyDescent="0.25">
      <c r="H28" s="6">
        <f t="shared" si="6"/>
        <v>0.94607379375591294</v>
      </c>
      <c r="I28" s="6">
        <f t="shared" si="7"/>
        <v>1.1764705882352942</v>
      </c>
      <c r="L28" s="21">
        <f>ABS(M25-L25)*100</f>
        <v>7.6944113999379393</v>
      </c>
      <c r="R28" s="8">
        <f t="shared" si="8"/>
        <v>0.95785440613026818</v>
      </c>
      <c r="S28" s="8">
        <f t="shared" si="8"/>
        <v>0.89525514771709946</v>
      </c>
    </row>
    <row r="29" spans="1:19" x14ac:dyDescent="0.25">
      <c r="H29" s="6">
        <f t="shared" si="6"/>
        <v>0.89525514771709946</v>
      </c>
      <c r="I29" s="6">
        <f t="shared" si="7"/>
        <v>1.0604453870625663</v>
      </c>
      <c r="R29" s="8">
        <f t="shared" si="8"/>
        <v>0.92506938020351526</v>
      </c>
      <c r="S29" s="8">
        <f t="shared" si="8"/>
        <v>0.85034013605442182</v>
      </c>
    </row>
    <row r="30" spans="1:19" x14ac:dyDescent="0.25">
      <c r="H30" s="8">
        <f t="shared" si="6"/>
        <v>0.78554595443833475</v>
      </c>
      <c r="I30" s="8">
        <f t="shared" si="7"/>
        <v>0.86058519793459554</v>
      </c>
      <c r="R30" s="8">
        <f t="shared" si="8"/>
        <v>0.98328416912487715</v>
      </c>
      <c r="S30" s="8">
        <f t="shared" si="8"/>
        <v>0.90909090909090917</v>
      </c>
    </row>
    <row r="33" spans="1:20" x14ac:dyDescent="0.25">
      <c r="G33" s="3" t="s">
        <v>24</v>
      </c>
      <c r="H33" s="2" t="s">
        <v>23</v>
      </c>
      <c r="I33" s="2" t="s">
        <v>16</v>
      </c>
      <c r="J33" s="2" t="s">
        <v>17</v>
      </c>
      <c r="Q33" s="2" t="s">
        <v>27</v>
      </c>
      <c r="R33" s="2" t="s">
        <v>23</v>
      </c>
      <c r="S33" s="2" t="s">
        <v>16</v>
      </c>
      <c r="T33" s="2" t="s">
        <v>17</v>
      </c>
    </row>
    <row r="34" spans="1:20" x14ac:dyDescent="0.25">
      <c r="G34" s="17">
        <f>I19*($B$3*0.001)</f>
        <v>0.26138613861386145</v>
      </c>
      <c r="H34" s="17">
        <f>H19*$B$4*0.001</f>
        <v>0.20558252427184467</v>
      </c>
      <c r="I34" s="6">
        <f>0.5*I19*I19*$B$3*0.001</f>
        <v>0.16174884815214199</v>
      </c>
      <c r="J34" s="6">
        <f>(0.5*(H19*H19)*$B$4*0.001)+(0.5*($B$8*$B$8)*($B$3*0.001))</f>
        <v>9.9797341879536261E-2</v>
      </c>
      <c r="Q34" s="8">
        <f>S19*($M$3*0.001)</f>
        <v>0.20789192795196798</v>
      </c>
      <c r="R34" s="8">
        <f>R19*($M$4*0.001)</f>
        <v>0.15897147147147145</v>
      </c>
      <c r="S34" s="8">
        <f>0.5*S19*S19*$M$3*0.001</f>
        <v>6.9343538342884592E-2</v>
      </c>
      <c r="T34" s="8">
        <f>(0.5*(R19*R19)*$M$4*0.001)</f>
        <v>5.9673975777579373E-2</v>
      </c>
    </row>
    <row r="35" spans="1:20" x14ac:dyDescent="0.25">
      <c r="G35" s="18">
        <f t="shared" ref="G35:G45" si="9">I20*($B$3*0.001)</f>
        <v>0.16122137404580153</v>
      </c>
      <c r="H35" s="18">
        <f t="shared" ref="H35:H45" si="10">H20*$B$4*0.001</f>
        <v>0.15103423680456493</v>
      </c>
      <c r="I35" s="8">
        <f t="shared" ref="I35:I45" si="11">0.5*I20*I20*$B$3*0.001</f>
        <v>6.1534875590000593E-2</v>
      </c>
      <c r="J35" s="15">
        <f t="shared" ref="J35:J45" si="12">(0.5*(H20*H20)*$B$4*0.001)+(0.5*($B$8*$B$8)*($B$3*0.001))</f>
        <v>5.3863850500914745E-2</v>
      </c>
      <c r="Q35" s="8">
        <f t="shared" ref="Q35:Q45" si="13">S20*($M$3*0.001)</f>
        <v>0.26077824267782429</v>
      </c>
      <c r="R35" s="8">
        <f t="shared" ref="R35:R45" si="14">R20*($M$4*0.001)</f>
        <v>0.18838967971530249</v>
      </c>
      <c r="S35" s="8">
        <f t="shared" ref="S35:S45" si="15">0.5*S20*S20*$M$3*0.001</f>
        <v>0.10911223543005201</v>
      </c>
      <c r="T35" s="8">
        <f t="shared" ref="T35:T45" si="16">(0.5*(R20*R20)*$M$4*0.001)+(0.5*(T20*T20)*($M$3*0.001))</f>
        <v>8.3803238307518915E-2</v>
      </c>
    </row>
    <row r="36" spans="1:20" x14ac:dyDescent="0.25">
      <c r="G36" s="18">
        <f t="shared" si="9"/>
        <v>0.16936647955092221</v>
      </c>
      <c r="H36" s="18">
        <f t="shared" si="10"/>
        <v>0.15957045968349662</v>
      </c>
      <c r="I36" s="8">
        <f t="shared" si="11"/>
        <v>6.7909574799888614E-2</v>
      </c>
      <c r="J36" s="15">
        <f t="shared" si="12"/>
        <v>6.0124513821965569E-2</v>
      </c>
      <c r="Q36" s="8">
        <f t="shared" si="13"/>
        <v>0.29426817752596796</v>
      </c>
      <c r="R36" s="8">
        <f t="shared" si="14"/>
        <v>0.20903257650542942</v>
      </c>
      <c r="S36" s="8">
        <f t="shared" si="15"/>
        <v>0.13893681658449855</v>
      </c>
      <c r="T36" s="8">
        <f t="shared" si="16"/>
        <v>0.10317501308264039</v>
      </c>
    </row>
    <row r="37" spans="1:20" x14ac:dyDescent="0.25">
      <c r="G37" s="17">
        <f t="shared" si="9"/>
        <v>0.25600000000000001</v>
      </c>
      <c r="H37" s="17">
        <f t="shared" si="10"/>
        <v>0.21695696721311472</v>
      </c>
      <c r="I37" s="6">
        <f t="shared" si="11"/>
        <v>0.15515151515151515</v>
      </c>
      <c r="J37" s="6">
        <f t="shared" si="12"/>
        <v>0.11114598730180057</v>
      </c>
      <c r="Q37" s="8">
        <f t="shared" si="13"/>
        <v>0.28049504950495052</v>
      </c>
      <c r="R37" s="8">
        <f t="shared" si="14"/>
        <v>0.20205152671755724</v>
      </c>
      <c r="S37" s="8">
        <f t="shared" si="15"/>
        <v>0.1262353958168094</v>
      </c>
      <c r="T37" s="8">
        <f t="shared" si="16"/>
        <v>9.6398629159139923E-2</v>
      </c>
    </row>
    <row r="38" spans="1:20" x14ac:dyDescent="0.25">
      <c r="G38" s="17">
        <f t="shared" si="9"/>
        <v>0.26904458598726116</v>
      </c>
      <c r="H38" s="17">
        <f t="shared" si="10"/>
        <v>0.22149581589958159</v>
      </c>
      <c r="I38" s="6">
        <f t="shared" si="11"/>
        <v>0.17136597833583517</v>
      </c>
      <c r="J38" s="6">
        <f t="shared" si="12"/>
        <v>0.1158450919976891</v>
      </c>
      <c r="Q38" s="8">
        <f t="shared" si="13"/>
        <v>0.32259834368530022</v>
      </c>
      <c r="R38" s="8">
        <f t="shared" si="14"/>
        <v>0.22793326157158239</v>
      </c>
      <c r="S38" s="8">
        <f t="shared" si="15"/>
        <v>0.16697636836713264</v>
      </c>
      <c r="T38" s="8">
        <f t="shared" si="16"/>
        <v>0.12267667468868806</v>
      </c>
    </row>
    <row r="39" spans="1:20" x14ac:dyDescent="0.25">
      <c r="G39" s="17">
        <f t="shared" si="9"/>
        <v>0.22612419700214134</v>
      </c>
      <c r="H39" s="17">
        <f t="shared" si="10"/>
        <v>0.19145569620253164</v>
      </c>
      <c r="I39" s="6">
        <f t="shared" si="11"/>
        <v>0.12105149732448681</v>
      </c>
      <c r="J39" s="6">
        <f t="shared" si="12"/>
        <v>8.6553208048160787E-2</v>
      </c>
      <c r="Q39" s="8">
        <f t="shared" si="13"/>
        <v>0.27725088967971534</v>
      </c>
      <c r="R39" s="8">
        <f t="shared" si="14"/>
        <v>0.20302013422818793</v>
      </c>
      <c r="S39" s="8">
        <f t="shared" si="15"/>
        <v>0.12333224629880576</v>
      </c>
      <c r="T39" s="8">
        <f t="shared" si="16"/>
        <v>9.7325088316485106E-2</v>
      </c>
    </row>
    <row r="40" spans="1:20" x14ac:dyDescent="0.25">
      <c r="G40" s="18">
        <f t="shared" si="9"/>
        <v>0.1900990099009901</v>
      </c>
      <c r="H40" s="18">
        <f t="shared" si="10"/>
        <v>0.1731398201144726</v>
      </c>
      <c r="I40" s="8">
        <f t="shared" si="11"/>
        <v>8.5553109766422178E-2</v>
      </c>
      <c r="J40" s="15">
        <f t="shared" si="12"/>
        <v>7.0784881485884146E-2</v>
      </c>
      <c r="Q40" s="8">
        <f t="shared" si="13"/>
        <v>0.26342349957734573</v>
      </c>
      <c r="R40" s="8">
        <f t="shared" si="14"/>
        <v>0.19534132841328414</v>
      </c>
      <c r="S40" s="8">
        <f t="shared" si="15"/>
        <v>0.11133706660073785</v>
      </c>
      <c r="T40" s="8">
        <f t="shared" si="16"/>
        <v>9.0102088751514833E-2</v>
      </c>
    </row>
    <row r="41" spans="1:20" x14ac:dyDescent="0.25">
      <c r="G41" s="18">
        <f t="shared" si="9"/>
        <v>0.11912013536379018</v>
      </c>
      <c r="H41" s="18">
        <f t="shared" si="10"/>
        <v>0.11384408602150539</v>
      </c>
      <c r="I41" s="8">
        <f t="shared" si="11"/>
        <v>3.3592818771514432E-2</v>
      </c>
      <c r="J41" s="15">
        <f t="shared" si="12"/>
        <v>3.0603248930512205E-2</v>
      </c>
      <c r="Q41" s="8">
        <f t="shared" si="13"/>
        <v>0.27264216972878391</v>
      </c>
      <c r="R41" s="8">
        <f t="shared" si="14"/>
        <v>0.20263157894736844</v>
      </c>
      <c r="S41" s="8">
        <f t="shared" si="15"/>
        <v>0.11926604100121782</v>
      </c>
      <c r="T41" s="8">
        <f t="shared" si="16"/>
        <v>9.6952908587257636E-2</v>
      </c>
    </row>
    <row r="42" spans="1:20" x14ac:dyDescent="0.25">
      <c r="G42" s="17">
        <f t="shared" si="9"/>
        <v>0.22857142857142862</v>
      </c>
      <c r="H42" s="17">
        <f t="shared" si="10"/>
        <v>0.18222891566265059</v>
      </c>
      <c r="I42" s="6">
        <f t="shared" si="11"/>
        <v>0.1236858379715523</v>
      </c>
      <c r="J42" s="6">
        <f t="shared" si="12"/>
        <v>7.8411753727474456E-2</v>
      </c>
      <c r="Q42" s="8">
        <f t="shared" si="13"/>
        <v>0.27480599647266318</v>
      </c>
      <c r="R42" s="8">
        <f t="shared" si="14"/>
        <v>0.20302013422818793</v>
      </c>
      <c r="S42" s="8">
        <f t="shared" si="15"/>
        <v>0.12116666511140352</v>
      </c>
      <c r="T42" s="8">
        <f t="shared" si="16"/>
        <v>9.7325088316485106E-2</v>
      </c>
    </row>
    <row r="43" spans="1:20" x14ac:dyDescent="0.25">
      <c r="G43" s="17">
        <f t="shared" si="9"/>
        <v>0.24847058823529414</v>
      </c>
      <c r="H43" s="17">
        <f t="shared" si="10"/>
        <v>0.20033112582781457</v>
      </c>
      <c r="I43" s="6">
        <f t="shared" si="11"/>
        <v>0.146159169550173</v>
      </c>
      <c r="J43" s="6">
        <f t="shared" si="12"/>
        <v>9.4764014109656847E-2</v>
      </c>
      <c r="Q43" s="8">
        <f t="shared" si="13"/>
        <v>0.27898836168307972</v>
      </c>
      <c r="R43" s="8">
        <f t="shared" si="14"/>
        <v>0.20282567049808428</v>
      </c>
      <c r="S43" s="8">
        <f t="shared" si="15"/>
        <v>0.12488288347496855</v>
      </c>
      <c r="T43" s="8">
        <f t="shared" si="16"/>
        <v>9.7138731081457999E-2</v>
      </c>
    </row>
    <row r="44" spans="1:20" x14ac:dyDescent="0.25">
      <c r="G44" s="17">
        <f t="shared" si="9"/>
        <v>0.22396606574761399</v>
      </c>
      <c r="H44" s="17">
        <f t="shared" si="10"/>
        <v>0.18957027752909583</v>
      </c>
      <c r="I44" s="6">
        <f t="shared" si="11"/>
        <v>0.11875189064030434</v>
      </c>
      <c r="J44" s="6">
        <f t="shared" si="12"/>
        <v>8.4856883406041111E-2</v>
      </c>
      <c r="Q44" s="8">
        <f t="shared" si="13"/>
        <v>0.26499149659863946</v>
      </c>
      <c r="R44" s="8">
        <f t="shared" si="14"/>
        <v>0.19588344125809434</v>
      </c>
      <c r="S44" s="8">
        <f t="shared" si="15"/>
        <v>0.11266645263547596</v>
      </c>
      <c r="T44" s="8">
        <f t="shared" si="16"/>
        <v>9.0602886798378524E-2</v>
      </c>
    </row>
    <row r="45" spans="1:20" x14ac:dyDescent="0.25">
      <c r="G45" s="18">
        <f t="shared" si="9"/>
        <v>0.18175559380378659</v>
      </c>
      <c r="H45" s="18">
        <f t="shared" si="10"/>
        <v>0.16633935585231741</v>
      </c>
      <c r="I45" s="8">
        <f t="shared" si="11"/>
        <v>7.8208086834675811E-2</v>
      </c>
      <c r="J45" s="15">
        <f t="shared" si="12"/>
        <v>6.5333604026833234E-2</v>
      </c>
      <c r="Q45" s="8">
        <f t="shared" si="13"/>
        <v>0.28330000000000005</v>
      </c>
      <c r="R45" s="8">
        <f t="shared" si="14"/>
        <v>0.20821042281219274</v>
      </c>
      <c r="S45" s="8">
        <f t="shared" si="15"/>
        <v>0.12877272727272729</v>
      </c>
      <c r="T45" s="8">
        <f t="shared" si="16"/>
        <v>0.10236500629901314</v>
      </c>
    </row>
    <row r="47" spans="1:20" ht="43.5" customHeight="1" x14ac:dyDescent="0.25">
      <c r="A47" s="19" t="s">
        <v>22</v>
      </c>
      <c r="B47" s="19"/>
      <c r="C47" s="19"/>
      <c r="D47" s="19"/>
      <c r="E47" s="19"/>
      <c r="F47" s="19"/>
      <c r="G47" s="19"/>
      <c r="H47" s="19"/>
      <c r="I47" s="19"/>
      <c r="J47" s="19"/>
    </row>
    <row r="48" spans="1:20" x14ac:dyDescent="0.25">
      <c r="B48" s="4" t="s">
        <v>8</v>
      </c>
      <c r="D48" s="5" t="s">
        <v>6</v>
      </c>
      <c r="E48" s="4" t="s">
        <v>7</v>
      </c>
    </row>
    <row r="49" spans="1:10" x14ac:dyDescent="0.25">
      <c r="A49" s="3" t="s">
        <v>4</v>
      </c>
      <c r="B49" s="10">
        <v>211.2</v>
      </c>
      <c r="C49" s="11" t="s">
        <v>2</v>
      </c>
      <c r="D49" s="10">
        <v>0.01</v>
      </c>
      <c r="E49" s="10" t="s">
        <v>0</v>
      </c>
      <c r="H49" s="2" t="s">
        <v>12</v>
      </c>
      <c r="I49" s="2" t="s">
        <v>13</v>
      </c>
    </row>
    <row r="50" spans="1:10" x14ac:dyDescent="0.25">
      <c r="A50" s="3" t="s">
        <v>5</v>
      </c>
      <c r="B50" s="10">
        <v>211.75</v>
      </c>
      <c r="C50" s="10" t="s">
        <v>2</v>
      </c>
      <c r="D50" s="10">
        <v>0.01</v>
      </c>
      <c r="E50" s="10" t="s">
        <v>0</v>
      </c>
      <c r="H50" s="8">
        <v>0.14019999999999999</v>
      </c>
      <c r="I50" s="8">
        <v>0.13100000000000001</v>
      </c>
    </row>
    <row r="51" spans="1:10" x14ac:dyDescent="0.25">
      <c r="A51" s="3" t="s">
        <v>3</v>
      </c>
      <c r="B51" s="8">
        <v>10</v>
      </c>
      <c r="C51" s="10" t="s">
        <v>2</v>
      </c>
      <c r="D51" s="10">
        <v>0.05</v>
      </c>
      <c r="E51" s="10" t="s">
        <v>1</v>
      </c>
      <c r="H51" s="8">
        <v>0.13270000000000001</v>
      </c>
      <c r="I51" s="8">
        <v>0.12470000000000001</v>
      </c>
    </row>
    <row r="52" spans="1:10" x14ac:dyDescent="0.25">
      <c r="H52" s="8">
        <v>0.12230000000000001</v>
      </c>
      <c r="I52" s="8">
        <v>0.1111</v>
      </c>
    </row>
    <row r="53" spans="1:10" x14ac:dyDescent="0.25">
      <c r="A53" s="2" t="s">
        <v>10</v>
      </c>
      <c r="B53" s="2" t="s">
        <v>11</v>
      </c>
      <c r="E53" s="2" t="s">
        <v>28</v>
      </c>
      <c r="H53" s="8">
        <v>0.186</v>
      </c>
      <c r="I53" s="8">
        <v>0.17730000000000001</v>
      </c>
    </row>
    <row r="54" spans="1:10" x14ac:dyDescent="0.25">
      <c r="A54" s="10">
        <v>0</v>
      </c>
      <c r="B54" s="16">
        <v>0</v>
      </c>
      <c r="E54" s="10">
        <v>0.01</v>
      </c>
      <c r="H54" s="8">
        <v>0.1273</v>
      </c>
      <c r="I54" s="8">
        <v>0.1162</v>
      </c>
    </row>
    <row r="56" spans="1:10" x14ac:dyDescent="0.25">
      <c r="A56" s="2" t="s">
        <v>18</v>
      </c>
      <c r="B56" s="2" t="s">
        <v>19</v>
      </c>
      <c r="E56" s="3" t="s">
        <v>25</v>
      </c>
    </row>
    <row r="57" spans="1:10" x14ac:dyDescent="0.25">
      <c r="A57" s="8">
        <f>ABS($B$54-H58)/I58</f>
        <v>0.93437945791726118</v>
      </c>
      <c r="B57" s="9">
        <f>(I65-J65)</f>
        <v>7.6710250890858478E-3</v>
      </c>
      <c r="E57" s="20">
        <f>G65-H65</f>
        <v>1.0187137241236599E-2</v>
      </c>
      <c r="H57" s="2" t="s">
        <v>14</v>
      </c>
      <c r="I57" s="2" t="s">
        <v>9</v>
      </c>
    </row>
    <row r="58" spans="1:10" x14ac:dyDescent="0.25">
      <c r="A58" s="8">
        <f t="shared" ref="A58:A61" si="17">ABS($B$54-H59)/I59</f>
        <v>0.9397136397889978</v>
      </c>
      <c r="B58" s="9">
        <f t="shared" ref="B58:B61" si="18">(I66-J66)</f>
        <v>7.7850609779230445E-3</v>
      </c>
      <c r="E58" s="20">
        <f t="shared" ref="E58:E61" si="19">G66-H66</f>
        <v>9.7960198674255927E-3</v>
      </c>
      <c r="H58" s="9">
        <f>($B$51*0.01)/H50</f>
        <v>0.71326676176890169</v>
      </c>
      <c r="I58" s="9">
        <f>($B$51*0.01/I50)</f>
        <v>0.76335877862595425</v>
      </c>
    </row>
    <row r="59" spans="1:10" x14ac:dyDescent="0.25">
      <c r="A59" s="8">
        <f t="shared" si="17"/>
        <v>0.90842191332788225</v>
      </c>
      <c r="B59" s="9">
        <f t="shared" si="18"/>
        <v>1.4768228280538032E-2</v>
      </c>
      <c r="E59" s="20">
        <f t="shared" si="19"/>
        <v>1.6959189786517503E-2</v>
      </c>
      <c r="H59" s="9">
        <f t="shared" ref="H59:H62" si="20">($B$51*0.01)/H51</f>
        <v>0.75357950263752826</v>
      </c>
      <c r="I59" s="9">
        <f t="shared" ref="I59:I62" si="21">($B$51*0.01/I51)</f>
        <v>0.80192461908580592</v>
      </c>
    </row>
    <row r="60" spans="1:10" x14ac:dyDescent="0.25">
      <c r="A60" s="8">
        <f t="shared" si="17"/>
        <v>0.95322580645161303</v>
      </c>
      <c r="B60" s="9">
        <f t="shared" si="18"/>
        <v>2.9895698410022271E-3</v>
      </c>
      <c r="E60" s="20">
        <f t="shared" si="19"/>
        <v>5.2760493422847887E-3</v>
      </c>
      <c r="H60" s="9">
        <f t="shared" si="20"/>
        <v>0.81766148814390838</v>
      </c>
      <c r="I60" s="9">
        <f t="shared" si="21"/>
        <v>0.90009000900090008</v>
      </c>
    </row>
    <row r="61" spans="1:10" x14ac:dyDescent="0.25">
      <c r="A61" s="8">
        <f t="shared" si="17"/>
        <v>0.91280439905734501</v>
      </c>
      <c r="B61" s="9">
        <f t="shared" si="18"/>
        <v>1.2874482807842577E-2</v>
      </c>
      <c r="E61" s="20">
        <f t="shared" si="19"/>
        <v>1.5416237951469208E-2</v>
      </c>
      <c r="H61" s="9">
        <f t="shared" si="20"/>
        <v>0.53763440860215062</v>
      </c>
      <c r="I61" s="9">
        <f t="shared" si="21"/>
        <v>0.56401579244218836</v>
      </c>
    </row>
    <row r="62" spans="1:10" x14ac:dyDescent="0.25">
      <c r="H62" s="9">
        <f t="shared" si="20"/>
        <v>0.78554595443833475</v>
      </c>
      <c r="I62" s="9">
        <f t="shared" si="21"/>
        <v>0.86058519793459554</v>
      </c>
    </row>
    <row r="63" spans="1:10" x14ac:dyDescent="0.25">
      <c r="A63" s="2" t="s">
        <v>29</v>
      </c>
      <c r="B63" s="2" t="s">
        <v>30</v>
      </c>
    </row>
    <row r="64" spans="1:10" x14ac:dyDescent="0.25">
      <c r="A64" s="8">
        <f>AVERAGE(A58:A62)</f>
        <v>0.92854143965645952</v>
      </c>
      <c r="B64" s="21">
        <f>1</f>
        <v>1</v>
      </c>
      <c r="G64" s="2" t="s">
        <v>24</v>
      </c>
      <c r="H64" s="2" t="s">
        <v>26</v>
      </c>
      <c r="I64" s="2" t="s">
        <v>16</v>
      </c>
      <c r="J64" s="2" t="s">
        <v>17</v>
      </c>
    </row>
    <row r="65" spans="1:10" x14ac:dyDescent="0.25">
      <c r="G65" s="8">
        <f>I58*($B$49*0.001)</f>
        <v>0.16122137404580153</v>
      </c>
      <c r="H65" s="8">
        <f>H58*($B$50*0.001)</f>
        <v>0.15103423680456493</v>
      </c>
      <c r="I65" s="8">
        <f>0.5*I58*I58*$B$49*0.001</f>
        <v>6.1534875590000593E-2</v>
      </c>
      <c r="J65" s="8">
        <f>(0.5*(H58*H58)*$B$50*0.001)+(0.5*($B$54*$B$54)*($B$49*0.001))</f>
        <v>5.3863850500914745E-2</v>
      </c>
    </row>
    <row r="66" spans="1:10" x14ac:dyDescent="0.25">
      <c r="A66" s="2" t="s">
        <v>31</v>
      </c>
      <c r="G66" s="8">
        <f t="shared" ref="G66:G69" si="22">I59*($B$49*0.001)</f>
        <v>0.16936647955092221</v>
      </c>
      <c r="H66" s="8">
        <f t="shared" ref="H66:H69" si="23">H59*($B$50*0.001)</f>
        <v>0.15957045968349662</v>
      </c>
      <c r="I66" s="8">
        <f t="shared" ref="I66:I69" si="24">0.5*I59*I59*$B$49*0.001</f>
        <v>6.7909574799888614E-2</v>
      </c>
      <c r="J66" s="8">
        <f t="shared" ref="J66:J69" si="25">(0.5*(H59*H59)*$B$50*0.001)+(0.5*($B$54*$B$54)*($B$49*0.001))</f>
        <v>6.0124513821965569E-2</v>
      </c>
    </row>
    <row r="67" spans="1:10" x14ac:dyDescent="0.25">
      <c r="A67" s="21">
        <f>(B64-A64)*100</f>
        <v>7.1458560343540478</v>
      </c>
      <c r="G67" s="8">
        <f t="shared" si="22"/>
        <v>0.1900990099009901</v>
      </c>
      <c r="H67" s="8">
        <f t="shared" si="23"/>
        <v>0.1731398201144726</v>
      </c>
      <c r="I67" s="8">
        <f t="shared" si="24"/>
        <v>8.5553109766422178E-2</v>
      </c>
      <c r="J67" s="8">
        <f t="shared" si="25"/>
        <v>7.0784881485884146E-2</v>
      </c>
    </row>
    <row r="68" spans="1:10" x14ac:dyDescent="0.25">
      <c r="G68" s="8">
        <f t="shared" si="22"/>
        <v>0.11912013536379018</v>
      </c>
      <c r="H68" s="8">
        <f t="shared" si="23"/>
        <v>0.11384408602150539</v>
      </c>
      <c r="I68" s="8">
        <f t="shared" si="24"/>
        <v>3.3592818771514432E-2</v>
      </c>
      <c r="J68" s="8">
        <f t="shared" si="25"/>
        <v>3.0603248930512205E-2</v>
      </c>
    </row>
    <row r="69" spans="1:10" x14ac:dyDescent="0.25">
      <c r="G69" s="8">
        <f t="shared" si="22"/>
        <v>0.18175559380378659</v>
      </c>
      <c r="H69" s="8">
        <f t="shared" si="23"/>
        <v>0.16633935585231738</v>
      </c>
      <c r="I69" s="8">
        <f t="shared" si="24"/>
        <v>7.8208086834675811E-2</v>
      </c>
      <c r="J69" s="8">
        <f t="shared" si="25"/>
        <v>6.5333604026833234E-2</v>
      </c>
    </row>
  </sheetData>
  <mergeCells count="3">
    <mergeCell ref="A1:J1"/>
    <mergeCell ref="A47:J47"/>
    <mergeCell ref="L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1FA0-80BA-4FFC-820B-7FF471243C48}">
  <dimension ref="A1:S45"/>
  <sheetViews>
    <sheetView topLeftCell="A22" workbookViewId="0">
      <selection activeCell="L36" sqref="L36"/>
    </sheetView>
  </sheetViews>
  <sheetFormatPr defaultRowHeight="15" x14ac:dyDescent="0.25"/>
  <cols>
    <col min="1" max="1" width="38.5703125" bestFit="1" customWidth="1"/>
    <col min="2" max="2" width="29.85546875" bestFit="1" customWidth="1"/>
    <col min="3" max="3" width="1.7109375" customWidth="1"/>
    <col min="4" max="4" width="9.140625" bestFit="1" customWidth="1"/>
    <col min="5" max="5" width="18.5703125" bestFit="1" customWidth="1"/>
    <col min="7" max="7" width="29.7109375" bestFit="1" customWidth="1"/>
    <col min="8" max="8" width="28.42578125" bestFit="1" customWidth="1"/>
    <col min="9" max="9" width="24.140625" bestFit="1" customWidth="1"/>
    <col min="10" max="10" width="2.28515625" style="14" customWidth="1"/>
    <col min="11" max="11" width="38.5703125" bestFit="1" customWidth="1"/>
    <col min="12" max="12" width="29.85546875" bestFit="1" customWidth="1"/>
    <col min="13" max="13" width="2" customWidth="1"/>
    <col min="14" max="14" width="9.140625" bestFit="1" customWidth="1"/>
    <col min="15" max="15" width="18.5703125" bestFit="1" customWidth="1"/>
    <col min="17" max="17" width="28.28515625" bestFit="1" customWidth="1"/>
    <col min="18" max="18" width="29.85546875" bestFit="1" customWidth="1"/>
    <col min="19" max="19" width="24.140625" bestFit="1" customWidth="1"/>
    <col min="21" max="21" width="23.5703125" customWidth="1"/>
    <col min="22" max="22" width="13.140625" bestFit="1" customWidth="1"/>
    <col min="23" max="23" width="2.140625" customWidth="1"/>
    <col min="24" max="24" width="9.140625" bestFit="1" customWidth="1"/>
    <col min="25" max="25" width="18.5703125" bestFit="1" customWidth="1"/>
    <col min="27" max="27" width="29.7109375" bestFit="1" customWidth="1"/>
    <col min="28" max="28" width="28.28515625" bestFit="1" customWidth="1"/>
    <col min="29" max="29" width="29.85546875" bestFit="1" customWidth="1"/>
    <col min="30" max="30" width="24.28515625" bestFit="1" customWidth="1"/>
  </cols>
  <sheetData>
    <row r="1" spans="1:19" ht="50.25" customHeight="1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K1" s="19" t="s">
        <v>20</v>
      </c>
      <c r="L1" s="19"/>
      <c r="M1" s="19"/>
      <c r="N1" s="19"/>
      <c r="O1" s="19"/>
      <c r="P1" s="19"/>
      <c r="Q1" s="19"/>
      <c r="R1" s="19"/>
      <c r="S1" s="19"/>
    </row>
    <row r="2" spans="1:19" x14ac:dyDescent="0.25">
      <c r="B2" s="2" t="s">
        <v>8</v>
      </c>
      <c r="D2" s="3" t="s">
        <v>6</v>
      </c>
      <c r="E2" s="3" t="s">
        <v>7</v>
      </c>
      <c r="L2" s="3" t="s">
        <v>8</v>
      </c>
      <c r="N2" s="3" t="s">
        <v>6</v>
      </c>
      <c r="O2" s="3" t="s">
        <v>7</v>
      </c>
    </row>
    <row r="3" spans="1:19" x14ac:dyDescent="0.25">
      <c r="A3" s="3" t="s">
        <v>4</v>
      </c>
      <c r="B3" s="10">
        <v>212.71</v>
      </c>
      <c r="C3" s="11" t="s">
        <v>2</v>
      </c>
      <c r="D3" s="10">
        <v>0.01</v>
      </c>
      <c r="E3" s="10" t="s">
        <v>0</v>
      </c>
      <c r="G3" s="2" t="s">
        <v>12</v>
      </c>
      <c r="H3" s="2" t="s">
        <v>13</v>
      </c>
      <c r="K3" s="3" t="s">
        <v>4</v>
      </c>
      <c r="L3" s="10">
        <v>313.14</v>
      </c>
      <c r="M3" s="11" t="s">
        <v>2</v>
      </c>
      <c r="N3" s="10">
        <v>0.01</v>
      </c>
      <c r="O3" s="10" t="s">
        <v>0</v>
      </c>
      <c r="Q3" s="3" t="s">
        <v>12</v>
      </c>
      <c r="R3" s="3" t="s">
        <v>13</v>
      </c>
    </row>
    <row r="4" spans="1:19" x14ac:dyDescent="0.25">
      <c r="A4" s="3" t="s">
        <v>5</v>
      </c>
      <c r="B4" s="10">
        <v>209.71</v>
      </c>
      <c r="C4" s="10" t="s">
        <v>2</v>
      </c>
      <c r="D4" s="10">
        <v>0.01</v>
      </c>
      <c r="E4" s="10" t="s">
        <v>0</v>
      </c>
      <c r="G4" s="8">
        <v>0.38490000000000002</v>
      </c>
      <c r="H4" s="8">
        <v>0.1898</v>
      </c>
      <c r="K4" s="3" t="s">
        <v>5</v>
      </c>
      <c r="L4" s="10">
        <v>209.71</v>
      </c>
      <c r="M4" s="10" t="s">
        <v>2</v>
      </c>
      <c r="N4" s="10">
        <v>0.01</v>
      </c>
      <c r="O4" s="10" t="s">
        <v>0</v>
      </c>
      <c r="Q4" s="8">
        <v>0.2576</v>
      </c>
      <c r="R4" s="8">
        <v>0.14219999999999999</v>
      </c>
    </row>
    <row r="5" spans="1:19" x14ac:dyDescent="0.25">
      <c r="A5" s="3" t="s">
        <v>3</v>
      </c>
      <c r="B5" s="8">
        <v>10</v>
      </c>
      <c r="C5" s="10" t="s">
        <v>2</v>
      </c>
      <c r="D5" s="10">
        <v>0.05</v>
      </c>
      <c r="E5" s="10" t="s">
        <v>1</v>
      </c>
      <c r="G5" s="8">
        <v>0.25969999999999999</v>
      </c>
      <c r="H5" s="8">
        <v>0.12570000000000001</v>
      </c>
      <c r="K5" s="3" t="s">
        <v>3</v>
      </c>
      <c r="L5" s="8">
        <v>10</v>
      </c>
      <c r="M5" s="10" t="s">
        <v>2</v>
      </c>
      <c r="N5" s="10">
        <v>0.05</v>
      </c>
      <c r="O5" s="10" t="s">
        <v>1</v>
      </c>
      <c r="Q5" s="8">
        <v>0.2369</v>
      </c>
      <c r="R5" s="8">
        <v>0.1235</v>
      </c>
    </row>
    <row r="6" spans="1:19" x14ac:dyDescent="0.25">
      <c r="G6" s="8">
        <v>0.33139999999999997</v>
      </c>
      <c r="H6" s="8">
        <v>0.15640000000000001</v>
      </c>
      <c r="Q6" s="8">
        <v>0.26069999999999999</v>
      </c>
      <c r="R6" s="8">
        <v>0.14460000000000001</v>
      </c>
    </row>
    <row r="7" spans="1:19" x14ac:dyDescent="0.25">
      <c r="A7" s="2" t="s">
        <v>10</v>
      </c>
      <c r="G7" s="8">
        <v>0.30370000000000003</v>
      </c>
      <c r="H7" s="8">
        <v>0.13789999999999999</v>
      </c>
      <c r="K7" s="2" t="s">
        <v>10</v>
      </c>
      <c r="Q7" s="8">
        <v>0.29020000000000001</v>
      </c>
      <c r="R7" s="8">
        <v>0.16259999999999999</v>
      </c>
    </row>
    <row r="8" spans="1:19" x14ac:dyDescent="0.25">
      <c r="A8" s="10">
        <v>0</v>
      </c>
      <c r="G8" s="8">
        <v>0.33700000000000002</v>
      </c>
      <c r="H8" s="8">
        <v>0.1492</v>
      </c>
      <c r="K8" s="10">
        <v>0</v>
      </c>
      <c r="Q8" s="8">
        <v>0.2737</v>
      </c>
      <c r="R8" s="8">
        <v>0.15570000000000001</v>
      </c>
    </row>
    <row r="9" spans="1:19" x14ac:dyDescent="0.25">
      <c r="G9" s="8">
        <v>0.34849999999999998</v>
      </c>
      <c r="H9" s="8">
        <v>0.15790000000000001</v>
      </c>
      <c r="Q9" s="8">
        <v>0.31669999999999998</v>
      </c>
      <c r="R9" s="8">
        <v>0.1827</v>
      </c>
    </row>
    <row r="10" spans="1:19" x14ac:dyDescent="0.25">
      <c r="A10" s="2" t="s">
        <v>18</v>
      </c>
      <c r="B10" s="2" t="s">
        <v>19</v>
      </c>
      <c r="G10" s="8">
        <v>0.29189999999999999</v>
      </c>
      <c r="H10" s="8">
        <v>0.12839999999999999</v>
      </c>
      <c r="K10" s="2" t="s">
        <v>18</v>
      </c>
      <c r="L10" s="2" t="s">
        <v>19</v>
      </c>
      <c r="Q10" s="8">
        <v>0.26640000000000003</v>
      </c>
      <c r="R10" s="8">
        <v>0.14419999999999999</v>
      </c>
    </row>
    <row r="11" spans="1:19" x14ac:dyDescent="0.25">
      <c r="A11" s="8">
        <f>(I19-G19)/H19</f>
        <v>2.0724562277208005E-2</v>
      </c>
      <c r="B11" s="8">
        <f>H34-I34</f>
        <v>1.4650538598365518E-2</v>
      </c>
      <c r="G11" s="8">
        <v>0.28410000000000002</v>
      </c>
      <c r="H11" s="8">
        <v>0.1323</v>
      </c>
      <c r="K11" s="8">
        <f>(S19-Q19)/R19</f>
        <v>7.8294237253037441E-2</v>
      </c>
      <c r="L11" s="8">
        <f>R34-S34</f>
        <v>3.0866044196556155E-2</v>
      </c>
      <c r="Q11" s="8">
        <v>0.26129999999999998</v>
      </c>
      <c r="R11" s="8">
        <v>0.1429</v>
      </c>
    </row>
    <row r="12" spans="1:19" x14ac:dyDescent="0.25">
      <c r="A12" s="8">
        <f t="shared" ref="A12:A22" si="0">(I20-G20)/H20</f>
        <v>3.8786431482230543E-2</v>
      </c>
      <c r="B12" s="8">
        <f t="shared" ref="B12:B22" si="1">H35-I35</f>
        <v>3.3366310393967612E-2</v>
      </c>
      <c r="G12" s="8">
        <v>0.31730000000000003</v>
      </c>
      <c r="H12" s="8">
        <v>0.14779999999999999</v>
      </c>
      <c r="K12" s="8">
        <f t="shared" ref="K12:K22" si="2">(S20-Q20)/R20</f>
        <v>0.12955674966777367</v>
      </c>
      <c r="L12" s="8">
        <f t="shared" ref="L12:L22" si="3">R35-S35</f>
        <v>4.0482300219404313E-2</v>
      </c>
      <c r="Q12" s="8">
        <v>0.33360000000000001</v>
      </c>
      <c r="R12" s="8">
        <v>0.18940000000000001</v>
      </c>
    </row>
    <row r="13" spans="1:19" x14ac:dyDescent="0.25">
      <c r="A13" s="8">
        <f t="shared" si="0"/>
        <v>6.2781593635166902E-2</v>
      </c>
      <c r="B13" s="8">
        <f t="shared" si="1"/>
        <v>2.1500270108949452E-2</v>
      </c>
      <c r="G13" s="8">
        <v>0.2727</v>
      </c>
      <c r="H13" s="8">
        <v>0.1196</v>
      </c>
      <c r="K13" s="8">
        <f t="shared" si="2"/>
        <v>7.3883062631573904E-2</v>
      </c>
      <c r="L13" s="8">
        <f t="shared" si="3"/>
        <v>2.9870109395927269E-2</v>
      </c>
      <c r="Q13" s="8">
        <v>0.2218</v>
      </c>
      <c r="R13" s="8">
        <v>0.1217</v>
      </c>
    </row>
    <row r="14" spans="1:19" x14ac:dyDescent="0.25">
      <c r="A14" s="8">
        <f t="shared" si="0"/>
        <v>9.827099607868596E-2</v>
      </c>
      <c r="B14" s="8">
        <f t="shared" si="1"/>
        <v>2.7497271455727598E-2</v>
      </c>
      <c r="G14" s="8">
        <v>0.28620000000000001</v>
      </c>
      <c r="H14" s="8">
        <v>0.13300000000000001</v>
      </c>
      <c r="K14" s="8">
        <f t="shared" si="2"/>
        <v>6.4461427517464462E-2</v>
      </c>
      <c r="L14" s="8">
        <f t="shared" si="3"/>
        <v>2.3653811084679212E-2</v>
      </c>
      <c r="Q14" s="8">
        <v>0.28999999999999998</v>
      </c>
      <c r="R14" s="8">
        <v>0.16789999999999999</v>
      </c>
    </row>
    <row r="15" spans="1:19" x14ac:dyDescent="0.25">
      <c r="A15" s="8">
        <f t="shared" si="0"/>
        <v>0.12078419413623294</v>
      </c>
      <c r="B15" s="8">
        <f t="shared" si="1"/>
        <v>2.3372890167173428E-2</v>
      </c>
      <c r="G15" s="8">
        <v>0.24779999999999999</v>
      </c>
      <c r="H15" s="8">
        <v>0.1055</v>
      </c>
      <c r="K15" s="8">
        <f t="shared" si="2"/>
        <v>5.0155788799853815E-2</v>
      </c>
      <c r="L15" s="8">
        <f t="shared" si="3"/>
        <v>2.5839223907448909E-2</v>
      </c>
      <c r="Q15" s="8">
        <v>0.2505</v>
      </c>
      <c r="R15" s="8">
        <v>0.13120000000000001</v>
      </c>
    </row>
    <row r="16" spans="1:19" x14ac:dyDescent="0.25">
      <c r="A16" s="8">
        <f t="shared" si="0"/>
        <v>0.10022087717247528</v>
      </c>
      <c r="B16" s="8">
        <f t="shared" si="1"/>
        <v>2.0964480920387094E-2</v>
      </c>
      <c r="K16" s="8">
        <f t="shared" si="2"/>
        <v>3.6772109727802683E-2</v>
      </c>
      <c r="L16" s="8">
        <f t="shared" si="3"/>
        <v>1.8788228767468579E-2</v>
      </c>
    </row>
    <row r="17" spans="1:19" x14ac:dyDescent="0.25">
      <c r="A17" s="8">
        <f t="shared" si="0"/>
        <v>0.1264505524870822</v>
      </c>
      <c r="B17" s="8">
        <f t="shared" si="1"/>
        <v>3.1513900409987895E-2</v>
      </c>
      <c r="K17" s="8">
        <f t="shared" si="2"/>
        <v>9.6205685470870411E-2</v>
      </c>
      <c r="L17" s="8">
        <f t="shared" si="3"/>
        <v>2.9921386491392948E-2</v>
      </c>
    </row>
    <row r="18" spans="1:19" x14ac:dyDescent="0.25">
      <c r="A18" s="8">
        <f t="shared" si="0"/>
        <v>7.5205634414480416E-2</v>
      </c>
      <c r="B18" s="8">
        <f t="shared" si="1"/>
        <v>2.9995050553226349E-2</v>
      </c>
      <c r="G18" s="2" t="s">
        <v>14</v>
      </c>
      <c r="H18" s="2" t="s">
        <v>9</v>
      </c>
      <c r="I18" s="2" t="s">
        <v>11</v>
      </c>
      <c r="K18" s="8">
        <f t="shared" si="2"/>
        <v>8.6872580172033975E-2</v>
      </c>
      <c r="L18" s="8">
        <f t="shared" si="3"/>
        <v>3.0520815847001392E-2</v>
      </c>
      <c r="Q18" s="2" t="s">
        <v>14</v>
      </c>
      <c r="R18" s="2" t="s">
        <v>9</v>
      </c>
      <c r="S18" s="2" t="s">
        <v>11</v>
      </c>
    </row>
    <row r="19" spans="1:19" x14ac:dyDescent="0.25">
      <c r="A19" s="8">
        <f t="shared" si="0"/>
        <v>7.4959118282145423E-2</v>
      </c>
      <c r="B19" s="8">
        <f t="shared" si="1"/>
        <v>2.403458271423986E-2</v>
      </c>
      <c r="G19" s="8">
        <f>($B$5*0.01)/G4</f>
        <v>0.25980774227071968</v>
      </c>
      <c r="H19" s="8">
        <f>($B$5*0.01/H4)</f>
        <v>0.52687038988408852</v>
      </c>
      <c r="I19" s="8">
        <f>(G34-(G19*($B$4*0.001)))/($B$3*0.001)</f>
        <v>0.27072690047788933</v>
      </c>
      <c r="K19" s="8">
        <f t="shared" si="2"/>
        <v>5.2034574677870232E-2</v>
      </c>
      <c r="L19" s="8">
        <f t="shared" si="3"/>
        <v>1.7458749789162554E-2</v>
      </c>
      <c r="Q19" s="8">
        <f>($L$5*0.01)/Q4</f>
        <v>0.38819875776397517</v>
      </c>
      <c r="R19" s="8">
        <f>($L$5*0.01)/R4</f>
        <v>0.70323488045007043</v>
      </c>
      <c r="S19" s="8">
        <f>(Q34-(Q19*($L$4*0.001)))/($L$3*0.001)</f>
        <v>0.4432579963385444</v>
      </c>
    </row>
    <row r="20" spans="1:19" x14ac:dyDescent="0.25">
      <c r="A20" s="8">
        <f t="shared" si="0"/>
        <v>0.12903118309260916</v>
      </c>
      <c r="B20" s="8">
        <f t="shared" si="1"/>
        <v>3.6297671342801263E-2</v>
      </c>
      <c r="F20" s="12"/>
      <c r="G20" s="8">
        <f t="shared" ref="G20:G30" si="4">($B$5*0.01)/G5</f>
        <v>0.38505968425105896</v>
      </c>
      <c r="H20" s="8">
        <f t="shared" ref="H20:H30" si="5">($B$5*0.01/H5)</f>
        <v>0.79554494828957834</v>
      </c>
      <c r="I20" s="8">
        <f t="shared" ref="I20:I30" si="6">(G35-(G20*($B$4*0.001)))/($B$3*0.001)</f>
        <v>0.41591603387892734</v>
      </c>
      <c r="K20" s="8">
        <f t="shared" si="2"/>
        <v>8.3847857585860774E-2</v>
      </c>
      <c r="L20" s="8">
        <f t="shared" si="3"/>
        <v>4.2102254100559719E-2</v>
      </c>
      <c r="Q20" s="8">
        <f t="shared" ref="Q20:R30" si="7">($L$5*0.01)/Q5</f>
        <v>0.42211903756859437</v>
      </c>
      <c r="R20" s="8">
        <f t="shared" si="7"/>
        <v>0.80971659919028349</v>
      </c>
      <c r="S20" s="8">
        <f t="shared" ref="S20:S30" si="8">(Q35-(Q20*($L$4*0.001)))/($L$3*0.001)</f>
        <v>0.52702328831173095</v>
      </c>
    </row>
    <row r="21" spans="1:19" x14ac:dyDescent="0.25">
      <c r="A21" s="8">
        <f t="shared" si="0"/>
        <v>7.7134148615117942E-2</v>
      </c>
      <c r="B21" s="8">
        <f t="shared" si="1"/>
        <v>2.9671374755819893E-2</v>
      </c>
      <c r="G21" s="8">
        <f t="shared" si="4"/>
        <v>0.30175015087507551</v>
      </c>
      <c r="H21" s="8">
        <f t="shared" si="5"/>
        <v>0.63938618925831203</v>
      </c>
      <c r="I21" s="8">
        <f t="shared" si="6"/>
        <v>0.34189183478502877</v>
      </c>
      <c r="K21" s="8">
        <f t="shared" si="2"/>
        <v>3.330101331782858E-2</v>
      </c>
      <c r="L21" s="8">
        <f t="shared" si="3"/>
        <v>2.22519105689842E-2</v>
      </c>
      <c r="Q21" s="8">
        <f t="shared" si="7"/>
        <v>0.38358266206367475</v>
      </c>
      <c r="R21" s="8">
        <f t="shared" si="7"/>
        <v>0.69156293222683263</v>
      </c>
      <c r="S21" s="8">
        <f t="shared" si="8"/>
        <v>0.43467744949906473</v>
      </c>
    </row>
    <row r="22" spans="1:19" x14ac:dyDescent="0.25">
      <c r="A22" s="8">
        <f t="shared" si="0"/>
        <v>0.15451146621698719</v>
      </c>
      <c r="B22" s="8">
        <f t="shared" si="1"/>
        <v>4.6305612533491775E-2</v>
      </c>
      <c r="G22" s="8">
        <f t="shared" si="4"/>
        <v>0.32927230819888048</v>
      </c>
      <c r="H22" s="8">
        <f t="shared" si="5"/>
        <v>0.72516316171138517</v>
      </c>
      <c r="I22" s="8">
        <f t="shared" si="6"/>
        <v>0.40053481441982752</v>
      </c>
      <c r="K22" s="8">
        <f t="shared" si="2"/>
        <v>0.12549022157511633</v>
      </c>
      <c r="L22" s="8">
        <f t="shared" si="3"/>
        <v>3.5907841993835149E-2</v>
      </c>
      <c r="Q22" s="8">
        <f t="shared" si="7"/>
        <v>0.34458993797381116</v>
      </c>
      <c r="R22" s="8">
        <f t="shared" si="7"/>
        <v>0.61500615006150072</v>
      </c>
      <c r="S22" s="8">
        <f t="shared" si="8"/>
        <v>0.38423411233879545</v>
      </c>
    </row>
    <row r="23" spans="1:19" x14ac:dyDescent="0.25">
      <c r="G23" s="8">
        <f t="shared" si="4"/>
        <v>0.29673590504451036</v>
      </c>
      <c r="H23" s="8">
        <f t="shared" si="5"/>
        <v>0.67024128686327078</v>
      </c>
      <c r="I23" s="8">
        <f t="shared" si="6"/>
        <v>0.37769045875512225</v>
      </c>
      <c r="Q23" s="8">
        <f t="shared" si="7"/>
        <v>0.36536353671903549</v>
      </c>
      <c r="R23" s="8">
        <f t="shared" si="7"/>
        <v>0.64226075786769432</v>
      </c>
      <c r="S23" s="8">
        <f t="shared" si="8"/>
        <v>0.39757663164508161</v>
      </c>
    </row>
    <row r="24" spans="1:19" x14ac:dyDescent="0.25">
      <c r="A24" s="22" t="s">
        <v>29</v>
      </c>
      <c r="G24" s="8">
        <f t="shared" si="4"/>
        <v>0.28694404591104739</v>
      </c>
      <c r="H24" s="8">
        <f t="shared" si="5"/>
        <v>0.6333122229259025</v>
      </c>
      <c r="I24" s="8">
        <f t="shared" si="6"/>
        <v>0.35041515241673155</v>
      </c>
      <c r="K24" s="22" t="s">
        <v>29</v>
      </c>
      <c r="Q24" s="8">
        <f t="shared" si="7"/>
        <v>0.31575623618566473</v>
      </c>
      <c r="R24" s="8">
        <f t="shared" si="7"/>
        <v>0.54734537493158186</v>
      </c>
      <c r="S24" s="8">
        <f t="shared" si="8"/>
        <v>0.33588328037165416</v>
      </c>
    </row>
    <row r="25" spans="1:19" x14ac:dyDescent="0.25">
      <c r="A25" s="8">
        <f>AVERAGE(A11:A22)</f>
        <v>8.9905063157535159E-2</v>
      </c>
      <c r="G25" s="8">
        <f t="shared" si="4"/>
        <v>0.34258307639602609</v>
      </c>
      <c r="H25" s="8">
        <f t="shared" si="5"/>
        <v>0.77881619937694713</v>
      </c>
      <c r="I25" s="8">
        <f t="shared" si="6"/>
        <v>0.44106481509313061</v>
      </c>
      <c r="K25" s="8">
        <f>AVERAGE(K11:K22)</f>
        <v>7.5906275699757178E-2</v>
      </c>
      <c r="Q25" s="8">
        <f t="shared" si="7"/>
        <v>0.37537537537537535</v>
      </c>
      <c r="R25" s="8">
        <f t="shared" si="7"/>
        <v>0.69348127600554788</v>
      </c>
      <c r="S25" s="8">
        <f t="shared" si="8"/>
        <v>0.44209221689470296</v>
      </c>
    </row>
    <row r="26" spans="1:19" x14ac:dyDescent="0.25">
      <c r="G26" s="8">
        <f t="shared" si="4"/>
        <v>0.35198873636043648</v>
      </c>
      <c r="H26" s="8">
        <f t="shared" si="5"/>
        <v>0.75585789871504161</v>
      </c>
      <c r="I26" s="8">
        <f t="shared" si="6"/>
        <v>0.40883350916049727</v>
      </c>
      <c r="Q26" s="8">
        <f t="shared" si="7"/>
        <v>0.38270187523918875</v>
      </c>
      <c r="R26" s="8">
        <f t="shared" si="7"/>
        <v>0.69979006298110569</v>
      </c>
      <c r="S26" s="8">
        <f t="shared" si="8"/>
        <v>0.44349444358910756</v>
      </c>
    </row>
    <row r="27" spans="1:19" x14ac:dyDescent="0.25">
      <c r="G27" s="8">
        <f t="shared" si="4"/>
        <v>0.31515915537346362</v>
      </c>
      <c r="H27" s="8">
        <f t="shared" si="5"/>
        <v>0.67658998646820034</v>
      </c>
      <c r="I27" s="8">
        <f t="shared" si="6"/>
        <v>0.36587574419764862</v>
      </c>
      <c r="Q27" s="8">
        <f t="shared" si="7"/>
        <v>0.29976019184652281</v>
      </c>
      <c r="R27" s="8">
        <f t="shared" si="7"/>
        <v>0.52798310454065467</v>
      </c>
      <c r="S27" s="8">
        <f t="shared" si="8"/>
        <v>0.32723356812839727</v>
      </c>
    </row>
    <row r="28" spans="1:19" x14ac:dyDescent="0.25">
      <c r="G28" s="8">
        <f t="shared" si="4"/>
        <v>0.36670333700036672</v>
      </c>
      <c r="H28" s="8">
        <f t="shared" si="5"/>
        <v>0.83612040133779275</v>
      </c>
      <c r="I28" s="8">
        <f t="shared" si="6"/>
        <v>0.47458894159284931</v>
      </c>
      <c r="Q28" s="8">
        <f t="shared" si="7"/>
        <v>0.45085662759242562</v>
      </c>
      <c r="R28" s="8">
        <f t="shared" si="7"/>
        <v>0.82169268693508635</v>
      </c>
      <c r="S28" s="8">
        <f t="shared" si="8"/>
        <v>0.51975379898590202</v>
      </c>
    </row>
    <row r="29" spans="1:19" x14ac:dyDescent="0.25">
      <c r="G29" s="8">
        <f t="shared" si="4"/>
        <v>0.34940600978336828</v>
      </c>
      <c r="H29" s="8">
        <f t="shared" si="5"/>
        <v>0.75187969924812026</v>
      </c>
      <c r="I29" s="8">
        <f t="shared" si="6"/>
        <v>0.40740161024586297</v>
      </c>
      <c r="Q29" s="8">
        <f t="shared" si="7"/>
        <v>0.34482758620689657</v>
      </c>
      <c r="R29" s="8">
        <f t="shared" si="7"/>
        <v>0.59559261465157842</v>
      </c>
      <c r="S29" s="8">
        <f t="shared" si="8"/>
        <v>0.36466142379940913</v>
      </c>
    </row>
    <row r="30" spans="1:19" x14ac:dyDescent="0.25">
      <c r="G30" s="8">
        <f t="shared" si="4"/>
        <v>0.40355125100887818</v>
      </c>
      <c r="H30" s="8">
        <f t="shared" si="5"/>
        <v>0.94786729857819918</v>
      </c>
      <c r="I30" s="8">
        <f t="shared" si="6"/>
        <v>0.5500076170913305</v>
      </c>
      <c r="Q30" s="8">
        <f t="shared" si="7"/>
        <v>0.39920159680638723</v>
      </c>
      <c r="R30" s="8">
        <f t="shared" si="7"/>
        <v>0.76219512195121952</v>
      </c>
      <c r="S30" s="8">
        <f t="shared" si="8"/>
        <v>0.49484963154351858</v>
      </c>
    </row>
    <row r="33" spans="7:19" x14ac:dyDescent="0.25">
      <c r="G33" s="2" t="s">
        <v>15</v>
      </c>
      <c r="H33" s="2" t="s">
        <v>16</v>
      </c>
      <c r="I33" s="2" t="s">
        <v>17</v>
      </c>
      <c r="Q33" s="2" t="s">
        <v>15</v>
      </c>
      <c r="R33" s="2" t="s">
        <v>16</v>
      </c>
      <c r="S33" s="2" t="s">
        <v>17</v>
      </c>
    </row>
    <row r="34" spans="7:19" x14ac:dyDescent="0.25">
      <c r="G34" s="8">
        <f>H19*($B$3*0.001)</f>
        <v>0.11207060063224447</v>
      </c>
      <c r="H34" s="8">
        <f>0.5*H19*H19*$B$3*0.001</f>
        <v>2.9523340524827309E-2</v>
      </c>
      <c r="I34" s="8">
        <f>(0.5*(G19*G19)*$B$4*0.001)+(0.5*(I19*I19)*($B$3*0.001))</f>
        <v>1.4872801926461791E-2</v>
      </c>
      <c r="Q34" s="8">
        <f>R19*($L$3*0.001)</f>
        <v>0.22021097046413504</v>
      </c>
      <c r="R34" s="8">
        <f>0.5*R19*R19*$L$3*0.001</f>
        <v>7.7430017744070004E-2</v>
      </c>
      <c r="S34" s="8">
        <f>(0.5*(Q19*Q19)*$L$4*0.001)+(0.5*(S19*S19)*($L$3*0.001))</f>
        <v>4.6563973547513848E-2</v>
      </c>
    </row>
    <row r="35" spans="7:19" x14ac:dyDescent="0.25">
      <c r="G35" s="8">
        <f t="shared" ref="G35:G45" si="9">H20*($B$3*0.001)</f>
        <v>0.16922036595067622</v>
      </c>
      <c r="H35" s="8">
        <f t="shared" ref="H35:H45" si="10">0.5*H20*H20*$B$3*0.001</f>
        <v>6.7311203639887116E-2</v>
      </c>
      <c r="I35" s="8">
        <f t="shared" ref="I35:I45" si="11">(0.5*(G20*G20)*$B$4*0.001)+(0.5*(I20*I20)*($B$3*0.001))</f>
        <v>3.3944893245919504E-2</v>
      </c>
      <c r="Q35" s="8">
        <f t="shared" ref="Q35:Q45" si="12">R20*($L$3*0.001)</f>
        <v>0.25355465587044534</v>
      </c>
      <c r="R35" s="8">
        <f t="shared" ref="R35:R45" si="13">0.5*R20*R20*$L$3*0.001</f>
        <v>0.10265370683013984</v>
      </c>
      <c r="S35" s="8">
        <f t="shared" ref="S35:S45" si="14">(0.5*(Q20*Q20)*$L$4*0.001)+(0.5*(S20*S20)*($L$3*0.001))</f>
        <v>6.217140661073553E-2</v>
      </c>
    </row>
    <row r="36" spans="7:19" x14ac:dyDescent="0.25">
      <c r="G36" s="8">
        <f t="shared" si="9"/>
        <v>0.13600383631713556</v>
      </c>
      <c r="H36" s="8">
        <f t="shared" si="10"/>
        <v>4.3479487313662267E-2</v>
      </c>
      <c r="I36" s="8">
        <f t="shared" si="11"/>
        <v>2.1979217204712815E-2</v>
      </c>
      <c r="Q36" s="8">
        <f t="shared" si="12"/>
        <v>0.21655601659751036</v>
      </c>
      <c r="R36" s="8">
        <f t="shared" si="13"/>
        <v>7.4881056914768457E-2</v>
      </c>
      <c r="S36" s="8">
        <f t="shared" si="14"/>
        <v>4.5010947518841188E-2</v>
      </c>
    </row>
    <row r="37" spans="7:19" x14ac:dyDescent="0.25">
      <c r="G37" s="8">
        <f t="shared" si="9"/>
        <v>0.15424945612762875</v>
      </c>
      <c r="H37" s="8">
        <f t="shared" si="10"/>
        <v>5.592801164888643E-2</v>
      </c>
      <c r="I37" s="8">
        <f t="shared" si="11"/>
        <v>2.8430740193158832E-2</v>
      </c>
      <c r="Q37" s="8">
        <f t="shared" si="12"/>
        <v>0.19258302583025833</v>
      </c>
      <c r="R37" s="8">
        <f t="shared" si="13"/>
        <v>5.9219872641530863E-2</v>
      </c>
      <c r="S37" s="8">
        <f t="shared" si="14"/>
        <v>3.5566061556851651E-2</v>
      </c>
    </row>
    <row r="38" spans="7:19" x14ac:dyDescent="0.25">
      <c r="G38" s="8">
        <f t="shared" si="9"/>
        <v>0.14256702412868633</v>
      </c>
      <c r="H38" s="8">
        <f t="shared" si="10"/>
        <v>4.7777152858138848E-2</v>
      </c>
      <c r="I38" s="8">
        <f t="shared" si="11"/>
        <v>2.440426269096542E-2</v>
      </c>
      <c r="Q38" s="8">
        <f t="shared" si="12"/>
        <v>0.20111753371868979</v>
      </c>
      <c r="R38" s="8">
        <f t="shared" si="13"/>
        <v>6.4584949813323633E-2</v>
      </c>
      <c r="S38" s="8">
        <f t="shared" si="14"/>
        <v>3.8745725905874724E-2</v>
      </c>
    </row>
    <row r="39" spans="7:19" x14ac:dyDescent="0.25">
      <c r="G39" s="8">
        <f t="shared" si="9"/>
        <v>0.13471184293856872</v>
      </c>
      <c r="H39" s="8">
        <f t="shared" si="10"/>
        <v>4.2657328352934995E-2</v>
      </c>
      <c r="I39" s="8">
        <f t="shared" si="11"/>
        <v>2.1692847432547901E-2</v>
      </c>
      <c r="Q39" s="8">
        <f t="shared" si="12"/>
        <v>0.17139573070607553</v>
      </c>
      <c r="R39" s="8">
        <f t="shared" si="13"/>
        <v>4.6906330242494687E-2</v>
      </c>
      <c r="S39" s="8">
        <f t="shared" si="14"/>
        <v>2.8118101475026108E-2</v>
      </c>
    </row>
    <row r="40" spans="7:19" x14ac:dyDescent="0.25">
      <c r="G40" s="8">
        <f t="shared" si="9"/>
        <v>0.16566199376947044</v>
      </c>
      <c r="H40" s="8">
        <f t="shared" si="10"/>
        <v>6.4510122184373228E-2</v>
      </c>
      <c r="I40" s="8">
        <f t="shared" si="11"/>
        <v>3.2996221774385333E-2</v>
      </c>
      <c r="Q40" s="8">
        <f t="shared" si="12"/>
        <v>0.21715672676837725</v>
      </c>
      <c r="R40" s="8">
        <f t="shared" si="13"/>
        <v>7.5297061986261182E-2</v>
      </c>
      <c r="S40" s="8">
        <f t="shared" si="14"/>
        <v>4.5375675494868234E-2</v>
      </c>
    </row>
    <row r="41" spans="7:19" x14ac:dyDescent="0.25">
      <c r="G41" s="8">
        <f t="shared" si="9"/>
        <v>0.16077853363567651</v>
      </c>
      <c r="H41" s="8">
        <f t="shared" si="10"/>
        <v>6.0762862296174044E-2</v>
      </c>
      <c r="I41" s="8">
        <f t="shared" si="11"/>
        <v>3.0767811742947695E-2</v>
      </c>
      <c r="Q41" s="8">
        <f t="shared" si="12"/>
        <v>0.21913226032190342</v>
      </c>
      <c r="R41" s="8">
        <f t="shared" si="13"/>
        <v>7.6673289125928426E-2</v>
      </c>
      <c r="S41" s="8">
        <f t="shared" si="14"/>
        <v>4.6152473278927034E-2</v>
      </c>
    </row>
    <row r="42" spans="7:19" x14ac:dyDescent="0.25">
      <c r="G42" s="8">
        <f t="shared" si="9"/>
        <v>0.1439174560216509</v>
      </c>
      <c r="H42" s="8">
        <f t="shared" si="10"/>
        <v>4.8686554811113301E-2</v>
      </c>
      <c r="I42" s="8">
        <f t="shared" si="11"/>
        <v>2.4651972096873441E-2</v>
      </c>
      <c r="Q42" s="8">
        <f t="shared" si="12"/>
        <v>0.1653326293558606</v>
      </c>
      <c r="R42" s="8">
        <f t="shared" si="13"/>
        <v>4.3646417464588333E-2</v>
      </c>
      <c r="S42" s="8">
        <f t="shared" si="14"/>
        <v>2.6187667675425779E-2</v>
      </c>
    </row>
    <row r="43" spans="7:19" x14ac:dyDescent="0.25">
      <c r="G43" s="8">
        <f t="shared" si="9"/>
        <v>0.17785117056856189</v>
      </c>
      <c r="H43" s="8">
        <f t="shared" si="10"/>
        <v>7.43524960570911E-2</v>
      </c>
      <c r="I43" s="8">
        <f t="shared" si="11"/>
        <v>3.8054824714289837E-2</v>
      </c>
      <c r="Q43" s="8">
        <f t="shared" si="12"/>
        <v>0.25730484798685294</v>
      </c>
      <c r="R43" s="8">
        <f t="shared" si="13"/>
        <v>0.10571275595187056</v>
      </c>
      <c r="S43" s="8">
        <f t="shared" si="14"/>
        <v>6.3610501851310841E-2</v>
      </c>
    </row>
    <row r="44" spans="7:19" x14ac:dyDescent="0.25">
      <c r="G44" s="8">
        <f t="shared" si="9"/>
        <v>0.15993233082706768</v>
      </c>
      <c r="H44" s="8">
        <f t="shared" si="10"/>
        <v>6.012493640115326E-2</v>
      </c>
      <c r="I44" s="8">
        <f t="shared" si="11"/>
        <v>3.0453561645333367E-2</v>
      </c>
      <c r="Q44" s="8">
        <f t="shared" si="12"/>
        <v>0.18650387135199525</v>
      </c>
      <c r="R44" s="8">
        <f t="shared" si="13"/>
        <v>5.5540164190588236E-2</v>
      </c>
      <c r="S44" s="8">
        <f t="shared" si="14"/>
        <v>3.3288253621604036E-2</v>
      </c>
    </row>
    <row r="45" spans="7:19" x14ac:dyDescent="0.25">
      <c r="G45" s="8">
        <f t="shared" si="9"/>
        <v>0.20162085308056876</v>
      </c>
      <c r="H45" s="8">
        <f t="shared" si="10"/>
        <v>9.5554906673255349E-2</v>
      </c>
      <c r="I45" s="8">
        <f t="shared" si="11"/>
        <v>4.9249294139763575E-2</v>
      </c>
      <c r="Q45" s="8">
        <f t="shared" si="12"/>
        <v>0.23867378048780485</v>
      </c>
      <c r="R45" s="8">
        <f t="shared" si="13"/>
        <v>9.0957995612730519E-2</v>
      </c>
      <c r="S45" s="8">
        <f t="shared" si="14"/>
        <v>5.505015361889537E-2</v>
      </c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9D7-87AB-44EE-80B4-313B78DCCEAB}">
  <dimension ref="A1:S44"/>
  <sheetViews>
    <sheetView topLeftCell="C1" workbookViewId="0">
      <selection activeCell="H36" sqref="H36"/>
    </sheetView>
  </sheetViews>
  <sheetFormatPr defaultRowHeight="15" x14ac:dyDescent="0.25"/>
  <cols>
    <col min="1" max="1" width="25.5703125" bestFit="1" customWidth="1"/>
    <col min="2" max="2" width="29.85546875" bestFit="1" customWidth="1"/>
    <col min="3" max="3" width="2" bestFit="1" customWidth="1"/>
    <col min="5" max="5" width="33.5703125" bestFit="1" customWidth="1"/>
    <col min="6" max="6" width="25.7109375" bestFit="1" customWidth="1"/>
    <col min="7" max="7" width="28.28515625" bestFit="1" customWidth="1"/>
    <col min="8" max="8" width="29.85546875" bestFit="1" customWidth="1"/>
    <col min="9" max="9" width="24.28515625" bestFit="1" customWidth="1"/>
    <col min="10" max="10" width="2.28515625" style="14" customWidth="1"/>
    <col min="11" max="11" width="25.5703125" bestFit="1" customWidth="1"/>
    <col min="12" max="12" width="29.85546875" bestFit="1" customWidth="1"/>
    <col min="13" max="13" width="2" bestFit="1" customWidth="1"/>
    <col min="15" max="15" width="34" customWidth="1"/>
    <col min="16" max="16" width="25.140625" bestFit="1" customWidth="1"/>
    <col min="17" max="17" width="28.28515625" bestFit="1" customWidth="1"/>
    <col min="18" max="18" width="29.85546875" bestFit="1" customWidth="1"/>
    <col min="19" max="19" width="24.28515625" bestFit="1" customWidth="1"/>
    <col min="21" max="21" width="22" bestFit="1" customWidth="1"/>
    <col min="22" max="22" width="13.140625" bestFit="1" customWidth="1"/>
    <col min="23" max="23" width="2" bestFit="1" customWidth="1"/>
    <col min="25" max="25" width="18.5703125" bestFit="1" customWidth="1"/>
    <col min="27" max="27" width="29.7109375" bestFit="1" customWidth="1"/>
    <col min="28" max="28" width="28.28515625" bestFit="1" customWidth="1"/>
    <col min="29" max="29" width="29.85546875" bestFit="1" customWidth="1"/>
    <col min="30" max="30" width="24.28515625" bestFit="1" customWidth="1"/>
  </cols>
  <sheetData>
    <row r="1" spans="1:19" ht="49.5" customHeight="1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K1" s="19" t="s">
        <v>20</v>
      </c>
      <c r="L1" s="19"/>
      <c r="M1" s="19"/>
      <c r="N1" s="19"/>
      <c r="O1" s="19"/>
      <c r="P1" s="19"/>
      <c r="Q1" s="19"/>
      <c r="R1" s="19"/>
      <c r="S1" s="19"/>
    </row>
    <row r="2" spans="1:19" x14ac:dyDescent="0.25">
      <c r="B2" s="2" t="s">
        <v>8</v>
      </c>
      <c r="D2" s="3" t="s">
        <v>6</v>
      </c>
      <c r="E2" s="3" t="s">
        <v>7</v>
      </c>
      <c r="L2" s="3" t="s">
        <v>8</v>
      </c>
      <c r="N2" s="3" t="s">
        <v>6</v>
      </c>
      <c r="O2" s="3" t="s">
        <v>7</v>
      </c>
    </row>
    <row r="3" spans="1:19" x14ac:dyDescent="0.25">
      <c r="A3" s="3" t="s">
        <v>4</v>
      </c>
      <c r="B3" s="10">
        <v>210.12</v>
      </c>
      <c r="C3" s="11" t="s">
        <v>2</v>
      </c>
      <c r="D3" s="10">
        <v>0.01</v>
      </c>
      <c r="E3" s="10" t="s">
        <v>0</v>
      </c>
      <c r="G3" s="2" t="s">
        <v>12</v>
      </c>
      <c r="H3" s="2" t="s">
        <v>13</v>
      </c>
      <c r="K3" s="3" t="s">
        <v>4</v>
      </c>
      <c r="L3" s="10">
        <v>310.38</v>
      </c>
      <c r="M3" s="11" t="s">
        <v>2</v>
      </c>
      <c r="N3" s="10">
        <v>0.01</v>
      </c>
      <c r="O3" s="10" t="s">
        <v>0</v>
      </c>
      <c r="Q3" s="3" t="s">
        <v>12</v>
      </c>
      <c r="R3" s="3" t="s">
        <v>13</v>
      </c>
    </row>
    <row r="4" spans="1:19" x14ac:dyDescent="0.25">
      <c r="A4" s="3" t="s">
        <v>5</v>
      </c>
      <c r="B4" s="10">
        <v>210.52</v>
      </c>
      <c r="C4" s="10" t="s">
        <v>2</v>
      </c>
      <c r="D4" s="10">
        <v>0.01</v>
      </c>
      <c r="E4" s="10" t="s">
        <v>0</v>
      </c>
      <c r="G4" s="8">
        <v>0.25590000000000002</v>
      </c>
      <c r="H4" s="8">
        <v>0.1115</v>
      </c>
      <c r="K4" s="3" t="s">
        <v>5</v>
      </c>
      <c r="L4" s="10">
        <v>210.5</v>
      </c>
      <c r="M4" s="10" t="s">
        <v>2</v>
      </c>
      <c r="N4" s="10">
        <v>0.01</v>
      </c>
      <c r="O4" s="10" t="s">
        <v>0</v>
      </c>
      <c r="Q4" s="8">
        <v>0.22420000000000001</v>
      </c>
      <c r="R4" s="8">
        <v>0.1229</v>
      </c>
    </row>
    <row r="5" spans="1:19" x14ac:dyDescent="0.25">
      <c r="A5" s="3" t="s">
        <v>3</v>
      </c>
      <c r="B5" s="8">
        <v>10</v>
      </c>
      <c r="C5" s="10" t="s">
        <v>2</v>
      </c>
      <c r="D5" s="10">
        <v>0.05</v>
      </c>
      <c r="E5" s="10" t="s">
        <v>1</v>
      </c>
      <c r="G5" s="8">
        <v>0.29459999999999997</v>
      </c>
      <c r="H5" s="8">
        <v>0.1298</v>
      </c>
      <c r="K5" s="3" t="s">
        <v>3</v>
      </c>
      <c r="L5" s="8">
        <v>10</v>
      </c>
      <c r="M5" s="10" t="s">
        <v>2</v>
      </c>
      <c r="N5" s="10">
        <v>0.05</v>
      </c>
      <c r="O5" s="10" t="s">
        <v>1</v>
      </c>
      <c r="Q5" s="8">
        <v>0.22889999999999999</v>
      </c>
      <c r="R5" s="13">
        <v>0.12959999999999999</v>
      </c>
    </row>
    <row r="6" spans="1:19" x14ac:dyDescent="0.25">
      <c r="G6" s="8">
        <v>0.31940000000000002</v>
      </c>
      <c r="H6" s="8">
        <v>0.14680000000000001</v>
      </c>
      <c r="Q6" s="8">
        <v>0.2263</v>
      </c>
      <c r="R6" s="8">
        <v>0.129</v>
      </c>
    </row>
    <row r="7" spans="1:19" x14ac:dyDescent="0.25">
      <c r="A7" s="2" t="s">
        <v>10</v>
      </c>
      <c r="G7" s="8">
        <v>0.29310000000000003</v>
      </c>
      <c r="H7" s="8">
        <v>0.13159999999999999</v>
      </c>
      <c r="K7" s="2" t="s">
        <v>10</v>
      </c>
      <c r="Q7" s="8">
        <v>0.24709999999999999</v>
      </c>
      <c r="R7" s="8">
        <v>0.14019999999999999</v>
      </c>
    </row>
    <row r="8" spans="1:19" x14ac:dyDescent="0.25">
      <c r="A8" s="10">
        <v>0</v>
      </c>
      <c r="G8" s="8">
        <v>0.28050000000000003</v>
      </c>
      <c r="H8" s="8">
        <v>0.1235</v>
      </c>
      <c r="K8" s="10">
        <v>0</v>
      </c>
      <c r="Q8" s="8">
        <v>0.2485</v>
      </c>
      <c r="R8" s="8">
        <v>0.14319999999999999</v>
      </c>
    </row>
    <row r="9" spans="1:19" x14ac:dyDescent="0.25">
      <c r="G9" s="8">
        <v>0.2427</v>
      </c>
      <c r="H9" s="8">
        <v>0.1062</v>
      </c>
      <c r="Q9" s="8">
        <v>0.19750000000000001</v>
      </c>
      <c r="R9" s="8">
        <v>0.10489999999999999</v>
      </c>
    </row>
    <row r="10" spans="1:19" x14ac:dyDescent="0.25">
      <c r="A10" s="2" t="s">
        <v>18</v>
      </c>
      <c r="B10" s="2" t="s">
        <v>19</v>
      </c>
      <c r="E10" s="2" t="s">
        <v>25</v>
      </c>
      <c r="G10" s="8">
        <v>0.28549999999999998</v>
      </c>
      <c r="H10" s="8">
        <v>0.13150000000000001</v>
      </c>
      <c r="K10" s="2" t="s">
        <v>18</v>
      </c>
      <c r="L10" s="2" t="s">
        <v>19</v>
      </c>
      <c r="O10" s="2" t="s">
        <v>25</v>
      </c>
      <c r="Q10" s="8">
        <v>0.222</v>
      </c>
      <c r="R10" s="8">
        <v>0.123</v>
      </c>
    </row>
    <row r="11" spans="1:19" x14ac:dyDescent="0.25">
      <c r="A11" s="21">
        <f>ABS(I19-G19)/H19</f>
        <v>0</v>
      </c>
      <c r="B11" s="8">
        <f>H34-I34</f>
        <v>5.2388650690357821E-2</v>
      </c>
      <c r="E11" s="8">
        <f>F34-G34</f>
        <v>2.407172084106568E-2</v>
      </c>
      <c r="G11" s="8">
        <v>0.26229999999999998</v>
      </c>
      <c r="H11" s="8">
        <v>0.1169</v>
      </c>
      <c r="K11" s="21">
        <f>ABS(S19-Q19)/R19</f>
        <v>0</v>
      </c>
      <c r="L11" s="8">
        <f>R34-S34</f>
        <v>5.0932098172413315E-2</v>
      </c>
      <c r="O11" s="8">
        <f>P34-Q34</f>
        <v>2.0218507681956044E-2</v>
      </c>
      <c r="Q11" s="8">
        <v>0.19239999999999999</v>
      </c>
      <c r="R11" s="8">
        <v>0.1007</v>
      </c>
    </row>
    <row r="12" spans="1:19" x14ac:dyDescent="0.25">
      <c r="A12" s="21">
        <f>ABS(I20-G20)/H20</f>
        <v>0</v>
      </c>
      <c r="B12" s="8">
        <f t="shared" ref="B12:B21" si="0">H35-I35</f>
        <v>3.8123960675722483E-2</v>
      </c>
      <c r="E12" s="8">
        <f t="shared" ref="E12:E21" si="1">F35-G35</f>
        <v>1.9096379933826846E-2</v>
      </c>
      <c r="G12" s="8">
        <v>0.20949999999999999</v>
      </c>
      <c r="H12" s="8">
        <v>9.3700000000000006E-2</v>
      </c>
      <c r="K12" s="21">
        <f>ABS(S20-Q20)/R20</f>
        <v>0</v>
      </c>
      <c r="L12" s="8">
        <f t="shared" ref="L12:L21" si="2">R35-S35</f>
        <v>4.2689285224880497E-2</v>
      </c>
      <c r="O12" s="8">
        <f t="shared" ref="O12:O21" si="3">P35-Q35</f>
        <v>1.1932855201203824E-2</v>
      </c>
      <c r="Q12" s="8">
        <v>0.23319999999999999</v>
      </c>
      <c r="R12" s="8">
        <v>0.13350000000000001</v>
      </c>
    </row>
    <row r="13" spans="1:19" x14ac:dyDescent="0.25">
      <c r="A13" s="21">
        <f t="shared" ref="A13:A21" si="4">ABS(I21-G21)/H21</f>
        <v>0</v>
      </c>
      <c r="B13" s="8">
        <f t="shared" si="0"/>
        <v>2.8134896052314895E-2</v>
      </c>
      <c r="E13" s="8">
        <f t="shared" si="1"/>
        <v>1.1436583239350345E-2</v>
      </c>
      <c r="G13" s="8">
        <v>0.2928</v>
      </c>
      <c r="H13" s="8">
        <v>0.13969999999999999</v>
      </c>
      <c r="K13" s="21">
        <f t="shared" ref="K13:K21" si="5">ABS(S21-Q21)/R21</f>
        <v>0</v>
      </c>
      <c r="L13" s="8">
        <f t="shared" si="2"/>
        <v>4.2402040590800258E-2</v>
      </c>
      <c r="O13" s="8">
        <f t="shared" si="3"/>
        <v>1.0432313557841494E-2</v>
      </c>
      <c r="Q13" s="8">
        <v>0.20910000000000001</v>
      </c>
      <c r="R13" s="8">
        <v>0.1163</v>
      </c>
    </row>
    <row r="14" spans="1:19" x14ac:dyDescent="0.25">
      <c r="A14" s="21">
        <f t="shared" si="4"/>
        <v>0</v>
      </c>
      <c r="B14" s="8">
        <f t="shared" si="0"/>
        <v>3.618112706278831E-2</v>
      </c>
      <c r="E14" s="8">
        <f t="shared" si="1"/>
        <v>1.6151494505334957E-2</v>
      </c>
      <c r="G14" s="8">
        <v>0.28199999999999997</v>
      </c>
      <c r="H14" s="8">
        <v>0.1343</v>
      </c>
      <c r="K14" s="21">
        <f t="shared" si="5"/>
        <v>0</v>
      </c>
      <c r="L14" s="8">
        <f t="shared" si="2"/>
        <v>3.6298591998368657E-2</v>
      </c>
      <c r="O14" s="8">
        <f t="shared" si="3"/>
        <v>1.0586489440130326E-2</v>
      </c>
      <c r="Q14" s="8">
        <v>0.20430000000000001</v>
      </c>
      <c r="R14" s="8">
        <v>0.1048</v>
      </c>
    </row>
    <row r="15" spans="1:19" x14ac:dyDescent="0.25">
      <c r="A15" s="21">
        <f t="shared" si="4"/>
        <v>0</v>
      </c>
      <c r="B15" s="8">
        <f t="shared" si="0"/>
        <v>4.2150662817679978E-2</v>
      </c>
      <c r="E15" s="8">
        <f t="shared" si="1"/>
        <v>2.0176867508136853E-2</v>
      </c>
      <c r="K15" s="21">
        <f t="shared" si="5"/>
        <v>0</v>
      </c>
      <c r="L15" s="8">
        <f t="shared" si="2"/>
        <v>3.3504421474059493E-2</v>
      </c>
      <c r="O15" s="8">
        <f t="shared" si="3"/>
        <v>7.1361521081798052E-3</v>
      </c>
    </row>
    <row r="16" spans="1:19" x14ac:dyDescent="0.25">
      <c r="A16" s="21">
        <f t="shared" si="4"/>
        <v>0</v>
      </c>
      <c r="B16" s="8">
        <f t="shared" si="0"/>
        <v>5.7445195298897037E-2</v>
      </c>
      <c r="E16" s="8">
        <f t="shared" si="1"/>
        <v>2.4536255263874651E-2</v>
      </c>
      <c r="K16" s="21">
        <f t="shared" si="5"/>
        <v>0</v>
      </c>
      <c r="L16" s="8">
        <f t="shared" si="2"/>
        <v>7.4261619134932733E-2</v>
      </c>
      <c r="O16" s="8">
        <f t="shared" si="3"/>
        <v>3.2145083322272006E-2</v>
      </c>
    </row>
    <row r="17" spans="1:19" x14ac:dyDescent="0.25">
      <c r="A17" s="21">
        <f t="shared" si="4"/>
        <v>0</v>
      </c>
      <c r="B17" s="8">
        <f t="shared" si="0"/>
        <v>3.4952650956332265E-2</v>
      </c>
      <c r="E17" s="8">
        <f t="shared" si="1"/>
        <v>1.2452571367689236E-2</v>
      </c>
      <c r="K17" s="21">
        <f t="shared" si="5"/>
        <v>0</v>
      </c>
      <c r="L17" s="8">
        <f t="shared" si="2"/>
        <v>4.9733094027834969E-2</v>
      </c>
      <c r="O17" s="8">
        <f t="shared" si="3"/>
        <v>1.7710832784003511E-2</v>
      </c>
    </row>
    <row r="18" spans="1:19" x14ac:dyDescent="0.25">
      <c r="A18" s="21">
        <f t="shared" si="4"/>
        <v>0</v>
      </c>
      <c r="B18" s="8">
        <f t="shared" si="0"/>
        <v>4.6309920530383686E-2</v>
      </c>
      <c r="E18" s="8">
        <f t="shared" si="1"/>
        <v>1.9377377264424345E-2</v>
      </c>
      <c r="G18" s="2" t="s">
        <v>14</v>
      </c>
      <c r="H18" s="2" t="s">
        <v>9</v>
      </c>
      <c r="I18" s="2" t="s">
        <v>11</v>
      </c>
      <c r="K18" s="21">
        <f t="shared" si="5"/>
        <v>0</v>
      </c>
      <c r="L18" s="8">
        <f t="shared" si="2"/>
        <v>8.2684523268586274E-2</v>
      </c>
      <c r="O18" s="8">
        <f t="shared" si="3"/>
        <v>3.7494792172051317E-2</v>
      </c>
      <c r="Q18" s="2" t="s">
        <v>14</v>
      </c>
      <c r="R18" s="2" t="s">
        <v>9</v>
      </c>
      <c r="S18" s="2" t="s">
        <v>11</v>
      </c>
    </row>
    <row r="19" spans="1:19" x14ac:dyDescent="0.25">
      <c r="A19" s="21">
        <f t="shared" si="4"/>
        <v>0</v>
      </c>
      <c r="B19" s="8">
        <f t="shared" si="0"/>
        <v>7.1743012791620653E-2</v>
      </c>
      <c r="E19" s="8">
        <f t="shared" si="1"/>
        <v>2.3464782490200009E-2</v>
      </c>
      <c r="G19" s="8">
        <f>($B$5*0.01)/G4</f>
        <v>0.39077764751856192</v>
      </c>
      <c r="H19" s="8">
        <f>($B$5*0.01/H4)</f>
        <v>0.89686098654708524</v>
      </c>
      <c r="I19" s="8">
        <f>G19</f>
        <v>0.39077764751856192</v>
      </c>
      <c r="K19" s="21">
        <f t="shared" si="5"/>
        <v>0</v>
      </c>
      <c r="L19" s="8">
        <f t="shared" si="2"/>
        <v>3.9185912690218067E-2</v>
      </c>
      <c r="O19" s="8">
        <f t="shared" si="3"/>
        <v>9.1324609247017408E-3</v>
      </c>
      <c r="Q19" s="8">
        <f>($L$5*0.01)/Q4</f>
        <v>0.44603033006244425</v>
      </c>
      <c r="R19" s="8">
        <f>($L$5*0.01)/R4</f>
        <v>0.8136696501220505</v>
      </c>
      <c r="S19" s="8">
        <f>Q19</f>
        <v>0.44603033006244425</v>
      </c>
    </row>
    <row r="20" spans="1:19" x14ac:dyDescent="0.25">
      <c r="A20" s="21">
        <f t="shared" si="4"/>
        <v>0</v>
      </c>
      <c r="B20" s="8">
        <f t="shared" si="0"/>
        <v>2.9300195242797332E-2</v>
      </c>
      <c r="E20" s="8">
        <f t="shared" si="1"/>
        <v>6.7468149938784139E-3</v>
      </c>
      <c r="G20" s="8">
        <f t="shared" ref="G20:G29" si="6">($B$5*0.01)/G5</f>
        <v>0.33944331296673458</v>
      </c>
      <c r="H20" s="8">
        <f t="shared" ref="H20:H29" si="7">($B$5*0.01/H5)</f>
        <v>0.77041602465331283</v>
      </c>
      <c r="I20" s="8">
        <f t="shared" ref="I20:I29" si="8">G20</f>
        <v>0.33944331296673458</v>
      </c>
      <c r="K20" s="21">
        <f t="shared" si="5"/>
        <v>0</v>
      </c>
      <c r="L20" s="8">
        <f t="shared" si="2"/>
        <v>5.5171052509041134E-2</v>
      </c>
      <c r="O20" s="8">
        <f t="shared" si="3"/>
        <v>1.7773070765961324E-2</v>
      </c>
      <c r="Q20" s="8">
        <f t="shared" ref="Q20:R29" si="9">($L$5*0.01)/Q5</f>
        <v>0.43687199650502406</v>
      </c>
      <c r="R20" s="8">
        <f t="shared" si="9"/>
        <v>0.77160493827160503</v>
      </c>
      <c r="S20" s="8">
        <f t="shared" ref="S20:S29" si="10">Q20</f>
        <v>0.43687199650502406</v>
      </c>
    </row>
    <row r="21" spans="1:19" x14ac:dyDescent="0.25">
      <c r="A21" s="21">
        <f t="shared" si="4"/>
        <v>0</v>
      </c>
      <c r="B21" s="8">
        <f t="shared" si="0"/>
        <v>3.1801222040360753E-2</v>
      </c>
      <c r="E21" s="8">
        <f t="shared" si="1"/>
        <v>7.2925756351557569E-3</v>
      </c>
      <c r="G21" s="8">
        <f t="shared" si="6"/>
        <v>0.31308703819661865</v>
      </c>
      <c r="H21" s="8">
        <f t="shared" si="7"/>
        <v>0.68119891008174382</v>
      </c>
      <c r="I21" s="8">
        <f t="shared" si="8"/>
        <v>0.31308703819661865</v>
      </c>
      <c r="K21" s="21">
        <f t="shared" si="5"/>
        <v>0</v>
      </c>
      <c r="L21" s="8">
        <f t="shared" si="2"/>
        <v>7.8901635839002046E-2</v>
      </c>
      <c r="O21" s="8">
        <f t="shared" si="3"/>
        <v>4.1205727619538668E-2</v>
      </c>
      <c r="Q21" s="8">
        <f t="shared" si="9"/>
        <v>0.44189129474149363</v>
      </c>
      <c r="R21" s="8">
        <f t="shared" si="9"/>
        <v>0.77519379844961245</v>
      </c>
      <c r="S21" s="8">
        <f t="shared" si="10"/>
        <v>0.44189129474149363</v>
      </c>
    </row>
    <row r="22" spans="1:19" x14ac:dyDescent="0.25">
      <c r="G22" s="8">
        <f t="shared" si="6"/>
        <v>0.34118048447628796</v>
      </c>
      <c r="H22" s="8">
        <f t="shared" si="7"/>
        <v>0.75987841945288759</v>
      </c>
      <c r="I22" s="8">
        <f t="shared" si="8"/>
        <v>0.34118048447628796</v>
      </c>
      <c r="Q22" s="8">
        <f t="shared" si="9"/>
        <v>0.40469445568595713</v>
      </c>
      <c r="R22" s="8">
        <f t="shared" si="9"/>
        <v>0.71326676176890169</v>
      </c>
      <c r="S22" s="8">
        <f t="shared" si="10"/>
        <v>0.40469445568595713</v>
      </c>
    </row>
    <row r="23" spans="1:19" x14ac:dyDescent="0.25">
      <c r="A23" s="1"/>
      <c r="G23" s="8">
        <f t="shared" si="6"/>
        <v>0.35650623885918004</v>
      </c>
      <c r="H23" s="8">
        <f t="shared" si="7"/>
        <v>0.80971659919028349</v>
      </c>
      <c r="I23" s="8">
        <f t="shared" si="8"/>
        <v>0.35650623885918004</v>
      </c>
      <c r="Q23" s="8">
        <f t="shared" si="9"/>
        <v>0.4024144869215292</v>
      </c>
      <c r="R23" s="8">
        <f t="shared" si="9"/>
        <v>0.69832402234636881</v>
      </c>
      <c r="S23" s="8">
        <f t="shared" si="10"/>
        <v>0.4024144869215292</v>
      </c>
    </row>
    <row r="24" spans="1:19" x14ac:dyDescent="0.25">
      <c r="G24" s="8">
        <f t="shared" si="6"/>
        <v>0.41203131437989288</v>
      </c>
      <c r="H24" s="8">
        <f t="shared" si="7"/>
        <v>0.94161958568738235</v>
      </c>
      <c r="I24" s="8">
        <f t="shared" si="8"/>
        <v>0.41203131437989288</v>
      </c>
      <c r="Q24" s="8">
        <f t="shared" si="9"/>
        <v>0.50632911392405067</v>
      </c>
      <c r="R24" s="8">
        <f t="shared" si="9"/>
        <v>0.95328884652049584</v>
      </c>
      <c r="S24" s="8">
        <f t="shared" si="10"/>
        <v>0.50632911392405067</v>
      </c>
    </row>
    <row r="25" spans="1:19" x14ac:dyDescent="0.25">
      <c r="G25" s="8">
        <f t="shared" si="6"/>
        <v>0.35026269702276713</v>
      </c>
      <c r="H25" s="8">
        <f t="shared" si="7"/>
        <v>0.76045627376425862</v>
      </c>
      <c r="I25" s="8">
        <f t="shared" si="8"/>
        <v>0.35026269702276713</v>
      </c>
      <c r="Q25" s="8">
        <f t="shared" si="9"/>
        <v>0.45045045045045046</v>
      </c>
      <c r="R25" s="8">
        <f t="shared" si="9"/>
        <v>0.81300813008130091</v>
      </c>
      <c r="S25" s="8">
        <f t="shared" si="10"/>
        <v>0.45045045045045046</v>
      </c>
    </row>
    <row r="26" spans="1:19" x14ac:dyDescent="0.25">
      <c r="G26" s="8">
        <f t="shared" si="6"/>
        <v>0.38124285169653077</v>
      </c>
      <c r="H26" s="8">
        <f t="shared" si="7"/>
        <v>0.85543199315654406</v>
      </c>
      <c r="I26" s="8">
        <f t="shared" si="8"/>
        <v>0.38124285169653077</v>
      </c>
      <c r="Q26" s="8">
        <f t="shared" si="9"/>
        <v>0.51975051975051978</v>
      </c>
      <c r="R26" s="8">
        <f t="shared" si="9"/>
        <v>0.99304865938430986</v>
      </c>
      <c r="S26" s="8">
        <f t="shared" si="10"/>
        <v>0.51975051975051978</v>
      </c>
    </row>
    <row r="27" spans="1:19" x14ac:dyDescent="0.25">
      <c r="G27" s="8">
        <f t="shared" si="6"/>
        <v>0.47732696897374705</v>
      </c>
      <c r="H27" s="8">
        <f t="shared" si="7"/>
        <v>1.0672358591248665</v>
      </c>
      <c r="I27" s="8">
        <f t="shared" si="8"/>
        <v>0.47732696897374705</v>
      </c>
      <c r="Q27" s="8">
        <f t="shared" si="9"/>
        <v>0.42881646655231564</v>
      </c>
      <c r="R27" s="8">
        <f t="shared" si="9"/>
        <v>0.74906367041198507</v>
      </c>
      <c r="S27" s="8">
        <f t="shared" si="10"/>
        <v>0.42881646655231564</v>
      </c>
    </row>
    <row r="28" spans="1:19" x14ac:dyDescent="0.25">
      <c r="G28" s="8">
        <f t="shared" si="6"/>
        <v>0.34153005464480873</v>
      </c>
      <c r="H28" s="8">
        <f t="shared" si="7"/>
        <v>0.71581961345740885</v>
      </c>
      <c r="I28" s="8">
        <f t="shared" si="8"/>
        <v>0.34153005464480873</v>
      </c>
      <c r="Q28" s="8">
        <f t="shared" si="9"/>
        <v>0.47824007651841227</v>
      </c>
      <c r="R28" s="8">
        <f t="shared" si="9"/>
        <v>0.85984522785898543</v>
      </c>
      <c r="S28" s="8">
        <f t="shared" si="10"/>
        <v>0.47824007651841227</v>
      </c>
    </row>
    <row r="29" spans="1:19" x14ac:dyDescent="0.25">
      <c r="G29" s="8">
        <f t="shared" si="6"/>
        <v>0.35460992907801425</v>
      </c>
      <c r="H29" s="8">
        <f t="shared" si="7"/>
        <v>0.74460163812360391</v>
      </c>
      <c r="I29" s="8">
        <f t="shared" si="8"/>
        <v>0.35460992907801425</v>
      </c>
      <c r="Q29" s="8">
        <f t="shared" si="9"/>
        <v>0.48947626040137054</v>
      </c>
      <c r="R29" s="8">
        <f t="shared" si="9"/>
        <v>0.95419847328244278</v>
      </c>
      <c r="S29" s="8">
        <f t="shared" si="10"/>
        <v>0.48947626040137054</v>
      </c>
    </row>
    <row r="33" spans="6:19" x14ac:dyDescent="0.25">
      <c r="F33" s="2" t="s">
        <v>24</v>
      </c>
      <c r="G33" s="2" t="s">
        <v>26</v>
      </c>
      <c r="H33" s="2" t="s">
        <v>16</v>
      </c>
      <c r="I33" s="2" t="s">
        <v>17</v>
      </c>
      <c r="P33" s="2" t="s">
        <v>27</v>
      </c>
      <c r="Q33" s="2" t="s">
        <v>23</v>
      </c>
      <c r="R33" s="2" t="s">
        <v>16</v>
      </c>
      <c r="S33" s="2" t="s">
        <v>17</v>
      </c>
    </row>
    <row r="34" spans="6:19" x14ac:dyDescent="0.25">
      <c r="F34" s="8">
        <f>H19*($B$3*0.001)</f>
        <v>0.18844843049327356</v>
      </c>
      <c r="G34" s="8">
        <f>G19*(($B$4+$B$3)*0.001)</f>
        <v>0.16437670965220788</v>
      </c>
      <c r="H34" s="8">
        <f>0.5*H19*H19*$B$3*0.001</f>
        <v>8.4506022642723569E-2</v>
      </c>
      <c r="I34" s="8">
        <f>(0.5*(G19*G19)*$B$4*0.001)+(0.5*(I19*I19)*(($B$3)*0.001))</f>
        <v>3.2117371952365747E-2</v>
      </c>
      <c r="P34" s="8">
        <f>R19*($L$3*0.001)</f>
        <v>0.25254678600488201</v>
      </c>
      <c r="Q34" s="8">
        <f>Q19*(($L$3+$L$4)*0.001)</f>
        <v>0.23232827832292596</v>
      </c>
      <c r="R34" s="8">
        <f>0.5*R19*R19*$L$3*0.001</f>
        <v>0.10274482750402035</v>
      </c>
      <c r="S34" s="8">
        <f>(0.5*(Q19*Q19)*$L$4*0.001)+(0.5*(S19*S19)*($L$3*0.001))</f>
        <v>5.1812729331607035E-2</v>
      </c>
    </row>
    <row r="35" spans="6:19" x14ac:dyDescent="0.25">
      <c r="F35" s="8">
        <f t="shared" ref="F35:F44" si="11">H20*($B$3*0.001)</f>
        <v>0.16187981510015409</v>
      </c>
      <c r="G35" s="8">
        <f t="shared" ref="G35:G44" si="12">G20*(($B$4+$B$3)*0.001)</f>
        <v>0.14278343516632724</v>
      </c>
      <c r="H35" s="8">
        <f t="shared" ref="H35:H44" si="13">0.5*H20*H20*$B$3*0.001</f>
        <v>6.2357401810537019E-2</v>
      </c>
      <c r="I35" s="8">
        <f t="shared" ref="I35:I44" si="14">(0.5*(G20*G20)*$B$4*0.001)+(0.5*(I20*I20)*(($B$3)*0.001))</f>
        <v>2.4233441134814536E-2</v>
      </c>
      <c r="P35" s="8">
        <f t="shared" ref="P35:P44" si="15">R20*($L$3*0.001)</f>
        <v>0.23949074074074075</v>
      </c>
      <c r="Q35" s="8">
        <f t="shared" ref="Q35:Q44" si="16">Q20*(($L$3+$L$4)*0.001)</f>
        <v>0.22755788553953693</v>
      </c>
      <c r="R35" s="8">
        <f t="shared" ref="R35:R44" si="17">0.5*R20*R20*$L$3*0.001</f>
        <v>9.2396119112940114E-2</v>
      </c>
      <c r="S35" s="8">
        <f t="shared" ref="S35:S44" si="18">(0.5*(Q20*Q20)*$L$4*0.001)+(0.5*(S20*S20)*($L$3*0.001))</f>
        <v>4.9706833888059618E-2</v>
      </c>
    </row>
    <row r="36" spans="6:19" x14ac:dyDescent="0.25">
      <c r="F36" s="8">
        <f t="shared" si="11"/>
        <v>0.14313351498637603</v>
      </c>
      <c r="G36" s="8">
        <f t="shared" si="12"/>
        <v>0.13169693174702568</v>
      </c>
      <c r="H36" s="8">
        <f t="shared" si="13"/>
        <v>4.8751197202444148E-2</v>
      </c>
      <c r="I36" s="8">
        <f t="shared" si="14"/>
        <v>2.0616301150129253E-2</v>
      </c>
      <c r="P36" s="8">
        <f t="shared" si="15"/>
        <v>0.2406046511627907</v>
      </c>
      <c r="Q36" s="8">
        <f t="shared" si="16"/>
        <v>0.23017233760494921</v>
      </c>
      <c r="R36" s="8">
        <f t="shared" si="17"/>
        <v>9.3257616729763848E-2</v>
      </c>
      <c r="S36" s="8">
        <f t="shared" si="18"/>
        <v>5.085557613896359E-2</v>
      </c>
    </row>
    <row r="37" spans="6:19" x14ac:dyDescent="0.25">
      <c r="F37" s="8">
        <f t="shared" si="11"/>
        <v>0.15966565349544073</v>
      </c>
      <c r="G37" s="8">
        <f t="shared" si="12"/>
        <v>0.14351415899010578</v>
      </c>
      <c r="H37" s="8">
        <f t="shared" si="13"/>
        <v>6.0663242209513961E-2</v>
      </c>
      <c r="I37" s="8">
        <f t="shared" si="14"/>
        <v>2.4482115146725651E-2</v>
      </c>
      <c r="P37" s="8">
        <f t="shared" si="15"/>
        <v>0.22138373751783169</v>
      </c>
      <c r="Q37" s="8">
        <f t="shared" si="16"/>
        <v>0.21079724807770137</v>
      </c>
      <c r="R37" s="8">
        <f t="shared" si="17"/>
        <v>7.8952830783820163E-2</v>
      </c>
      <c r="S37" s="8">
        <f t="shared" si="18"/>
        <v>4.2654238785451506E-2</v>
      </c>
    </row>
    <row r="38" spans="6:19" x14ac:dyDescent="0.25">
      <c r="F38" s="8">
        <f t="shared" si="11"/>
        <v>0.17013765182186236</v>
      </c>
      <c r="G38" s="8">
        <f t="shared" si="12"/>
        <v>0.1499607843137255</v>
      </c>
      <c r="H38" s="8">
        <f t="shared" si="13"/>
        <v>6.8881640413709477E-2</v>
      </c>
      <c r="I38" s="8">
        <f t="shared" si="14"/>
        <v>2.67309775960295E-2</v>
      </c>
      <c r="P38" s="8">
        <f t="shared" si="15"/>
        <v>0.21674581005586593</v>
      </c>
      <c r="Q38" s="8">
        <f t="shared" si="16"/>
        <v>0.20960965794768613</v>
      </c>
      <c r="R38" s="8">
        <f t="shared" si="17"/>
        <v>7.5679402952467167E-2</v>
      </c>
      <c r="S38" s="8">
        <f t="shared" si="18"/>
        <v>4.2174981478407675E-2</v>
      </c>
    </row>
    <row r="39" spans="6:19" x14ac:dyDescent="0.25">
      <c r="F39" s="8">
        <f t="shared" si="11"/>
        <v>0.19785310734463279</v>
      </c>
      <c r="G39" s="8">
        <f t="shared" si="12"/>
        <v>0.17331685208075814</v>
      </c>
      <c r="H39" s="8">
        <f t="shared" si="13"/>
        <v>9.3151180482407156E-2</v>
      </c>
      <c r="I39" s="8">
        <f t="shared" si="14"/>
        <v>3.5705985183510119E-2</v>
      </c>
      <c r="P39" s="8">
        <f t="shared" si="15"/>
        <v>0.29588179218303151</v>
      </c>
      <c r="Q39" s="8">
        <f t="shared" si="16"/>
        <v>0.26373670886075951</v>
      </c>
      <c r="R39" s="8">
        <f t="shared" si="17"/>
        <v>0.14103040618828958</v>
      </c>
      <c r="S39" s="8">
        <f t="shared" si="18"/>
        <v>6.6768787053356843E-2</v>
      </c>
    </row>
    <row r="40" spans="6:19" x14ac:dyDescent="0.25">
      <c r="F40" s="8">
        <f t="shared" si="11"/>
        <v>0.15978707224334601</v>
      </c>
      <c r="G40" s="8">
        <f t="shared" si="12"/>
        <v>0.14733450087565678</v>
      </c>
      <c r="H40" s="8">
        <f t="shared" si="13"/>
        <v>6.0755540776937657E-2</v>
      </c>
      <c r="I40" s="8">
        <f t="shared" si="14"/>
        <v>2.5802889820605392E-2</v>
      </c>
      <c r="P40" s="8">
        <f t="shared" si="15"/>
        <v>0.25234146341463415</v>
      </c>
      <c r="Q40" s="8">
        <f t="shared" si="16"/>
        <v>0.23463063063063064</v>
      </c>
      <c r="R40" s="8">
        <f t="shared" si="17"/>
        <v>0.10257783065635538</v>
      </c>
      <c r="S40" s="8">
        <f t="shared" si="18"/>
        <v>5.2844736628520413E-2</v>
      </c>
    </row>
    <row r="41" spans="6:19" x14ac:dyDescent="0.25">
      <c r="F41" s="8">
        <f t="shared" si="11"/>
        <v>0.17974337040205304</v>
      </c>
      <c r="G41" s="8">
        <f t="shared" si="12"/>
        <v>0.1603659931376287</v>
      </c>
      <c r="H41" s="8">
        <f t="shared" si="13"/>
        <v>7.6879114799851614E-2</v>
      </c>
      <c r="I41" s="8">
        <f t="shared" si="14"/>
        <v>3.0569194269467928E-2</v>
      </c>
      <c r="P41" s="8">
        <f t="shared" si="15"/>
        <v>0.30822244289970208</v>
      </c>
      <c r="Q41" s="8">
        <f t="shared" si="16"/>
        <v>0.27072765072765076</v>
      </c>
      <c r="R41" s="8">
        <f t="shared" si="17"/>
        <v>0.1530399418568531</v>
      </c>
      <c r="S41" s="8">
        <f t="shared" si="18"/>
        <v>7.0355418588266827E-2</v>
      </c>
    </row>
    <row r="42" spans="6:19" x14ac:dyDescent="0.25">
      <c r="F42" s="8">
        <f t="shared" si="11"/>
        <v>0.22424759871931696</v>
      </c>
      <c r="G42" s="8">
        <f t="shared" si="12"/>
        <v>0.20078281622911695</v>
      </c>
      <c r="H42" s="8">
        <f t="shared" si="13"/>
        <v>0.11966253933794929</v>
      </c>
      <c r="I42" s="8">
        <f t="shared" si="14"/>
        <v>4.7919526546328632E-2</v>
      </c>
      <c r="P42" s="8">
        <f t="shared" si="15"/>
        <v>0.23249438202247191</v>
      </c>
      <c r="Q42" s="8">
        <f t="shared" si="16"/>
        <v>0.22336192109777017</v>
      </c>
      <c r="R42" s="8">
        <f t="shared" si="17"/>
        <v>8.7076547573959523E-2</v>
      </c>
      <c r="S42" s="8">
        <f t="shared" si="18"/>
        <v>4.7890634883741456E-2</v>
      </c>
    </row>
    <row r="43" spans="6:19" x14ac:dyDescent="0.25">
      <c r="F43" s="8">
        <f t="shared" si="11"/>
        <v>0.15040801717967076</v>
      </c>
      <c r="G43" s="8">
        <f t="shared" si="12"/>
        <v>0.14366120218579234</v>
      </c>
      <c r="H43" s="8">
        <f t="shared" si="13"/>
        <v>5.3832504359223619E-2</v>
      </c>
      <c r="I43" s="8">
        <f t="shared" si="14"/>
        <v>2.4532309116426287E-2</v>
      </c>
      <c r="P43" s="8">
        <f t="shared" si="15"/>
        <v>0.2668787618228719</v>
      </c>
      <c r="Q43" s="8">
        <f t="shared" si="16"/>
        <v>0.24910569105691058</v>
      </c>
      <c r="R43" s="8">
        <f t="shared" si="17"/>
        <v>0.11473721488515558</v>
      </c>
      <c r="S43" s="8">
        <f t="shared" si="18"/>
        <v>5.9566162376114444E-2</v>
      </c>
    </row>
    <row r="44" spans="6:19" x14ac:dyDescent="0.25">
      <c r="F44" s="8">
        <f t="shared" si="11"/>
        <v>0.15645569620253166</v>
      </c>
      <c r="G44" s="8">
        <f t="shared" si="12"/>
        <v>0.14916312056737591</v>
      </c>
      <c r="H44" s="8">
        <f t="shared" si="13"/>
        <v>5.8248583843086989E-2</v>
      </c>
      <c r="I44" s="8">
        <f t="shared" si="14"/>
        <v>2.6447361802726235E-2</v>
      </c>
      <c r="P44" s="8">
        <f t="shared" si="15"/>
        <v>0.29616412213740456</v>
      </c>
      <c r="Q44" s="8">
        <f t="shared" si="16"/>
        <v>0.25495839451786589</v>
      </c>
      <c r="R44" s="8">
        <f t="shared" si="17"/>
        <v>0.14129967659227319</v>
      </c>
      <c r="S44" s="8">
        <f t="shared" si="18"/>
        <v>6.2398040753271142E-2</v>
      </c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6500-4A02-414E-B4F9-C05C576A81B6}">
  <dimension ref="A1:AF22"/>
  <sheetViews>
    <sheetView tabSelected="1" workbookViewId="0">
      <selection activeCell="X3" sqref="X3:X4"/>
    </sheetView>
  </sheetViews>
  <sheetFormatPr defaultRowHeight="15" x14ac:dyDescent="0.25"/>
  <cols>
    <col min="1" max="1" width="24.28515625" bestFit="1" customWidth="1"/>
    <col min="2" max="2" width="29.85546875" bestFit="1" customWidth="1"/>
    <col min="3" max="3" width="2" bestFit="1" customWidth="1"/>
    <col min="4" max="4" width="9.140625" bestFit="1" customWidth="1"/>
    <col min="5" max="5" width="18.5703125" bestFit="1" customWidth="1"/>
    <col min="7" max="7" width="29.7109375" bestFit="1" customWidth="1"/>
    <col min="8" max="8" width="28.28515625" bestFit="1" customWidth="1"/>
    <col min="9" max="9" width="29.85546875" bestFit="1" customWidth="1"/>
    <col min="10" max="10" width="24.28515625" customWidth="1"/>
    <col min="11" max="11" width="2" style="14" customWidth="1"/>
    <col min="12" max="12" width="24.28515625" bestFit="1" customWidth="1"/>
    <col min="13" max="13" width="29.85546875" bestFit="1" customWidth="1"/>
    <col min="14" max="14" width="2" bestFit="1" customWidth="1"/>
    <col min="16" max="16" width="18.5703125" bestFit="1" customWidth="1"/>
    <col min="18" max="18" width="29.7109375" bestFit="1" customWidth="1"/>
    <col min="19" max="19" width="28.28515625" bestFit="1" customWidth="1"/>
    <col min="20" max="20" width="29.85546875" bestFit="1" customWidth="1"/>
    <col min="21" max="21" width="24.28515625" bestFit="1" customWidth="1"/>
    <col min="22" max="22" width="1.42578125" style="14" customWidth="1"/>
    <col min="23" max="23" width="24.28515625" bestFit="1" customWidth="1"/>
    <col min="24" max="24" width="29.85546875" bestFit="1" customWidth="1"/>
    <col min="25" max="25" width="2" bestFit="1" customWidth="1"/>
    <col min="27" max="27" width="18.5703125" bestFit="1" customWidth="1"/>
    <col min="29" max="29" width="29.7109375" bestFit="1" customWidth="1"/>
    <col min="30" max="30" width="28.28515625" bestFit="1" customWidth="1"/>
    <col min="31" max="31" width="29.85546875" bestFit="1" customWidth="1"/>
    <col min="32" max="32" width="24.28515625" bestFit="1" customWidth="1"/>
  </cols>
  <sheetData>
    <row r="1" spans="1:32" ht="3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32" x14ac:dyDescent="0.25">
      <c r="B2" s="3" t="s">
        <v>8</v>
      </c>
      <c r="D2" s="3" t="s">
        <v>6</v>
      </c>
      <c r="E2" s="3" t="s">
        <v>7</v>
      </c>
      <c r="M2" s="2" t="s">
        <v>8</v>
      </c>
      <c r="O2" s="3" t="s">
        <v>6</v>
      </c>
      <c r="P2" s="3" t="s">
        <v>7</v>
      </c>
      <c r="X2" s="2" t="s">
        <v>8</v>
      </c>
      <c r="Z2" s="3" t="s">
        <v>6</v>
      </c>
      <c r="AA2" s="3" t="s">
        <v>7</v>
      </c>
    </row>
    <row r="3" spans="1:32" x14ac:dyDescent="0.25">
      <c r="A3" s="3" t="s">
        <v>4</v>
      </c>
      <c r="B3" s="10">
        <v>311.63</v>
      </c>
      <c r="C3" s="11" t="s">
        <v>2</v>
      </c>
      <c r="D3" s="10">
        <v>0.01</v>
      </c>
      <c r="E3" s="10" t="s">
        <v>0</v>
      </c>
      <c r="G3" s="3" t="s">
        <v>32</v>
      </c>
      <c r="H3" s="3" t="s">
        <v>12</v>
      </c>
      <c r="I3" s="3" t="s">
        <v>13</v>
      </c>
      <c r="L3" s="3" t="s">
        <v>4</v>
      </c>
      <c r="M3" s="10">
        <v>313.13</v>
      </c>
      <c r="N3" s="11" t="s">
        <v>2</v>
      </c>
      <c r="O3" s="10">
        <v>0.01</v>
      </c>
      <c r="P3" s="10" t="s">
        <v>0</v>
      </c>
      <c r="R3" s="3" t="s">
        <v>32</v>
      </c>
      <c r="S3" s="3" t="s">
        <v>12</v>
      </c>
      <c r="T3" s="3" t="s">
        <v>13</v>
      </c>
      <c r="W3" s="3" t="s">
        <v>4</v>
      </c>
      <c r="X3" s="10">
        <v>310.38</v>
      </c>
      <c r="Y3" s="11" t="s">
        <v>2</v>
      </c>
      <c r="Z3" s="10">
        <v>0.01</v>
      </c>
      <c r="AA3" s="10" t="s">
        <v>0</v>
      </c>
      <c r="AC3" s="3" t="s">
        <v>32</v>
      </c>
      <c r="AD3" s="3" t="s">
        <v>12</v>
      </c>
      <c r="AE3" s="3" t="s">
        <v>13</v>
      </c>
    </row>
    <row r="4" spans="1:32" x14ac:dyDescent="0.25">
      <c r="A4" s="3" t="s">
        <v>5</v>
      </c>
      <c r="B4" s="10">
        <v>211.77</v>
      </c>
      <c r="C4" s="10" t="s">
        <v>2</v>
      </c>
      <c r="D4" s="10">
        <v>0.01</v>
      </c>
      <c r="E4" s="10" t="s">
        <v>0</v>
      </c>
      <c r="G4" s="8">
        <v>0.16750000000000001</v>
      </c>
      <c r="H4" s="8">
        <v>5.8099999999999999E-2</v>
      </c>
      <c r="I4" s="8">
        <v>5.7099999999999998E-2</v>
      </c>
      <c r="L4" s="3" t="s">
        <v>5</v>
      </c>
      <c r="M4" s="10">
        <v>209.68</v>
      </c>
      <c r="N4" s="10" t="s">
        <v>2</v>
      </c>
      <c r="O4" s="10">
        <v>0.01</v>
      </c>
      <c r="P4" s="10" t="s">
        <v>0</v>
      </c>
      <c r="R4" s="8">
        <v>0.35460000000000003</v>
      </c>
      <c r="S4" s="8">
        <v>0.2024</v>
      </c>
      <c r="T4" s="8">
        <v>7.4899999999999994E-2</v>
      </c>
      <c r="W4" s="3" t="s">
        <v>5</v>
      </c>
      <c r="X4" s="10">
        <v>210.48</v>
      </c>
      <c r="Y4" s="10" t="s">
        <v>2</v>
      </c>
      <c r="Z4" s="10">
        <v>0.01</v>
      </c>
      <c r="AA4" s="10" t="s">
        <v>0</v>
      </c>
      <c r="AC4" s="8">
        <v>0.24510000000000001</v>
      </c>
      <c r="AD4" s="8">
        <v>0.43049999999999999</v>
      </c>
      <c r="AE4" s="8">
        <v>0.11119999999999999</v>
      </c>
    </row>
    <row r="5" spans="1:32" x14ac:dyDescent="0.25">
      <c r="A5" s="3" t="s">
        <v>3</v>
      </c>
      <c r="B5" s="10">
        <v>10</v>
      </c>
      <c r="C5" s="10" t="s">
        <v>2</v>
      </c>
      <c r="D5" s="10">
        <v>0.05</v>
      </c>
      <c r="E5" s="10" t="s">
        <v>1</v>
      </c>
      <c r="G5" s="8">
        <v>0.19470000000000001</v>
      </c>
      <c r="H5" s="8">
        <v>6.7299999999999999E-2</v>
      </c>
      <c r="I5" s="8">
        <v>6.6400000000000001E-2</v>
      </c>
      <c r="L5" s="3" t="s">
        <v>3</v>
      </c>
      <c r="M5" s="10">
        <v>10</v>
      </c>
      <c r="N5" s="10" t="s">
        <v>2</v>
      </c>
      <c r="O5" s="10">
        <v>0.05</v>
      </c>
      <c r="P5" s="10" t="s">
        <v>1</v>
      </c>
      <c r="R5" s="8">
        <v>0.27689999999999998</v>
      </c>
      <c r="S5" s="8">
        <v>0.36430000000000001</v>
      </c>
      <c r="T5" s="8">
        <v>0.1249</v>
      </c>
      <c r="W5" s="3" t="s">
        <v>3</v>
      </c>
      <c r="X5" s="10">
        <v>10</v>
      </c>
      <c r="Y5" s="10" t="s">
        <v>2</v>
      </c>
      <c r="Z5" s="10">
        <v>0.05</v>
      </c>
      <c r="AA5" s="10" t="s">
        <v>1</v>
      </c>
      <c r="AC5" s="8">
        <v>0.27950000000000003</v>
      </c>
      <c r="AD5" s="8">
        <v>0.3785</v>
      </c>
      <c r="AE5" s="8">
        <v>0.10879999999999999</v>
      </c>
    </row>
    <row r="6" spans="1:32" x14ac:dyDescent="0.25">
      <c r="G6" s="8">
        <v>0.22320000000000001</v>
      </c>
      <c r="H6" s="8">
        <v>7.1900000000000006E-2</v>
      </c>
      <c r="I6" s="8">
        <v>7.3499999999999996E-2</v>
      </c>
      <c r="R6" s="8">
        <v>0.32129999999999997</v>
      </c>
      <c r="S6" s="8">
        <v>0.1789</v>
      </c>
      <c r="T6" s="8">
        <v>6.7199999999999996E-2</v>
      </c>
      <c r="AC6" s="8">
        <v>0.1943</v>
      </c>
      <c r="AD6" s="8">
        <v>0.53939999999999999</v>
      </c>
      <c r="AE6" s="8">
        <v>0.1053</v>
      </c>
    </row>
    <row r="7" spans="1:32" x14ac:dyDescent="0.25">
      <c r="A7" s="2" t="s">
        <v>18</v>
      </c>
      <c r="B7" s="2" t="s">
        <v>19</v>
      </c>
      <c r="G7" s="8">
        <v>0.14829999999999999</v>
      </c>
      <c r="H7" s="8">
        <v>6.5299999999999997E-2</v>
      </c>
      <c r="I7" s="8">
        <v>6.6400000000000001E-2</v>
      </c>
      <c r="L7" s="2" t="s">
        <v>18</v>
      </c>
      <c r="M7" s="2" t="s">
        <v>19</v>
      </c>
      <c r="R7" s="8">
        <v>0.34300000000000003</v>
      </c>
      <c r="S7" s="8">
        <v>0.2959</v>
      </c>
      <c r="T7" s="8">
        <v>0.1125</v>
      </c>
      <c r="W7" s="2" t="s">
        <v>18</v>
      </c>
      <c r="X7" s="2" t="s">
        <v>19</v>
      </c>
      <c r="AC7" s="8">
        <v>0.24990000000000001</v>
      </c>
      <c r="AD7" s="8">
        <v>0.48020000000000002</v>
      </c>
      <c r="AE7" s="8">
        <v>0.1207</v>
      </c>
    </row>
    <row r="8" spans="1:32" x14ac:dyDescent="0.25">
      <c r="A8" s="8">
        <f>(H11-J11)/(I11-G11)</f>
        <v>0.63569634441396305</v>
      </c>
      <c r="B8" s="8">
        <f>H18-I18</f>
        <v>5.0054427921253863E-2</v>
      </c>
      <c r="L8" s="8">
        <f>(S11-U11)/(T11-R11)</f>
        <v>-0.66378839219126173</v>
      </c>
      <c r="M8" s="8">
        <f>S18-T18</f>
        <v>3.8954930396262993E-2</v>
      </c>
      <c r="R8" s="8">
        <v>0.24890000000000001</v>
      </c>
      <c r="S8" s="8">
        <v>0.24529999999999999</v>
      </c>
      <c r="T8" s="8">
        <v>8.7599999999999997E-2</v>
      </c>
      <c r="W8" s="8">
        <f>(AD11-AF11)/(AE11-AC11)</f>
        <v>-1.6006966955371216</v>
      </c>
      <c r="X8" s="8">
        <f>AD18-AE18</f>
        <v>-2.3771133336659422E-2</v>
      </c>
      <c r="AC8" s="8">
        <v>0.25659999999999999</v>
      </c>
      <c r="AD8" s="8">
        <v>0.3654</v>
      </c>
      <c r="AE8" s="8">
        <v>0.1008</v>
      </c>
    </row>
    <row r="9" spans="1:32" x14ac:dyDescent="0.25">
      <c r="A9" s="8">
        <f t="shared" ref="A9:A11" si="0">(H12-J12)/(I12-G12)</f>
        <v>0.64547104834396829</v>
      </c>
      <c r="B9" s="8">
        <f>H19-I19</f>
        <v>3.6221562874178548E-2</v>
      </c>
      <c r="L9" s="8">
        <f>(S12-U12)/(T12-R12)</f>
        <v>-1.3291473172954584</v>
      </c>
      <c r="M9" s="8">
        <f>S19-T19</f>
        <v>-9.2984694820716363E-3</v>
      </c>
      <c r="W9" s="8">
        <f t="shared" ref="W9:W12" si="1">(AD12-AF12)/(AE12-AC12)</f>
        <v>-1.280000717121986</v>
      </c>
      <c r="X9" s="8">
        <f>AD19-AE19</f>
        <v>-1.2681766033876801E-2</v>
      </c>
    </row>
    <row r="10" spans="1:32" x14ac:dyDescent="0.25">
      <c r="A10" s="8">
        <f t="shared" si="0"/>
        <v>0.73528189258854293</v>
      </c>
      <c r="B10" s="8">
        <f>H20-I20</f>
        <v>2.4114274955771842E-2</v>
      </c>
      <c r="G10" s="2" t="s">
        <v>10</v>
      </c>
      <c r="H10" s="2" t="s">
        <v>14</v>
      </c>
      <c r="I10" s="2" t="s">
        <v>9</v>
      </c>
      <c r="J10" s="2" t="s">
        <v>11</v>
      </c>
      <c r="L10" s="8">
        <f t="shared" ref="L9:L12" si="2">(S13-U13)/(T13-R13)</f>
        <v>-0.64853388192550809</v>
      </c>
      <c r="M10" s="8">
        <f>S20-T20</f>
        <v>5.0389317888234142E-2</v>
      </c>
      <c r="R10" s="2" t="s">
        <v>10</v>
      </c>
      <c r="S10" s="2" t="s">
        <v>14</v>
      </c>
      <c r="T10" s="2" t="s">
        <v>9</v>
      </c>
      <c r="U10" s="2" t="s">
        <v>11</v>
      </c>
      <c r="W10" s="8">
        <f t="shared" si="1"/>
        <v>-2.2713550145206285</v>
      </c>
      <c r="X10" s="8">
        <f>AD20-AE20</f>
        <v>-4.9614905630227329E-2</v>
      </c>
      <c r="AC10" s="2" t="s">
        <v>10</v>
      </c>
      <c r="AD10" s="2" t="s">
        <v>14</v>
      </c>
      <c r="AE10" s="2" t="s">
        <v>9</v>
      </c>
      <c r="AF10" s="2" t="s">
        <v>11</v>
      </c>
    </row>
    <row r="11" spans="1:32" x14ac:dyDescent="0.25">
      <c r="A11" s="8">
        <f t="shared" si="0"/>
        <v>0.73078669231806381</v>
      </c>
      <c r="B11" s="8">
        <f>H21-I21</f>
        <v>2.032026635902151E-2</v>
      </c>
      <c r="G11" s="8">
        <f>($B$5*0.01)/G4</f>
        <v>0.59701492537313428</v>
      </c>
      <c r="H11" s="8">
        <f>($B$5*0.01)/H4</f>
        <v>1.7211703958691911</v>
      </c>
      <c r="I11" s="8">
        <f>($B$5*0.01)/I4</f>
        <v>1.7513134851138354</v>
      </c>
      <c r="J11" s="8">
        <f>(G18-(H11*($B$4*0.001)))/($B$3*0.001)</f>
        <v>0.98738702107972476</v>
      </c>
      <c r="L11" s="8">
        <f t="shared" si="2"/>
        <v>-0.87028901938626968</v>
      </c>
      <c r="M11" s="8">
        <f>S21-T21</f>
        <v>5.4355293549946115E-3</v>
      </c>
      <c r="R11" s="8">
        <f>($M$5*0.01)/R4</f>
        <v>0.28200789622109418</v>
      </c>
      <c r="S11" s="8">
        <f>($M$5*0.01)/S4</f>
        <v>0.49407114624505932</v>
      </c>
      <c r="T11" s="8">
        <f>($M$5*0.01)/T4</f>
        <v>1.3351134846461952</v>
      </c>
      <c r="U11" s="8">
        <f>(R18-(S11*($M$4*0.001)))/($M$3*0.001)</f>
        <v>1.1931104115933897</v>
      </c>
      <c r="W11" s="8">
        <f t="shared" si="1"/>
        <v>-1.7525077851109132</v>
      </c>
      <c r="X11" s="8">
        <f>AD21-AE21</f>
        <v>-2.3958383397530689E-2</v>
      </c>
      <c r="AC11" s="8">
        <f>($B$5*0.01)/AC4</f>
        <v>0.40799673602611181</v>
      </c>
      <c r="AD11" s="8">
        <f>($B$5*0.01)/AD4</f>
        <v>0.23228803716608595</v>
      </c>
      <c r="AE11" s="8">
        <f>($B$5*0.01)/AE4</f>
        <v>0.89928057553956842</v>
      </c>
      <c r="AF11" s="18">
        <f>(AC18-(AD11*($B$4*0.001)))/($B$3*0.001)</f>
        <v>1.0186844556460655</v>
      </c>
    </row>
    <row r="12" spans="1:32" x14ac:dyDescent="0.25">
      <c r="G12" s="8">
        <f t="shared" ref="G12:I14" si="3">($B$5*0.01)/G5</f>
        <v>0.51361068310220848</v>
      </c>
      <c r="H12" s="8">
        <f t="shared" si="3"/>
        <v>1.4858841010401189</v>
      </c>
      <c r="I12" s="8">
        <f t="shared" si="3"/>
        <v>1.5060240963855422</v>
      </c>
      <c r="J12" s="8">
        <f>(G19-(H12*($B$4*0.001)))/($B$3*0.001)</f>
        <v>0.84530997477750958</v>
      </c>
      <c r="L12" s="8">
        <f t="shared" si="2"/>
        <v>-0.98669257892001005</v>
      </c>
      <c r="M12" s="8">
        <f>S22-T22</f>
        <v>9.0853801209114793E-4</v>
      </c>
      <c r="R12" s="8">
        <f t="shared" ref="R12:T15" si="4">($M$5*0.01)/R5</f>
        <v>0.36114120621162882</v>
      </c>
      <c r="S12" s="8">
        <f t="shared" si="4"/>
        <v>0.27449903925336261</v>
      </c>
      <c r="T12" s="8">
        <f t="shared" si="4"/>
        <v>0.80064051240992795</v>
      </c>
      <c r="U12" s="8">
        <f t="shared" ref="U12:U15" si="5">(R19-(S12*($M$4*0.001)))/($M$3*0.001)</f>
        <v>0.85865836304004717</v>
      </c>
      <c r="W12" s="8">
        <f t="shared" si="1"/>
        <v>-1.3235548318064565</v>
      </c>
      <c r="X12" s="8">
        <f>AD22-AE22</f>
        <v>-1.7196550363933999E-2</v>
      </c>
      <c r="AC12" s="8">
        <f t="shared" ref="AC12:AE12" si="6">($B$5*0.01)/AC5</f>
        <v>0.35778175313059035</v>
      </c>
      <c r="AD12" s="8">
        <f t="shared" si="6"/>
        <v>0.26420079260237783</v>
      </c>
      <c r="AE12" s="8">
        <f t="shared" si="6"/>
        <v>0.91911764705882359</v>
      </c>
      <c r="AF12" s="18">
        <f>(AC19-(AD12*($B$4*0.001)))/($B$3*0.001)</f>
        <v>0.98271113937682741</v>
      </c>
    </row>
    <row r="13" spans="1:32" x14ac:dyDescent="0.25">
      <c r="G13" s="8">
        <f t="shared" si="3"/>
        <v>0.44802867383512546</v>
      </c>
      <c r="H13" s="8">
        <f t="shared" si="3"/>
        <v>1.3908205841446453</v>
      </c>
      <c r="I13" s="8">
        <f t="shared" si="3"/>
        <v>1.360544217687075</v>
      </c>
      <c r="J13" s="8">
        <f>(G20-(H13*($B$4*0.001)))/($B$3*0.001)</f>
        <v>0.71986442804472028</v>
      </c>
      <c r="R13" s="8">
        <f t="shared" si="4"/>
        <v>0.31123560535325245</v>
      </c>
      <c r="S13" s="8">
        <f t="shared" si="4"/>
        <v>0.55897149245388489</v>
      </c>
      <c r="T13" s="8">
        <f t="shared" si="4"/>
        <v>1.4880952380952384</v>
      </c>
      <c r="U13" s="8">
        <f t="shared" si="5"/>
        <v>1.3222048385574727</v>
      </c>
      <c r="AC13" s="8">
        <f t="shared" ref="AC13:AE13" si="7">($B$5*0.01)/AC6</f>
        <v>0.51466803911477099</v>
      </c>
      <c r="AD13" s="8">
        <f t="shared" si="7"/>
        <v>0.18539117538005193</v>
      </c>
      <c r="AE13" s="8">
        <f t="shared" si="7"/>
        <v>0.94966761633428298</v>
      </c>
      <c r="AF13" s="18">
        <f>(AC20-(AD13*($B$4*0.001)))/($B$3*0.001)</f>
        <v>1.1734296464119438</v>
      </c>
    </row>
    <row r="14" spans="1:32" x14ac:dyDescent="0.25">
      <c r="G14" s="8">
        <f t="shared" si="3"/>
        <v>0.67430883344571824</v>
      </c>
      <c r="H14" s="8">
        <f t="shared" si="3"/>
        <v>1.5313935681470139</v>
      </c>
      <c r="I14" s="8">
        <f t="shared" si="3"/>
        <v>1.5060240963855422</v>
      </c>
      <c r="J14" s="8">
        <f>(G21-(H14*($B$4*0.001)))/($B$3*0.001)</f>
        <v>0.92358712219277117</v>
      </c>
      <c r="R14" s="8">
        <f t="shared" si="4"/>
        <v>0.29154518950437319</v>
      </c>
      <c r="S14" s="8">
        <f t="shared" si="4"/>
        <v>0.33795201081446435</v>
      </c>
      <c r="T14" s="8">
        <f t="shared" si="4"/>
        <v>0.88888888888888895</v>
      </c>
      <c r="U14" s="8">
        <f t="shared" si="5"/>
        <v>0.85781367318838131</v>
      </c>
      <c r="AC14" s="8">
        <f t="shared" ref="AC14:AE15" si="8">($B$5*0.01)/AC7</f>
        <v>0.40016006402561027</v>
      </c>
      <c r="AD14" s="8">
        <f t="shared" si="8"/>
        <v>0.20824656393169513</v>
      </c>
      <c r="AE14" s="8">
        <f t="shared" si="8"/>
        <v>0.82850041425020715</v>
      </c>
      <c r="AF14" s="18">
        <f>(AC21-(AD14*($B$4*0.001)))/($B$3*0.001)</f>
        <v>0.95891636237743627</v>
      </c>
    </row>
    <row r="15" spans="1:32" x14ac:dyDescent="0.25">
      <c r="R15" s="8">
        <f t="shared" si="4"/>
        <v>0.40176777822418641</v>
      </c>
      <c r="S15" s="8">
        <f t="shared" si="4"/>
        <v>0.40766408479412969</v>
      </c>
      <c r="T15" s="8">
        <f t="shared" si="4"/>
        <v>1.1415525114155252</v>
      </c>
      <c r="U15" s="8">
        <f t="shared" si="5"/>
        <v>1.1376041910323433</v>
      </c>
      <c r="AC15" s="8">
        <f t="shared" si="8"/>
        <v>0.38971161340607952</v>
      </c>
      <c r="AD15" s="8">
        <f t="shared" si="8"/>
        <v>0.27367268746579093</v>
      </c>
      <c r="AE15" s="8">
        <f t="shared" si="8"/>
        <v>0.99206349206349209</v>
      </c>
      <c r="AF15" s="18">
        <f>(AC22-(AD15*($B$4*0.001)))/($B$3*0.001)</f>
        <v>1.0709184269105056</v>
      </c>
    </row>
    <row r="17" spans="7:31" x14ac:dyDescent="0.25">
      <c r="G17" s="2" t="s">
        <v>15</v>
      </c>
      <c r="H17" s="2" t="s">
        <v>16</v>
      </c>
      <c r="I17" s="2" t="s">
        <v>17</v>
      </c>
      <c r="R17" s="2" t="s">
        <v>15</v>
      </c>
      <c r="S17" s="2" t="s">
        <v>16</v>
      </c>
      <c r="T17" s="2" t="s">
        <v>17</v>
      </c>
      <c r="AC17" s="2" t="s">
        <v>15</v>
      </c>
      <c r="AD17" s="2" t="s">
        <v>16</v>
      </c>
      <c r="AE17" s="2" t="s">
        <v>17</v>
      </c>
    </row>
    <row r="18" spans="7:31" x14ac:dyDescent="0.25">
      <c r="G18" s="23">
        <f>((G11*$B$4)+(I11*$B$3))*0.001</f>
        <v>0.67219167211229325</v>
      </c>
      <c r="H18" s="23">
        <f>0.5*(($B$3*0.001*I11*I11)+($B$4*0.001*G11*G11))</f>
        <v>0.5156402726634135</v>
      </c>
      <c r="I18" s="23">
        <f>0.5*(($B$3*0.001*J11*J11)+($B$4*0.001*H11*H11))</f>
        <v>0.46558584474215964</v>
      </c>
      <c r="R18" s="23">
        <f>((R11*$M$4)+(T11*$M$3))*0.001</f>
        <v>0.47719550112690212</v>
      </c>
      <c r="S18" s="23">
        <f>0.5*(($M$3*0.001*T11*T11)+($M$4*0.001*R11*R11))</f>
        <v>0.28741926203165508</v>
      </c>
      <c r="T18" s="23">
        <f>0.5*(($M$3*0.001*U11*U11)+($M$4*0.001*S11*S11))</f>
        <v>0.24846433163539208</v>
      </c>
      <c r="AC18" s="23">
        <f>((AC11*$B$4)+(AE11*$B$3))*0.001</f>
        <v>0.3666442745436454</v>
      </c>
      <c r="AD18" s="23">
        <f>0.5*(($B$3*0.001*AE11*AE11)+($B$4*0.001*AC11*AC11))</f>
        <v>0.14363421445200181</v>
      </c>
      <c r="AE18" s="23">
        <f>0.5*(($B$3*0.001*AF11*AF11)+($B$4*0.001*AD11*AD11))</f>
        <v>0.16740534778866123</v>
      </c>
    </row>
    <row r="19" spans="7:31" x14ac:dyDescent="0.25">
      <c r="G19" s="23">
        <f>((G12*$B$4)+(I12*$B$3))*0.001</f>
        <v>0.57808962351718129</v>
      </c>
      <c r="H19" s="23">
        <f>0.5*(($B$3*0.001*I12*I12)+($B$4*0.001*G12*G12))</f>
        <v>0.38133737067041679</v>
      </c>
      <c r="I19" s="23">
        <f>0.5*(($B$3*0.001*J12*J12)+($B$4*0.001*H12*H12))</f>
        <v>0.34511580779623824</v>
      </c>
      <c r="R19" s="23">
        <f t="shared" ref="R19:R22" si="9">((R12*$M$4)+(T12*$M$3))*0.001</f>
        <v>0.32642865176937508</v>
      </c>
      <c r="S19" s="23">
        <f t="shared" ref="S19:T22" si="10">0.5*(($M$3*0.001*T12*T12)+($M$4*0.001*R12*R12))</f>
        <v>0.11403565941367744</v>
      </c>
      <c r="T19" s="23">
        <f t="shared" si="10"/>
        <v>0.12333412889574907</v>
      </c>
      <c r="AC19" s="23">
        <f>((AC12*$B$4)+(AE12*$B$3))*0.001</f>
        <v>0.36219207421340632</v>
      </c>
      <c r="AD19" s="23">
        <f>0.5*(($B$3*0.001*AE12*AE12)+($B$4*0.001*AC12*AC12))</f>
        <v>0.14518307116349061</v>
      </c>
      <c r="AE19" s="23">
        <f>0.5*(($B$3*0.001*AF12*AF12)+($B$4*0.001*AD12*AD12))</f>
        <v>0.15786483719736741</v>
      </c>
    </row>
    <row r="20" spans="7:31" x14ac:dyDescent="0.25">
      <c r="G20" s="23">
        <f>((G13*$B$4)+(I13*$B$3))*0.001</f>
        <v>0.51886542681588776</v>
      </c>
      <c r="H20" s="23">
        <f>0.5*(($B$3*0.001*I13*I13)+($B$4*0.001*G13*G13))</f>
        <v>0.30968038224548894</v>
      </c>
      <c r="I20" s="23">
        <f>0.5*(($B$3*0.001*J13*J13)+($B$4*0.001*H13*H13))</f>
        <v>0.2855661072897171</v>
      </c>
      <c r="R20" s="23">
        <f t="shared" si="9"/>
        <v>0.53122714363523205</v>
      </c>
      <c r="S20" s="23">
        <f t="shared" si="10"/>
        <v>0.35685743117220881</v>
      </c>
      <c r="T20" s="23">
        <f t="shared" si="10"/>
        <v>0.30646811328397466</v>
      </c>
      <c r="AC20" s="23">
        <f>((AC13*$B$4)+(AE13*$B$3))*0.001</f>
        <v>0.40493616992158765</v>
      </c>
      <c r="AD20" s="23">
        <f>0.5*(($B$3*0.001*AE13*AE13)+($B$4*0.001*AC13*AC13))</f>
        <v>0.16857180965324586</v>
      </c>
      <c r="AE20" s="23">
        <f>0.5*(($B$3*0.001*AF13*AF13)+($B$4*0.001*AD13*AD13))</f>
        <v>0.21818671528347319</v>
      </c>
    </row>
    <row r="21" spans="7:31" x14ac:dyDescent="0.25">
      <c r="G21" s="23">
        <f>((G14*$B$4)+(I14*$B$3))*0.001</f>
        <v>0.61212067081542643</v>
      </c>
      <c r="H21" s="23">
        <f>0.5*(($B$3*0.001*I14*I14)+($B$4*0.001*G14*G14))</f>
        <v>0.40155044329749223</v>
      </c>
      <c r="I21" s="23">
        <f>0.5*(($B$3*0.001*J14*J14)+($B$4*0.001*H14*H14))</f>
        <v>0.38123017693847072</v>
      </c>
      <c r="R21" s="23">
        <f t="shared" si="9"/>
        <v>0.33946897311305474</v>
      </c>
      <c r="S21" s="23">
        <f t="shared" si="10"/>
        <v>0.13261693197667179</v>
      </c>
      <c r="T21" s="23">
        <f t="shared" si="10"/>
        <v>0.12718140262167718</v>
      </c>
      <c r="AC21" s="23">
        <f>((AC14*$B$4)+(AE14*$B$3))*0.001</f>
        <v>0.34292748085149555</v>
      </c>
      <c r="AD21" s="23">
        <f>0.5*(($B$3*0.001*AE14*AE14)+($B$4*0.001*AC14*AC14))</f>
        <v>0.12390859310346218</v>
      </c>
      <c r="AE21" s="23">
        <f>0.5*(($B$3*0.001*AF14*AF14)+($B$4*0.001*AD14*AD14))</f>
        <v>0.14786697650099287</v>
      </c>
    </row>
    <row r="22" spans="7:31" x14ac:dyDescent="0.25">
      <c r="R22" s="23">
        <f t="shared" si="9"/>
        <v>0.44169700563759079</v>
      </c>
      <c r="S22" s="23">
        <f t="shared" si="10"/>
        <v>0.22094944329719557</v>
      </c>
      <c r="T22" s="23">
        <f t="shared" si="10"/>
        <v>0.22004090528510442</v>
      </c>
      <c r="AC22" s="23">
        <f>((AC15*$B$4)+(AE15*$B$3))*0.001</f>
        <v>0.39168597440275149</v>
      </c>
      <c r="AD22" s="23">
        <f>0.5*(($B$3*0.001*AE15*AE15)+($B$4*0.001*AC15*AC15))</f>
        <v>0.1694328599024317</v>
      </c>
      <c r="AE22" s="23">
        <f>0.5*(($B$3*0.001*AF15*AF15)+($B$4*0.001*AD15*AD15))</f>
        <v>0.1866294102663657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9181-34CA-4196-949E-89368AB89236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Introdução</vt:lpstr>
      <vt:lpstr>Dados recolhidos (ELÁSTICO)</vt:lpstr>
      <vt:lpstr>Dados recolhidos (P.INELÁSTICO)</vt:lpstr>
      <vt:lpstr>Dados recolhidos (INELÁSTICO)</vt:lpstr>
      <vt:lpstr>Velocidades iniciais |= 0</vt:lpstr>
      <vt:lpstr>Possiveis 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2021-10-19T16:08:59Z</dcterms:created>
  <dcterms:modified xsi:type="dcterms:W3CDTF">2021-10-20T21:09:20Z</dcterms:modified>
</cp:coreProperties>
</file>