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uis\Desktop\Escola\Ano Atual\Labratório Mecânica Newtoniana\TP3\"/>
    </mc:Choice>
  </mc:AlternateContent>
  <xr:revisionPtr revIDLastSave="0" documentId="13_ncr:1_{5BDBE53F-114D-4718-8EA7-39F648428E18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Cobre" sheetId="3" r:id="rId1"/>
    <sheet name="Latão" sheetId="4" r:id="rId2"/>
    <sheet name="Aço" sheetId="5" r:id="rId3"/>
    <sheet name="Aluminio" sheetId="7" r:id="rId4"/>
    <sheet name="Vidro" sheetId="8" r:id="rId5"/>
    <sheet name="Cobre (s.v.r)" sheetId="9" r:id="rId6"/>
    <sheet name="Latão (s.v.r)" sheetId="10" r:id="rId7"/>
    <sheet name="Aço (s.v.r)" sheetId="11" r:id="rId8"/>
    <sheet name="Aluminio (s.v.r)" sheetId="12" r:id="rId9"/>
    <sheet name="Vidro (s.v.r)" sheetId="13" r:id="rId10"/>
    <sheet name="Notas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1" l="1"/>
  <c r="A15" i="11"/>
  <c r="J3" i="13" a="1"/>
  <c r="J3" i="13" s="1"/>
  <c r="J16" i="13" a="1"/>
  <c r="J16" i="13" s="1"/>
  <c r="A14" i="13"/>
  <c r="A13" i="13"/>
  <c r="G11" i="13"/>
  <c r="G10" i="13"/>
  <c r="G9" i="13"/>
  <c r="G8" i="13"/>
  <c r="H4" i="13"/>
  <c r="H5" i="13" s="1"/>
  <c r="B5" i="13"/>
  <c r="I4" i="13"/>
  <c r="G3" i="13"/>
  <c r="G2" i="13"/>
  <c r="J16" i="12" a="1"/>
  <c r="J16" i="12" s="1"/>
  <c r="A14" i="12"/>
  <c r="A13" i="12"/>
  <c r="G11" i="12"/>
  <c r="G10" i="12"/>
  <c r="G9" i="12"/>
  <c r="H5" i="12"/>
  <c r="H6" i="12" s="1"/>
  <c r="B5" i="12"/>
  <c r="H4" i="12"/>
  <c r="G4" i="12"/>
  <c r="G3" i="12"/>
  <c r="G2" i="12"/>
  <c r="J16" i="11" a="1"/>
  <c r="J16" i="11" s="1"/>
  <c r="L23" i="11"/>
  <c r="G11" i="11"/>
  <c r="L10" i="11"/>
  <c r="G10" i="11"/>
  <c r="G9" i="11"/>
  <c r="H5" i="11"/>
  <c r="H6" i="11" s="1"/>
  <c r="B5" i="11"/>
  <c r="H4" i="11"/>
  <c r="G4" i="11"/>
  <c r="G3" i="11"/>
  <c r="G2" i="11"/>
  <c r="J16" i="4" a="1"/>
  <c r="J16" i="4" s="1"/>
  <c r="J3" i="4" a="1"/>
  <c r="J3" i="4" s="1"/>
  <c r="J16" i="10" a="1"/>
  <c r="J16" i="10" s="1"/>
  <c r="J3" i="10" a="1"/>
  <c r="J3" i="10" s="1"/>
  <c r="H4" i="10"/>
  <c r="I4" i="10"/>
  <c r="G10" i="10"/>
  <c r="G9" i="10"/>
  <c r="G8" i="10"/>
  <c r="G7" i="10"/>
  <c r="G3" i="10"/>
  <c r="G2" i="10"/>
  <c r="L23" i="10"/>
  <c r="L10" i="10"/>
  <c r="B5" i="10"/>
  <c r="L23" i="9"/>
  <c r="G10" i="9"/>
  <c r="L10" i="9"/>
  <c r="G9" i="9"/>
  <c r="G8" i="9"/>
  <c r="H5" i="9"/>
  <c r="H6" i="9" s="1"/>
  <c r="G5" i="9"/>
  <c r="B5" i="9"/>
  <c r="H4" i="9"/>
  <c r="G4" i="9" s="1"/>
  <c r="G3" i="9"/>
  <c r="G2" i="9"/>
  <c r="AR3" i="8"/>
  <c r="AJ6" i="8"/>
  <c r="AJ7" i="8"/>
  <c r="AJ8" i="8"/>
  <c r="AJ9" i="8"/>
  <c r="AJ10" i="8"/>
  <c r="AJ11" i="8"/>
  <c r="AM12" i="8" s="1"/>
  <c r="AJ12" i="8"/>
  <c r="AJ5" i="8"/>
  <c r="AM8" i="8" s="1"/>
  <c r="X3" i="8"/>
  <c r="AH3" i="8"/>
  <c r="L24" i="8"/>
  <c r="G4" i="8"/>
  <c r="G5" i="8"/>
  <c r="G6" i="8"/>
  <c r="G7" i="8"/>
  <c r="G8" i="8"/>
  <c r="G9" i="8"/>
  <c r="G10" i="8"/>
  <c r="G11" i="8"/>
  <c r="G12" i="8"/>
  <c r="G13" i="8"/>
  <c r="G3" i="8"/>
  <c r="H4" i="8"/>
  <c r="H5" i="8" s="1"/>
  <c r="P5" i="8"/>
  <c r="AJ4" i="8"/>
  <c r="G2" i="8"/>
  <c r="B5" i="8"/>
  <c r="A14" i="8"/>
  <c r="A13" i="8"/>
  <c r="P14" i="8"/>
  <c r="Z13" i="8"/>
  <c r="X11" i="8"/>
  <c r="AH10" i="8"/>
  <c r="AR10" i="8" s="1"/>
  <c r="AR11" i="8" s="1"/>
  <c r="P11" i="8"/>
  <c r="P10" i="8"/>
  <c r="AR3" i="7"/>
  <c r="AH3" i="7"/>
  <c r="AH4" i="7" s="1"/>
  <c r="AH5" i="7" s="1"/>
  <c r="X3" i="7"/>
  <c r="L11" i="7"/>
  <c r="A14" i="7"/>
  <c r="A13" i="7"/>
  <c r="B5" i="7"/>
  <c r="G13" i="7"/>
  <c r="G12" i="7"/>
  <c r="G11" i="7"/>
  <c r="G10" i="7"/>
  <c r="G9" i="7"/>
  <c r="H4" i="7"/>
  <c r="H5" i="7" s="1"/>
  <c r="G4" i="7"/>
  <c r="Z5" i="7" s="1"/>
  <c r="G3" i="7"/>
  <c r="G2" i="7"/>
  <c r="J16" i="5" a="1"/>
  <c r="J16" i="5" s="1"/>
  <c r="J3" i="5" a="1"/>
  <c r="J3" i="5" s="1"/>
  <c r="P14" i="7"/>
  <c r="Z13" i="7"/>
  <c r="P13" i="7"/>
  <c r="X11" i="7"/>
  <c r="Z12" i="7"/>
  <c r="AR10" i="7"/>
  <c r="AR11" i="7" s="1"/>
  <c r="AH10" i="7"/>
  <c r="AH11" i="7" s="1"/>
  <c r="AJ11" i="7"/>
  <c r="AJ10" i="7"/>
  <c r="AR10" i="5"/>
  <c r="AR11" i="5" s="1"/>
  <c r="AR3" i="5"/>
  <c r="AM12" i="5"/>
  <c r="AL12" i="5"/>
  <c r="AM8" i="5"/>
  <c r="AL8" i="5"/>
  <c r="AB4" i="5"/>
  <c r="AH4" i="5" s="1"/>
  <c r="AM4" i="5"/>
  <c r="AL4" i="5"/>
  <c r="AJ12" i="5"/>
  <c r="AJ5" i="5"/>
  <c r="AJ6" i="5"/>
  <c r="AJ7" i="5"/>
  <c r="AJ8" i="5"/>
  <c r="AJ9" i="5"/>
  <c r="AJ10" i="5"/>
  <c r="AJ11" i="5"/>
  <c r="AH3" i="5"/>
  <c r="AC12" i="5"/>
  <c r="AB12" i="5"/>
  <c r="AC8" i="5"/>
  <c r="AB8" i="5"/>
  <c r="AC4" i="5"/>
  <c r="S12" i="5"/>
  <c r="R12" i="5"/>
  <c r="S8" i="5"/>
  <c r="R8" i="5"/>
  <c r="S4" i="5"/>
  <c r="R4" i="5"/>
  <c r="AH10" i="5"/>
  <c r="Z12" i="5"/>
  <c r="Z13" i="5"/>
  <c r="X3" i="5"/>
  <c r="P13" i="5"/>
  <c r="P14" i="5"/>
  <c r="L23" i="5"/>
  <c r="L10" i="5"/>
  <c r="G13" i="5"/>
  <c r="G12" i="5"/>
  <c r="G11" i="5"/>
  <c r="G10" i="5"/>
  <c r="G9" i="5"/>
  <c r="H5" i="5"/>
  <c r="H6" i="5" s="1"/>
  <c r="G5" i="5"/>
  <c r="H4" i="5"/>
  <c r="G4" i="5" s="1"/>
  <c r="G3" i="5"/>
  <c r="AJ4" i="5" s="1"/>
  <c r="G2" i="5"/>
  <c r="B5" i="5"/>
  <c r="X11" i="5"/>
  <c r="P11" i="5"/>
  <c r="P12" i="5"/>
  <c r="AH11" i="5"/>
  <c r="Z10" i="5"/>
  <c r="AR3" i="4"/>
  <c r="AL8" i="4"/>
  <c r="AN4" i="4"/>
  <c r="AL4" i="4"/>
  <c r="AR10" i="4"/>
  <c r="AR11" i="4" s="1"/>
  <c r="AH10" i="4"/>
  <c r="AH11" i="4" s="1"/>
  <c r="P4" i="4"/>
  <c r="P5" i="4"/>
  <c r="X11" i="4"/>
  <c r="AR3" i="3"/>
  <c r="AM12" i="3"/>
  <c r="AL12" i="3"/>
  <c r="AL8" i="3"/>
  <c r="AN8" i="3" s="1"/>
  <c r="AN4" i="3"/>
  <c r="AM4" i="3"/>
  <c r="AL4" i="3"/>
  <c r="AJ5" i="3"/>
  <c r="AJ6" i="3"/>
  <c r="AJ7" i="3"/>
  <c r="AJ8" i="3"/>
  <c r="AJ9" i="3"/>
  <c r="AJ10" i="3"/>
  <c r="AJ4" i="3"/>
  <c r="AR10" i="3"/>
  <c r="AR11" i="3" s="1"/>
  <c r="AM8" i="3"/>
  <c r="AH10" i="3"/>
  <c r="AH11" i="3" s="1"/>
  <c r="X11" i="3"/>
  <c r="AD4" i="4"/>
  <c r="AN12" i="4"/>
  <c r="AD8" i="4"/>
  <c r="AN8" i="4"/>
  <c r="AM4" i="4"/>
  <c r="AM12" i="4"/>
  <c r="AL12" i="4"/>
  <c r="AM8" i="4"/>
  <c r="AJ6" i="4"/>
  <c r="AJ7" i="4"/>
  <c r="AJ8" i="4"/>
  <c r="AJ9" i="4"/>
  <c r="AJ10" i="4"/>
  <c r="AJ5" i="4"/>
  <c r="AJ4" i="4"/>
  <c r="AH5" i="4"/>
  <c r="AH3" i="4"/>
  <c r="AH4" i="4"/>
  <c r="X3" i="4"/>
  <c r="L23" i="4"/>
  <c r="L10" i="4"/>
  <c r="G4" i="4"/>
  <c r="G5" i="4"/>
  <c r="G6" i="4"/>
  <c r="G7" i="4"/>
  <c r="G8" i="4"/>
  <c r="G9" i="4"/>
  <c r="G10" i="4"/>
  <c r="Z11" i="4" s="1"/>
  <c r="G11" i="4"/>
  <c r="G12" i="4"/>
  <c r="G3" i="4"/>
  <c r="G2" i="4"/>
  <c r="H4" i="4"/>
  <c r="H5" i="4" s="1"/>
  <c r="B5" i="4"/>
  <c r="P12" i="4"/>
  <c r="Z9" i="4"/>
  <c r="Z10" i="4"/>
  <c r="P9" i="4"/>
  <c r="Z4" i="4"/>
  <c r="AH3" i="3"/>
  <c r="AH4" i="3" s="1"/>
  <c r="AH5" i="3" s="1"/>
  <c r="AD12" i="3"/>
  <c r="AD8" i="3"/>
  <c r="AD4" i="3"/>
  <c r="T4" i="3"/>
  <c r="AB4" i="3"/>
  <c r="AC4" i="3"/>
  <c r="Z11" i="3"/>
  <c r="AC12" i="3" s="1"/>
  <c r="X5" i="3"/>
  <c r="X4" i="3"/>
  <c r="X3" i="3"/>
  <c r="S12" i="3"/>
  <c r="R12" i="3"/>
  <c r="S8" i="3"/>
  <c r="R8" i="3"/>
  <c r="S4" i="3"/>
  <c r="R4" i="3"/>
  <c r="P12" i="3"/>
  <c r="P11" i="3"/>
  <c r="P6" i="3"/>
  <c r="P5" i="3"/>
  <c r="P4" i="3"/>
  <c r="AC8" i="3"/>
  <c r="AB8" i="3"/>
  <c r="Z5" i="3"/>
  <c r="Z6" i="3"/>
  <c r="Z7" i="3"/>
  <c r="Z8" i="3"/>
  <c r="Z9" i="3"/>
  <c r="Z10" i="3"/>
  <c r="Z4" i="3"/>
  <c r="P7" i="3"/>
  <c r="P8" i="3"/>
  <c r="P9" i="3"/>
  <c r="P10" i="3"/>
  <c r="J23" i="3"/>
  <c r="L24" i="3"/>
  <c r="J16" i="3" a="1"/>
  <c r="J16" i="3" s="1"/>
  <c r="L23" i="3"/>
  <c r="L11" i="3"/>
  <c r="J3" i="3" a="1"/>
  <c r="J3" i="3" s="1"/>
  <c r="G12" i="3"/>
  <c r="G11" i="3"/>
  <c r="G10" i="3"/>
  <c r="G9" i="3"/>
  <c r="G8" i="3"/>
  <c r="H4" i="3"/>
  <c r="H5" i="3" s="1"/>
  <c r="G3" i="3"/>
  <c r="G2" i="3"/>
  <c r="B5" i="3"/>
  <c r="L10" i="3"/>
  <c r="G5" i="13" l="1"/>
  <c r="H6" i="13"/>
  <c r="G4" i="13"/>
  <c r="G6" i="12"/>
  <c r="H7" i="12"/>
  <c r="G5" i="12"/>
  <c r="H7" i="11"/>
  <c r="G6" i="11"/>
  <c r="G5" i="11"/>
  <c r="G4" i="10"/>
  <c r="H5" i="10"/>
  <c r="H7" i="9"/>
  <c r="G7" i="9" s="1"/>
  <c r="J16" i="9" s="1" a="1"/>
  <c r="J16" i="9" s="1"/>
  <c r="G6" i="9"/>
  <c r="J3" i="9" a="1"/>
  <c r="AL12" i="8"/>
  <c r="AL8" i="8"/>
  <c r="H6" i="8"/>
  <c r="P12" i="8"/>
  <c r="Z10" i="8"/>
  <c r="Z5" i="8"/>
  <c r="Z11" i="8"/>
  <c r="Z12" i="8"/>
  <c r="P13" i="8"/>
  <c r="AH11" i="8"/>
  <c r="Z4" i="8"/>
  <c r="P4" i="8"/>
  <c r="H6" i="7"/>
  <c r="G5" i="7"/>
  <c r="AJ4" i="7"/>
  <c r="P5" i="7"/>
  <c r="Z4" i="7"/>
  <c r="P12" i="7"/>
  <c r="AJ12" i="7"/>
  <c r="P11" i="7"/>
  <c r="P4" i="7"/>
  <c r="P10" i="7"/>
  <c r="Z10" i="7"/>
  <c r="Z11" i="7"/>
  <c r="AJ5" i="7"/>
  <c r="G6" i="5"/>
  <c r="H7" i="5"/>
  <c r="Z5" i="5"/>
  <c r="P5" i="5"/>
  <c r="Z4" i="5"/>
  <c r="P10" i="5"/>
  <c r="P4" i="5"/>
  <c r="Z11" i="5"/>
  <c r="AR4" i="4"/>
  <c r="AN12" i="3"/>
  <c r="P6" i="4"/>
  <c r="H6" i="4"/>
  <c r="Z5" i="4"/>
  <c r="Z6" i="4"/>
  <c r="P11" i="4"/>
  <c r="P10" i="4"/>
  <c r="AB12" i="3"/>
  <c r="T12" i="3"/>
  <c r="T8" i="3"/>
  <c r="N23" i="3"/>
  <c r="G5" i="3"/>
  <c r="H6" i="3"/>
  <c r="G4" i="3"/>
  <c r="G6" i="13" l="1"/>
  <c r="H7" i="13"/>
  <c r="G7" i="13" s="1"/>
  <c r="G7" i="12"/>
  <c r="H8" i="12"/>
  <c r="G8" i="12" s="1"/>
  <c r="H8" i="11"/>
  <c r="G8" i="11" s="1"/>
  <c r="G7" i="11"/>
  <c r="G5" i="10"/>
  <c r="H6" i="10"/>
  <c r="G6" i="10" s="1"/>
  <c r="J3" i="9"/>
  <c r="J10" i="9" s="1"/>
  <c r="N10" i="9" s="1"/>
  <c r="L11" i="9"/>
  <c r="J23" i="9"/>
  <c r="N23" i="9" s="1"/>
  <c r="H7" i="8"/>
  <c r="Z6" i="8"/>
  <c r="P6" i="8"/>
  <c r="H7" i="7"/>
  <c r="G6" i="7"/>
  <c r="Z6" i="7"/>
  <c r="P6" i="7"/>
  <c r="AJ6" i="7"/>
  <c r="H8" i="5"/>
  <c r="G8" i="5" s="1"/>
  <c r="G7" i="5"/>
  <c r="Z6" i="5"/>
  <c r="P6" i="5"/>
  <c r="Z7" i="5"/>
  <c r="P7" i="5"/>
  <c r="P8" i="5"/>
  <c r="Z8" i="5"/>
  <c r="AR4" i="3"/>
  <c r="AR5" i="3" s="1"/>
  <c r="AR5" i="4"/>
  <c r="H7" i="4"/>
  <c r="G6" i="3"/>
  <c r="H7" i="3"/>
  <c r="G7" i="3" s="1"/>
  <c r="J10" i="3" s="1"/>
  <c r="N10" i="3" s="1"/>
  <c r="J10" i="13" l="1"/>
  <c r="J23" i="13"/>
  <c r="J23" i="12"/>
  <c r="J3" i="12" a="1"/>
  <c r="L24" i="11"/>
  <c r="J23" i="11"/>
  <c r="N23" i="11" s="1"/>
  <c r="J3" i="11" a="1"/>
  <c r="J10" i="10"/>
  <c r="N10" i="10" s="1"/>
  <c r="L24" i="10"/>
  <c r="J23" i="10"/>
  <c r="N23" i="10" s="1"/>
  <c r="L24" i="9"/>
  <c r="Z7" i="8"/>
  <c r="P7" i="8"/>
  <c r="J3" i="8" a="1"/>
  <c r="J3" i="8" s="1"/>
  <c r="J10" i="8" s="1"/>
  <c r="H8" i="8"/>
  <c r="Z9" i="8" s="1"/>
  <c r="AB4" i="8" s="1"/>
  <c r="AH4" i="8" s="1"/>
  <c r="Z8" i="8"/>
  <c r="P8" i="8"/>
  <c r="J16" i="8" a="1"/>
  <c r="J3" i="7" a="1"/>
  <c r="J3" i="7" s="1"/>
  <c r="G7" i="7"/>
  <c r="H8" i="7"/>
  <c r="G8" i="7" s="1"/>
  <c r="J16" i="7" s="1" a="1"/>
  <c r="J16" i="7" s="1"/>
  <c r="AJ7" i="7"/>
  <c r="Z7" i="7"/>
  <c r="P7" i="7"/>
  <c r="L11" i="5"/>
  <c r="J10" i="5"/>
  <c r="N10" i="5" s="1"/>
  <c r="Z9" i="5"/>
  <c r="P9" i="5"/>
  <c r="J23" i="5"/>
  <c r="N23" i="5" s="1"/>
  <c r="AD8" i="5"/>
  <c r="T8" i="5"/>
  <c r="P8" i="4"/>
  <c r="Z8" i="4"/>
  <c r="P7" i="4"/>
  <c r="Z7" i="4"/>
  <c r="L24" i="13" l="1"/>
  <c r="L11" i="13"/>
  <c r="J3" i="12"/>
  <c r="J10" i="12" s="1"/>
  <c r="L24" i="12"/>
  <c r="L11" i="11"/>
  <c r="J3" i="11"/>
  <c r="J10" i="11" s="1"/>
  <c r="N10" i="11" s="1"/>
  <c r="L11" i="10"/>
  <c r="AC8" i="8"/>
  <c r="P9" i="8"/>
  <c r="S4" i="8" s="1"/>
  <c r="L11" i="8"/>
  <c r="AC4" i="8"/>
  <c r="AH5" i="8" s="1"/>
  <c r="J16" i="8"/>
  <c r="J23" i="8" s="1"/>
  <c r="S8" i="8"/>
  <c r="AB8" i="8"/>
  <c r="AM4" i="8"/>
  <c r="S12" i="8"/>
  <c r="AC12" i="8"/>
  <c r="AB12" i="8"/>
  <c r="AL4" i="8"/>
  <c r="AR4" i="8" s="1"/>
  <c r="AJ9" i="7"/>
  <c r="Z9" i="7"/>
  <c r="P9" i="7"/>
  <c r="AJ8" i="7"/>
  <c r="Z8" i="7"/>
  <c r="P8" i="7"/>
  <c r="T12" i="5"/>
  <c r="L24" i="5"/>
  <c r="AN8" i="5"/>
  <c r="AN12" i="5"/>
  <c r="AD12" i="5"/>
  <c r="AR4" i="5"/>
  <c r="AR5" i="5" s="1"/>
  <c r="AN4" i="5"/>
  <c r="AH5" i="5"/>
  <c r="AD4" i="5"/>
  <c r="T4" i="5"/>
  <c r="X4" i="5"/>
  <c r="X5" i="5" s="1"/>
  <c r="AB12" i="4"/>
  <c r="AC12" i="4"/>
  <c r="J10" i="4"/>
  <c r="N10" i="4" s="1"/>
  <c r="L11" i="4"/>
  <c r="AC8" i="4"/>
  <c r="AC4" i="4"/>
  <c r="AB4" i="4"/>
  <c r="AB8" i="4"/>
  <c r="R4" i="4"/>
  <c r="S8" i="4"/>
  <c r="S4" i="4"/>
  <c r="R8" i="4"/>
  <c r="J23" i="4"/>
  <c r="N23" i="4" s="1"/>
  <c r="S12" i="4"/>
  <c r="R12" i="4"/>
  <c r="L11" i="12" l="1"/>
  <c r="R12" i="8"/>
  <c r="R4" i="8"/>
  <c r="X4" i="8" s="1"/>
  <c r="X5" i="8" s="1"/>
  <c r="R8" i="8"/>
  <c r="AR5" i="8"/>
  <c r="AL4" i="7"/>
  <c r="AR4" i="7" s="1"/>
  <c r="AR5" i="7" s="1"/>
  <c r="AB12" i="7"/>
  <c r="AC12" i="7"/>
  <c r="AM12" i="7"/>
  <c r="AL12" i="7"/>
  <c r="J10" i="7"/>
  <c r="AM8" i="7"/>
  <c r="R8" i="7"/>
  <c r="R4" i="7"/>
  <c r="S8" i="7"/>
  <c r="S4" i="7"/>
  <c r="AM4" i="7"/>
  <c r="J23" i="7"/>
  <c r="AL8" i="7"/>
  <c r="S12" i="7"/>
  <c r="R12" i="7"/>
  <c r="AC8" i="7"/>
  <c r="AC4" i="7"/>
  <c r="AB8" i="7"/>
  <c r="AB4" i="7"/>
  <c r="T12" i="4"/>
  <c r="L24" i="4"/>
  <c r="T8" i="4"/>
  <c r="X4" i="4"/>
  <c r="X5" i="4" s="1"/>
  <c r="T4" i="4"/>
  <c r="AD12" i="4"/>
  <c r="L24" i="7" l="1"/>
  <c r="X4" i="7"/>
  <c r="X5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<sst xmlns="http://schemas.openxmlformats.org/spreadsheetml/2006/main" count="511" uniqueCount="29">
  <si>
    <t>Valor</t>
  </si>
  <si>
    <t>Incerteza</t>
  </si>
  <si>
    <t>L (m)</t>
  </si>
  <si>
    <t>b (m)</t>
  </si>
  <si>
    <t>h (m)</t>
  </si>
  <si>
    <t>±</t>
  </si>
  <si>
    <t>Y (m)</t>
  </si>
  <si>
    <t>F (N)</t>
  </si>
  <si>
    <t>X (m)</t>
  </si>
  <si>
    <t>Regressão linear</t>
  </si>
  <si>
    <t>Módulo de Young obtido (N/m*m)</t>
  </si>
  <si>
    <t>Módulo de Young teórico (N/m*m)</t>
  </si>
  <si>
    <t>Desvio percentual</t>
  </si>
  <si>
    <t>Constantes</t>
  </si>
  <si>
    <t>g (m/s*s)</t>
  </si>
  <si>
    <t>m(kg)</t>
  </si>
  <si>
    <t>m (kg)</t>
  </si>
  <si>
    <t>Crescente</t>
  </si>
  <si>
    <t>Numero de desvios</t>
  </si>
  <si>
    <t>Incerteza associada a E obtida pela propagação</t>
  </si>
  <si>
    <t>E</t>
  </si>
  <si>
    <t xml:space="preserve">Média </t>
  </si>
  <si>
    <t>Desvio padrão</t>
  </si>
  <si>
    <t>Decrescente</t>
  </si>
  <si>
    <t>Medida suspeita</t>
  </si>
  <si>
    <r>
      <rPr>
        <sz val="11"/>
        <color theme="1"/>
        <rFont val="MS Reference Sans Serif"/>
        <family val="2"/>
      </rPr>
      <t>|</t>
    </r>
    <r>
      <rPr>
        <sz val="11"/>
        <color theme="1"/>
        <rFont val="Calibri"/>
        <family val="2"/>
      </rPr>
      <t>-Xsuspeito|</t>
    </r>
  </si>
  <si>
    <t>Probabilidade de não pertencer</t>
  </si>
  <si>
    <t>Criterio de Chauvenet</t>
  </si>
  <si>
    <t>Nº 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</si>
</sst>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MS Reference Sans Serif"/>
      <family val="2"/>
    </font>
    <font>
      <sz val="11"/>
      <color theme="7" tint="-0.499984740745262"/>
      <name val="Calibri"/>
      <family val="2"/>
      <scheme val="minor"/>
    </font>
    <font>
      <sz val="11"/>
      <color theme="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11" fontId="0" fillId="4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11" fontId="0" fillId="7" borderId="1" xfId="0" applyNumberFormat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11" fontId="0" fillId="8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wrapText="1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11" fontId="0" fillId="10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9" fontId="0" fillId="3" borderId="1" xfId="1" applyFont="1" applyFill="1" applyBorder="1" applyAlignment="1">
      <alignment horizontal="center"/>
    </xf>
    <xf numFmtId="11" fontId="0" fillId="3" borderId="1" xfId="0" applyNumberFormat="1" applyFill="1" applyBorder="1"/>
    <xf numFmtId="11" fontId="0" fillId="3" borderId="1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vertical="center"/>
    </xf>
    <xf numFmtId="0" fontId="2" fillId="2" borderId="1" xfId="0" applyFont="1" applyFill="1" applyBorder="1"/>
    <xf numFmtId="0" fontId="0" fillId="5" borderId="1" xfId="0" applyFill="1" applyBorder="1"/>
    <xf numFmtId="9" fontId="0" fillId="4" borderId="1" xfId="1" applyFont="1" applyFill="1" applyBorder="1" applyAlignment="1">
      <alignment horizontal="center"/>
    </xf>
    <xf numFmtId="11" fontId="0" fillId="4" borderId="1" xfId="0" applyNumberFormat="1" applyFill="1" applyBorder="1"/>
    <xf numFmtId="0" fontId="0" fillId="5" borderId="1" xfId="0" applyFill="1" applyBorder="1" applyAlignment="1">
      <alignment wrapText="1"/>
    </xf>
    <xf numFmtId="0" fontId="2" fillId="5" borderId="1" xfId="0" applyFont="1" applyFill="1" applyBorder="1"/>
    <xf numFmtId="11" fontId="0" fillId="4" borderId="1" xfId="0" applyNumberFormat="1" applyFill="1" applyBorder="1" applyAlignment="1">
      <alignment vertical="center"/>
    </xf>
    <xf numFmtId="164" fontId="0" fillId="3" borderId="1" xfId="1" applyNumberFormat="1" applyFon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6" borderId="1" xfId="0" applyFill="1" applyBorder="1" applyAlignment="1">
      <alignment wrapText="1"/>
    </xf>
    <xf numFmtId="0" fontId="2" fillId="6" borderId="1" xfId="0" applyFont="1" applyFill="1" applyBorder="1"/>
    <xf numFmtId="9" fontId="0" fillId="7" borderId="1" xfId="1" applyFont="1" applyFill="1" applyBorder="1" applyAlignment="1">
      <alignment horizontal="center"/>
    </xf>
    <xf numFmtId="11" fontId="0" fillId="7" borderId="1" xfId="0" applyNumberFormat="1" applyFill="1" applyBorder="1"/>
    <xf numFmtId="11" fontId="0" fillId="7" borderId="1" xfId="0" applyNumberFormat="1" applyFill="1" applyBorder="1" applyAlignment="1">
      <alignment vertical="center"/>
    </xf>
    <xf numFmtId="0" fontId="0" fillId="9" borderId="9" xfId="0" applyFill="1" applyBorder="1" applyAlignment="1">
      <alignment horizontal="center"/>
    </xf>
    <xf numFmtId="0" fontId="0" fillId="9" borderId="1" xfId="0" applyFill="1" applyBorder="1"/>
    <xf numFmtId="0" fontId="3" fillId="8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9" borderId="0" xfId="0" applyFill="1"/>
    <xf numFmtId="11" fontId="0" fillId="8" borderId="1" xfId="0" applyNumberFormat="1" applyFill="1" applyBorder="1"/>
    <xf numFmtId="11" fontId="0" fillId="8" borderId="1" xfId="0" applyNumberFormat="1" applyFill="1" applyBorder="1" applyAlignment="1">
      <alignment vertical="center"/>
    </xf>
    <xf numFmtId="9" fontId="0" fillId="8" borderId="1" xfId="1" applyFont="1" applyFill="1" applyBorder="1" applyAlignment="1">
      <alignment horizontal="center"/>
    </xf>
    <xf numFmtId="0" fontId="0" fillId="9" borderId="1" xfId="0" applyFill="1" applyBorder="1" applyAlignment="1">
      <alignment wrapText="1"/>
    </xf>
    <xf numFmtId="0" fontId="2" fillId="9" borderId="1" xfId="0" applyFont="1" applyFill="1" applyBorder="1"/>
    <xf numFmtId="0" fontId="0" fillId="11" borderId="1" xfId="0" applyFill="1" applyBorder="1"/>
    <xf numFmtId="0" fontId="3" fillId="10" borderId="1" xfId="0" applyFont="1" applyFill="1" applyBorder="1"/>
    <xf numFmtId="0" fontId="0" fillId="11" borderId="9" xfId="0" applyFill="1" applyBorder="1" applyAlignment="1">
      <alignment horizontal="center"/>
    </xf>
    <xf numFmtId="0" fontId="0" fillId="11" borderId="0" xfId="0" applyFill="1"/>
    <xf numFmtId="11" fontId="0" fillId="10" borderId="1" xfId="0" applyNumberFormat="1" applyFill="1" applyBorder="1"/>
    <xf numFmtId="11" fontId="0" fillId="10" borderId="1" xfId="0" applyNumberFormat="1" applyFill="1" applyBorder="1" applyAlignment="1">
      <alignment vertical="center"/>
    </xf>
    <xf numFmtId="9" fontId="0" fillId="10" borderId="1" xfId="1" applyFont="1" applyFill="1" applyBorder="1" applyAlignment="1">
      <alignment horizontal="center"/>
    </xf>
    <xf numFmtId="0" fontId="0" fillId="11" borderId="1" xfId="0" applyFill="1" applyBorder="1" applyAlignment="1">
      <alignment wrapText="1"/>
    </xf>
    <xf numFmtId="0" fontId="2" fillId="11" borderId="1" xfId="0" applyFont="1" applyFill="1" applyBorder="1"/>
    <xf numFmtId="0" fontId="5" fillId="1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65" fontId="0" fillId="3" borderId="1" xfId="1" applyNumberFormat="1" applyFont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11" fontId="0" fillId="3" borderId="1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165" fontId="0" fillId="4" borderId="1" xfId="1" applyNumberFormat="1" applyFont="1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11" fontId="0" fillId="4" borderId="1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11" fontId="0" fillId="7" borderId="1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1" fontId="0" fillId="7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2" fontId="0" fillId="7" borderId="1" xfId="0" applyNumberFormat="1" applyFill="1" applyBorder="1" applyAlignment="1">
      <alignment horizontal="center"/>
    </xf>
    <xf numFmtId="165" fontId="0" fillId="7" borderId="1" xfId="1" applyNumberFormat="1" applyFon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/>
    </xf>
    <xf numFmtId="0" fontId="0" fillId="9" borderId="5" xfId="0" applyFill="1" applyBorder="1" applyAlignment="1">
      <alignment horizontal="center" wrapText="1"/>
    </xf>
    <xf numFmtId="0" fontId="0" fillId="9" borderId="6" xfId="0" applyFill="1" applyBorder="1" applyAlignment="1">
      <alignment horizontal="center" wrapText="1"/>
    </xf>
    <xf numFmtId="0" fontId="0" fillId="9" borderId="7" xfId="0" applyFill="1" applyBorder="1" applyAlignment="1">
      <alignment horizontal="center" wrapText="1"/>
    </xf>
    <xf numFmtId="0" fontId="0" fillId="9" borderId="8" xfId="0" applyFill="1" applyBorder="1" applyAlignment="1">
      <alignment horizontal="center" wrapText="1"/>
    </xf>
    <xf numFmtId="11" fontId="0" fillId="8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165" fontId="0" fillId="8" borderId="1" xfId="1" applyNumberFormat="1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wrapText="1"/>
    </xf>
    <xf numFmtId="0" fontId="0" fillId="11" borderId="6" xfId="0" applyFill="1" applyBorder="1" applyAlignment="1">
      <alignment horizontal="center" wrapText="1"/>
    </xf>
    <xf numFmtId="0" fontId="0" fillId="11" borderId="7" xfId="0" applyFill="1" applyBorder="1" applyAlignment="1">
      <alignment horizontal="center" wrapText="1"/>
    </xf>
    <xf numFmtId="0" fontId="0" fillId="11" borderId="8" xfId="0" applyFill="1" applyBorder="1" applyAlignment="1">
      <alignment horizontal="center" wrapText="1"/>
    </xf>
    <xf numFmtId="11" fontId="0" fillId="10" borderId="1" xfId="0" applyNumberFormat="1" applyFill="1" applyBorder="1" applyAlignment="1">
      <alignment horizontal="center" vertical="center"/>
    </xf>
    <xf numFmtId="11" fontId="0" fillId="10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1" xfId="0" applyFill="1" applyBorder="1" applyAlignment="1">
      <alignment horizontal="center" wrapText="1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165" fontId="0" fillId="10" borderId="1" xfId="1" applyNumberFormat="1" applyFont="1" applyFill="1" applyBorder="1" applyAlignment="1">
      <alignment horizontal="center" vertical="center"/>
    </xf>
    <xf numFmtId="0" fontId="6" fillId="12" borderId="1" xfId="0" applyFont="1" applyFill="1" applyBorder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Cobre!$F$3:$F$7</c:f>
              <c:numCache>
                <c:formatCode>General</c:formatCode>
                <c:ptCount val="5"/>
                <c:pt idx="0">
                  <c:v>2.1499999999999999E-4</c:v>
                </c:pt>
                <c:pt idx="1">
                  <c:v>4.0000000000000002E-4</c:v>
                </c:pt>
                <c:pt idx="2">
                  <c:v>6.0999999999999997E-4</c:v>
                </c:pt>
                <c:pt idx="3">
                  <c:v>7.9000000000000001E-4</c:v>
                </c:pt>
                <c:pt idx="4">
                  <c:v>9.7999999999999997E-4</c:v>
                </c:pt>
              </c:numCache>
            </c:numRef>
          </c:xVal>
          <c:yVal>
            <c:numRef>
              <c:f>Cobre!$G$3:$G$7</c:f>
              <c:numCache>
                <c:formatCode>General</c:formatCode>
                <c:ptCount val="5"/>
                <c:pt idx="0">
                  <c:v>0.97833400000000004</c:v>
                </c:pt>
                <c:pt idx="1">
                  <c:v>1.9563740000000001</c:v>
                </c:pt>
                <c:pt idx="2">
                  <c:v>2.9314740000000001</c:v>
                </c:pt>
                <c:pt idx="3">
                  <c:v>3.9111800000000003</c:v>
                </c:pt>
                <c:pt idx="4">
                  <c:v>4.8894160000000007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2-4D5C-BDB4-5F4231BE7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accent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Cobre!$F$7:$F$11</c:f>
              <c:numCache>
                <c:formatCode>General</c:formatCode>
                <c:ptCount val="5"/>
                <c:pt idx="0">
                  <c:v>9.7999999999999997E-4</c:v>
                </c:pt>
                <c:pt idx="1">
                  <c:v>8.3000000000000001E-4</c:v>
                </c:pt>
                <c:pt idx="2">
                  <c:v>6.4000000000000005E-4</c:v>
                </c:pt>
                <c:pt idx="3">
                  <c:v>4.6000000000000001E-4</c:v>
                </c:pt>
                <c:pt idx="4">
                  <c:v>2.4000000000000001E-4</c:v>
                </c:pt>
              </c:numCache>
            </c:numRef>
          </c:xVal>
          <c:yVal>
            <c:numRef>
              <c:f>Cobre!$G$7:$G$11</c:f>
              <c:numCache>
                <c:formatCode>General</c:formatCode>
                <c:ptCount val="5"/>
                <c:pt idx="0">
                  <c:v>4.8894160000000007</c:v>
                </c:pt>
                <c:pt idx="1">
                  <c:v>3.9111800000000003</c:v>
                </c:pt>
                <c:pt idx="2">
                  <c:v>2.9314740000000001</c:v>
                </c:pt>
                <c:pt idx="3">
                  <c:v>1.9563740000000001</c:v>
                </c:pt>
                <c:pt idx="4">
                  <c:v>0.97833400000000004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F5-400F-BEE5-BFB9AE783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accent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Latão!$F$3:$F$7</c:f>
              <c:numCache>
                <c:formatCode>General</c:formatCode>
                <c:ptCount val="5"/>
                <c:pt idx="0">
                  <c:v>1.2999999999999999E-4</c:v>
                </c:pt>
                <c:pt idx="1">
                  <c:v>2.2499999999999999E-4</c:v>
                </c:pt>
                <c:pt idx="2">
                  <c:v>3.6999999999999999E-4</c:v>
                </c:pt>
                <c:pt idx="3">
                  <c:v>4.8999999999999998E-4</c:v>
                </c:pt>
                <c:pt idx="4">
                  <c:v>6.0999999999999997E-4</c:v>
                </c:pt>
              </c:numCache>
            </c:numRef>
          </c:xVal>
          <c:yVal>
            <c:numRef>
              <c:f>Latão!$G$3:$G$7</c:f>
              <c:numCache>
                <c:formatCode>General</c:formatCode>
                <c:ptCount val="5"/>
                <c:pt idx="0">
                  <c:v>0.97833400000000004</c:v>
                </c:pt>
                <c:pt idx="1">
                  <c:v>1.9563740000000001</c:v>
                </c:pt>
                <c:pt idx="2">
                  <c:v>2.9314740000000001</c:v>
                </c:pt>
                <c:pt idx="3">
                  <c:v>3.9111800000000003</c:v>
                </c:pt>
                <c:pt idx="4">
                  <c:v>4.8894160000000007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63-4848-B736-DDDFD82DA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accent4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0035478323830211"/>
                  <c:y val="-0.17965872953202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Latão!$F$7:$F$11</c:f>
              <c:numCache>
                <c:formatCode>General</c:formatCode>
                <c:ptCount val="5"/>
                <c:pt idx="0">
                  <c:v>6.0999999999999997E-4</c:v>
                </c:pt>
                <c:pt idx="1">
                  <c:v>5.0000000000000001E-4</c:v>
                </c:pt>
                <c:pt idx="2">
                  <c:v>3.8000000000000002E-4</c:v>
                </c:pt>
                <c:pt idx="3">
                  <c:v>2.5999999999999998E-4</c:v>
                </c:pt>
                <c:pt idx="4">
                  <c:v>1.45E-4</c:v>
                </c:pt>
              </c:numCache>
            </c:numRef>
          </c:xVal>
          <c:yVal>
            <c:numRef>
              <c:f>Latão!$G$7:$G$11</c:f>
              <c:numCache>
                <c:formatCode>General</c:formatCode>
                <c:ptCount val="5"/>
                <c:pt idx="0">
                  <c:v>4.8894160000000007</c:v>
                </c:pt>
                <c:pt idx="1">
                  <c:v>3.9111800000000003</c:v>
                </c:pt>
                <c:pt idx="2">
                  <c:v>2.9314740000000001</c:v>
                </c:pt>
                <c:pt idx="3">
                  <c:v>1.9563740000000001</c:v>
                </c:pt>
                <c:pt idx="4">
                  <c:v>0.97833400000000004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AC-4937-BA84-FF8A3DCB3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solidFill>
            <a:schemeClr val="accent4">
              <a:lumMod val="40000"/>
              <a:lumOff val="6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accent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Aço!$F$3:$F$8</c:f>
              <c:numCache>
                <c:formatCode>General</c:formatCode>
                <c:ptCount val="6"/>
                <c:pt idx="0">
                  <c:v>6.4999999999999994E-5</c:v>
                </c:pt>
                <c:pt idx="1">
                  <c:v>1.35E-4</c:v>
                </c:pt>
                <c:pt idx="2">
                  <c:v>2.0000000000000001E-4</c:v>
                </c:pt>
                <c:pt idx="3">
                  <c:v>2.5999999999999998E-4</c:v>
                </c:pt>
                <c:pt idx="4">
                  <c:v>3.3E-4</c:v>
                </c:pt>
                <c:pt idx="5">
                  <c:v>3.8999999999999999E-4</c:v>
                </c:pt>
              </c:numCache>
            </c:numRef>
          </c:xVal>
          <c:yVal>
            <c:numRef>
              <c:f>Aço!$G$3:$G$8</c:f>
              <c:numCache>
                <c:formatCode>General</c:formatCode>
                <c:ptCount val="6"/>
                <c:pt idx="0">
                  <c:v>0.97833400000000004</c:v>
                </c:pt>
                <c:pt idx="1">
                  <c:v>1.9563740000000001</c:v>
                </c:pt>
                <c:pt idx="2">
                  <c:v>2.9314740000000001</c:v>
                </c:pt>
                <c:pt idx="3">
                  <c:v>3.9096120000000005</c:v>
                </c:pt>
                <c:pt idx="4">
                  <c:v>4.8893180000000003</c:v>
                </c:pt>
                <c:pt idx="5">
                  <c:v>5.8675540000000002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05-4B3D-858A-52FD6CFF0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Aço!$F$8:$F$13</c:f>
              <c:numCache>
                <c:formatCode>General</c:formatCode>
                <c:ptCount val="6"/>
                <c:pt idx="0">
                  <c:v>3.8999999999999999E-4</c:v>
                </c:pt>
                <c:pt idx="1">
                  <c:v>3.3E-4</c:v>
                </c:pt>
                <c:pt idx="2">
                  <c:v>2.7E-4</c:v>
                </c:pt>
                <c:pt idx="3">
                  <c:v>2.1000000000000001E-4</c:v>
                </c:pt>
                <c:pt idx="4">
                  <c:v>1.4999999999999999E-4</c:v>
                </c:pt>
                <c:pt idx="5">
                  <c:v>8.0000000000000007E-5</c:v>
                </c:pt>
              </c:numCache>
            </c:numRef>
          </c:xVal>
          <c:yVal>
            <c:numRef>
              <c:f>Aço!$G$8:$G$13</c:f>
              <c:numCache>
                <c:formatCode>General</c:formatCode>
                <c:ptCount val="6"/>
                <c:pt idx="0">
                  <c:v>5.8675540000000002</c:v>
                </c:pt>
                <c:pt idx="1">
                  <c:v>4.8893180000000003</c:v>
                </c:pt>
                <c:pt idx="2">
                  <c:v>3.9096120000000005</c:v>
                </c:pt>
                <c:pt idx="3">
                  <c:v>2.9314740000000001</c:v>
                </c:pt>
                <c:pt idx="4">
                  <c:v>1.9563740000000001</c:v>
                </c:pt>
                <c:pt idx="5">
                  <c:v>0.97833400000000004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CC-4E06-8995-F58447360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solidFill>
            <a:schemeClr val="accent4">
              <a:lumMod val="40000"/>
              <a:lumOff val="6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Aluminio!$F$3:$F$8</c:f>
              <c:numCache>
                <c:formatCode>General</c:formatCode>
                <c:ptCount val="6"/>
                <c:pt idx="0">
                  <c:v>1.8000000000000001E-4</c:v>
                </c:pt>
                <c:pt idx="1">
                  <c:v>3.6000000000000002E-4</c:v>
                </c:pt>
                <c:pt idx="2">
                  <c:v>5.4500000000000002E-4</c:v>
                </c:pt>
                <c:pt idx="3">
                  <c:v>7.2999999999999996E-4</c:v>
                </c:pt>
                <c:pt idx="4">
                  <c:v>9.2000000000000003E-4</c:v>
                </c:pt>
                <c:pt idx="5">
                  <c:v>1.09E-3</c:v>
                </c:pt>
              </c:numCache>
            </c:numRef>
          </c:xVal>
          <c:yVal>
            <c:numRef>
              <c:f>Aluminio!$G$3:$G$8</c:f>
              <c:numCache>
                <c:formatCode>General</c:formatCode>
                <c:ptCount val="6"/>
                <c:pt idx="0">
                  <c:v>0.97833400000000004</c:v>
                </c:pt>
                <c:pt idx="1">
                  <c:v>1.9563740000000001</c:v>
                </c:pt>
                <c:pt idx="2">
                  <c:v>2.9314740000000001</c:v>
                </c:pt>
                <c:pt idx="3">
                  <c:v>3.9096120000000005</c:v>
                </c:pt>
                <c:pt idx="4">
                  <c:v>4.8893180000000003</c:v>
                </c:pt>
                <c:pt idx="5">
                  <c:v>5.8675540000000002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E1-4EAE-9FA8-1A0D56452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Aluminio!$F$8:$F$13</c:f>
              <c:numCache>
                <c:formatCode>General</c:formatCode>
                <c:ptCount val="6"/>
                <c:pt idx="0">
                  <c:v>1.09E-3</c:v>
                </c:pt>
                <c:pt idx="1">
                  <c:v>9.7000000000000005E-4</c:v>
                </c:pt>
                <c:pt idx="2">
                  <c:v>8.0999999999999996E-4</c:v>
                </c:pt>
                <c:pt idx="3">
                  <c:v>6.2E-4</c:v>
                </c:pt>
                <c:pt idx="4">
                  <c:v>4.6000000000000001E-4</c:v>
                </c:pt>
                <c:pt idx="5">
                  <c:v>2.7E-4</c:v>
                </c:pt>
              </c:numCache>
            </c:numRef>
          </c:xVal>
          <c:yVal>
            <c:numRef>
              <c:f>Aluminio!$G$8:$G$13</c:f>
              <c:numCache>
                <c:formatCode>General</c:formatCode>
                <c:ptCount val="6"/>
                <c:pt idx="0">
                  <c:v>5.8675540000000002</c:v>
                </c:pt>
                <c:pt idx="1">
                  <c:v>4.8893180000000003</c:v>
                </c:pt>
                <c:pt idx="2">
                  <c:v>3.9096120000000005</c:v>
                </c:pt>
                <c:pt idx="3">
                  <c:v>2.9314740000000001</c:v>
                </c:pt>
                <c:pt idx="4">
                  <c:v>1.9563740000000001</c:v>
                </c:pt>
                <c:pt idx="5">
                  <c:v>0.97833400000000004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C8-4B25-9B26-C9D691902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solidFill>
            <a:schemeClr val="accent4">
              <a:lumMod val="40000"/>
              <a:lumOff val="6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Vidro!$F$3:$F$8</c:f>
              <c:numCache>
                <c:formatCode>General</c:formatCode>
                <c:ptCount val="6"/>
                <c:pt idx="0">
                  <c:v>5.0000000000000002E-5</c:v>
                </c:pt>
                <c:pt idx="1">
                  <c:v>8.5000000000000006E-5</c:v>
                </c:pt>
                <c:pt idx="2">
                  <c:v>1.7000000000000001E-4</c:v>
                </c:pt>
                <c:pt idx="3">
                  <c:v>2.5000000000000001E-4</c:v>
                </c:pt>
                <c:pt idx="4">
                  <c:v>3.4000000000000002E-4</c:v>
                </c:pt>
                <c:pt idx="5">
                  <c:v>4.0999999999999999E-4</c:v>
                </c:pt>
              </c:numCache>
            </c:numRef>
          </c:xVal>
          <c:yVal>
            <c:numRef>
              <c:f>Vidro!$G$3:$G$8</c:f>
              <c:numCache>
                <c:formatCode>General</c:formatCode>
                <c:ptCount val="6"/>
                <c:pt idx="0">
                  <c:v>0.97833400000000004</c:v>
                </c:pt>
                <c:pt idx="1">
                  <c:v>1.9563740000000001</c:v>
                </c:pt>
                <c:pt idx="2">
                  <c:v>2.9314740000000001</c:v>
                </c:pt>
                <c:pt idx="3">
                  <c:v>3.9096120000000005</c:v>
                </c:pt>
                <c:pt idx="4">
                  <c:v>4.8893180000000003</c:v>
                </c:pt>
                <c:pt idx="5">
                  <c:v>5.8675540000000002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F1-45E2-AC3D-09E7C2A2E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accent1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Vidro!$F$8:$F$13</c:f>
              <c:numCache>
                <c:formatCode>General</c:formatCode>
                <c:ptCount val="6"/>
                <c:pt idx="0">
                  <c:v>4.0999999999999999E-4</c:v>
                </c:pt>
                <c:pt idx="1">
                  <c:v>3.5E-4</c:v>
                </c:pt>
                <c:pt idx="2">
                  <c:v>2.5999999999999998E-4</c:v>
                </c:pt>
                <c:pt idx="3">
                  <c:v>1.9000000000000001E-4</c:v>
                </c:pt>
                <c:pt idx="4">
                  <c:v>1E-4</c:v>
                </c:pt>
                <c:pt idx="5">
                  <c:v>4.0000000000000003E-5</c:v>
                </c:pt>
              </c:numCache>
            </c:numRef>
          </c:xVal>
          <c:yVal>
            <c:numRef>
              <c:f>Vidro!$G$8:$G$13</c:f>
              <c:numCache>
                <c:formatCode>General</c:formatCode>
                <c:ptCount val="6"/>
                <c:pt idx="0">
                  <c:v>5.8675540000000002</c:v>
                </c:pt>
                <c:pt idx="1">
                  <c:v>4.8893180000000003</c:v>
                </c:pt>
                <c:pt idx="2">
                  <c:v>3.9096120000000005</c:v>
                </c:pt>
                <c:pt idx="3">
                  <c:v>2.9314740000000001</c:v>
                </c:pt>
                <c:pt idx="4">
                  <c:v>1.9563740000000001</c:v>
                </c:pt>
                <c:pt idx="5">
                  <c:v>0.97833400000000004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0-4E41-AE80-8E0823252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solidFill>
            <a:schemeClr val="accent1">
              <a:lumMod val="40000"/>
              <a:lumOff val="6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accent1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Cobre!$F$3:$F$7</c:f>
              <c:numCache>
                <c:formatCode>General</c:formatCode>
                <c:ptCount val="5"/>
                <c:pt idx="0">
                  <c:v>2.1499999999999999E-4</c:v>
                </c:pt>
                <c:pt idx="1">
                  <c:v>4.0000000000000002E-4</c:v>
                </c:pt>
                <c:pt idx="2">
                  <c:v>6.0999999999999997E-4</c:v>
                </c:pt>
                <c:pt idx="3">
                  <c:v>7.9000000000000001E-4</c:v>
                </c:pt>
                <c:pt idx="4">
                  <c:v>9.7999999999999997E-4</c:v>
                </c:pt>
              </c:numCache>
            </c:numRef>
          </c:xVal>
          <c:yVal>
            <c:numRef>
              <c:f>Cobre!$G$3:$G$7</c:f>
              <c:numCache>
                <c:formatCode>General</c:formatCode>
                <c:ptCount val="5"/>
                <c:pt idx="0">
                  <c:v>0.97833400000000004</c:v>
                </c:pt>
                <c:pt idx="1">
                  <c:v>1.9563740000000001</c:v>
                </c:pt>
                <c:pt idx="2">
                  <c:v>2.9314740000000001</c:v>
                </c:pt>
                <c:pt idx="3">
                  <c:v>3.9111800000000003</c:v>
                </c:pt>
                <c:pt idx="4">
                  <c:v>4.8894160000000007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F8-4999-87F5-75780D06D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accent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'Cobre (s.v.r)'!$F$7:$F$9</c:f>
              <c:numCache>
                <c:formatCode>General</c:formatCode>
                <c:ptCount val="3"/>
                <c:pt idx="0">
                  <c:v>9.7999999999999997E-4</c:v>
                </c:pt>
                <c:pt idx="1">
                  <c:v>8.3000000000000001E-4</c:v>
                </c:pt>
                <c:pt idx="2">
                  <c:v>6.4000000000000005E-4</c:v>
                </c:pt>
              </c:numCache>
            </c:numRef>
          </c:xVal>
          <c:yVal>
            <c:numRef>
              <c:f>'Cobre (s.v.r)'!$G$7:$G$9</c:f>
              <c:numCache>
                <c:formatCode>General</c:formatCode>
                <c:ptCount val="3"/>
                <c:pt idx="0">
                  <c:v>4.8894160000000007</c:v>
                </c:pt>
                <c:pt idx="1">
                  <c:v>3.9111800000000003</c:v>
                </c:pt>
                <c:pt idx="2">
                  <c:v>2.9314740000000001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67-4127-9AFC-40F590FD2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accent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'Latão (s.v.r)'!$F$3:$F$6</c:f>
              <c:numCache>
                <c:formatCode>General</c:formatCode>
                <c:ptCount val="4"/>
                <c:pt idx="0">
                  <c:v>1.2999999999999999E-4</c:v>
                </c:pt>
                <c:pt idx="1">
                  <c:v>3.6999999999999999E-4</c:v>
                </c:pt>
                <c:pt idx="2">
                  <c:v>4.8999999999999998E-4</c:v>
                </c:pt>
                <c:pt idx="3">
                  <c:v>6.0999999999999997E-4</c:v>
                </c:pt>
              </c:numCache>
            </c:numRef>
          </c:xVal>
          <c:yVal>
            <c:numRef>
              <c:f>'Latão (s.v.r)'!$G$3:$G$6</c:f>
              <c:numCache>
                <c:formatCode>General</c:formatCode>
                <c:ptCount val="4"/>
                <c:pt idx="0">
                  <c:v>0.97833400000000004</c:v>
                </c:pt>
                <c:pt idx="1">
                  <c:v>2.9314740000000001</c:v>
                </c:pt>
                <c:pt idx="2">
                  <c:v>3.9111800000000003</c:v>
                </c:pt>
                <c:pt idx="3">
                  <c:v>4.8894160000000007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22-4FC6-AC23-9948E43EB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accent4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5.3194444444444447E-2"/>
                  <c:y val="-0.156866686288163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'Latão (s.v.r)'!$F$6:$F$9</c:f>
              <c:numCache>
                <c:formatCode>General</c:formatCode>
                <c:ptCount val="4"/>
                <c:pt idx="0">
                  <c:v>6.0999999999999997E-4</c:v>
                </c:pt>
                <c:pt idx="1">
                  <c:v>5.0000000000000001E-4</c:v>
                </c:pt>
                <c:pt idx="2">
                  <c:v>3.8000000000000002E-4</c:v>
                </c:pt>
                <c:pt idx="3">
                  <c:v>2.5999999999999998E-4</c:v>
                </c:pt>
              </c:numCache>
            </c:numRef>
          </c:xVal>
          <c:yVal>
            <c:numRef>
              <c:f>'Latão (s.v.r)'!$G$6:$G$9</c:f>
              <c:numCache>
                <c:formatCode>General</c:formatCode>
                <c:ptCount val="4"/>
                <c:pt idx="0">
                  <c:v>4.8894160000000007</c:v>
                </c:pt>
                <c:pt idx="1">
                  <c:v>3.9111800000000003</c:v>
                </c:pt>
                <c:pt idx="2">
                  <c:v>2.9314740000000001</c:v>
                </c:pt>
                <c:pt idx="3">
                  <c:v>1.9563740000000001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E3-4E33-9C68-E8705D0A8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solidFill>
            <a:schemeClr val="accent4">
              <a:lumMod val="40000"/>
              <a:lumOff val="6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accent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Aço!$F$3:$F$8</c:f>
              <c:numCache>
                <c:formatCode>General</c:formatCode>
                <c:ptCount val="6"/>
                <c:pt idx="0">
                  <c:v>6.4999999999999994E-5</c:v>
                </c:pt>
                <c:pt idx="1">
                  <c:v>1.35E-4</c:v>
                </c:pt>
                <c:pt idx="2">
                  <c:v>2.0000000000000001E-4</c:v>
                </c:pt>
                <c:pt idx="3">
                  <c:v>2.5999999999999998E-4</c:v>
                </c:pt>
                <c:pt idx="4">
                  <c:v>3.3E-4</c:v>
                </c:pt>
                <c:pt idx="5">
                  <c:v>3.8999999999999999E-4</c:v>
                </c:pt>
              </c:numCache>
            </c:numRef>
          </c:xVal>
          <c:yVal>
            <c:numRef>
              <c:f>Aço!$G$3:$G$8</c:f>
              <c:numCache>
                <c:formatCode>General</c:formatCode>
                <c:ptCount val="6"/>
                <c:pt idx="0">
                  <c:v>0.97833400000000004</c:v>
                </c:pt>
                <c:pt idx="1">
                  <c:v>1.9563740000000001</c:v>
                </c:pt>
                <c:pt idx="2">
                  <c:v>2.9314740000000001</c:v>
                </c:pt>
                <c:pt idx="3">
                  <c:v>3.9096120000000005</c:v>
                </c:pt>
                <c:pt idx="4">
                  <c:v>4.8893180000000003</c:v>
                </c:pt>
                <c:pt idx="5">
                  <c:v>5.8675540000000002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E2-4941-9D2D-1472F20DD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'Aço (s.v.r)'!$F$8:$F$11</c:f>
              <c:numCache>
                <c:formatCode>General</c:formatCode>
                <c:ptCount val="4"/>
                <c:pt idx="0">
                  <c:v>3.8999999999999999E-4</c:v>
                </c:pt>
                <c:pt idx="1">
                  <c:v>3.3E-4</c:v>
                </c:pt>
                <c:pt idx="2">
                  <c:v>2.7E-4</c:v>
                </c:pt>
                <c:pt idx="3">
                  <c:v>2.1000000000000001E-4</c:v>
                </c:pt>
              </c:numCache>
            </c:numRef>
          </c:xVal>
          <c:yVal>
            <c:numRef>
              <c:f>'Aço (s.v.r)'!$G$8:$G$11</c:f>
              <c:numCache>
                <c:formatCode>General</c:formatCode>
                <c:ptCount val="4"/>
                <c:pt idx="0">
                  <c:v>5.8675540000000002</c:v>
                </c:pt>
                <c:pt idx="1">
                  <c:v>4.8893180000000003</c:v>
                </c:pt>
                <c:pt idx="2">
                  <c:v>3.9096120000000005</c:v>
                </c:pt>
                <c:pt idx="3">
                  <c:v>2.9314740000000001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4E-4F3A-A1B7-B4911F56D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solidFill>
            <a:schemeClr val="accent4">
              <a:lumMod val="40000"/>
              <a:lumOff val="6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Aluminio!$F$3:$F$8</c:f>
              <c:numCache>
                <c:formatCode>General</c:formatCode>
                <c:ptCount val="6"/>
                <c:pt idx="0">
                  <c:v>1.8000000000000001E-4</c:v>
                </c:pt>
                <c:pt idx="1">
                  <c:v>3.6000000000000002E-4</c:v>
                </c:pt>
                <c:pt idx="2">
                  <c:v>5.4500000000000002E-4</c:v>
                </c:pt>
                <c:pt idx="3">
                  <c:v>7.2999999999999996E-4</c:v>
                </c:pt>
                <c:pt idx="4">
                  <c:v>9.2000000000000003E-4</c:v>
                </c:pt>
                <c:pt idx="5">
                  <c:v>1.09E-3</c:v>
                </c:pt>
              </c:numCache>
            </c:numRef>
          </c:xVal>
          <c:yVal>
            <c:numRef>
              <c:f>Aluminio!$G$3:$G$8</c:f>
              <c:numCache>
                <c:formatCode>General</c:formatCode>
                <c:ptCount val="6"/>
                <c:pt idx="0">
                  <c:v>0.97833400000000004</c:v>
                </c:pt>
                <c:pt idx="1">
                  <c:v>1.9563740000000001</c:v>
                </c:pt>
                <c:pt idx="2">
                  <c:v>2.9314740000000001</c:v>
                </c:pt>
                <c:pt idx="3">
                  <c:v>3.9096120000000005</c:v>
                </c:pt>
                <c:pt idx="4">
                  <c:v>4.8893180000000003</c:v>
                </c:pt>
                <c:pt idx="5">
                  <c:v>5.8675540000000002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AA-41A6-8F7E-5A30A4C84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'Aluminio (s.v.r)'!$F$8:$F$11</c:f>
              <c:numCache>
                <c:formatCode>General</c:formatCode>
                <c:ptCount val="4"/>
                <c:pt idx="0">
                  <c:v>1.09E-3</c:v>
                </c:pt>
                <c:pt idx="1">
                  <c:v>9.7000000000000005E-4</c:v>
                </c:pt>
                <c:pt idx="2">
                  <c:v>8.0999999999999996E-4</c:v>
                </c:pt>
                <c:pt idx="3">
                  <c:v>6.2E-4</c:v>
                </c:pt>
              </c:numCache>
            </c:numRef>
          </c:xVal>
          <c:yVal>
            <c:numRef>
              <c:f>'Aluminio (s.v.r)'!$G$8:$G$11</c:f>
              <c:numCache>
                <c:formatCode>General</c:formatCode>
                <c:ptCount val="4"/>
                <c:pt idx="0">
                  <c:v>5.8675540000000002</c:v>
                </c:pt>
                <c:pt idx="1">
                  <c:v>4.8893180000000003</c:v>
                </c:pt>
                <c:pt idx="2">
                  <c:v>3.9096120000000005</c:v>
                </c:pt>
                <c:pt idx="3">
                  <c:v>2.9314740000000001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4C-4901-B75D-C20EA5DDE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solidFill>
            <a:schemeClr val="accent4">
              <a:lumMod val="40000"/>
              <a:lumOff val="6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'Vidro (s.v.r)'!$F$3:$F$7</c:f>
              <c:numCache>
                <c:formatCode>General</c:formatCode>
                <c:ptCount val="5"/>
                <c:pt idx="0">
                  <c:v>5.0000000000000002E-5</c:v>
                </c:pt>
                <c:pt idx="1">
                  <c:v>1.7000000000000001E-4</c:v>
                </c:pt>
                <c:pt idx="2">
                  <c:v>2.5000000000000001E-4</c:v>
                </c:pt>
                <c:pt idx="3">
                  <c:v>3.4000000000000002E-4</c:v>
                </c:pt>
                <c:pt idx="4">
                  <c:v>4.0999999999999999E-4</c:v>
                </c:pt>
              </c:numCache>
            </c:numRef>
          </c:xVal>
          <c:yVal>
            <c:numRef>
              <c:f>'Vidro (s.v.r)'!$G$3:$G$7</c:f>
              <c:numCache>
                <c:formatCode>General</c:formatCode>
                <c:ptCount val="5"/>
                <c:pt idx="0">
                  <c:v>0.97833400000000004</c:v>
                </c:pt>
                <c:pt idx="1">
                  <c:v>2.9314740000000001</c:v>
                </c:pt>
                <c:pt idx="2">
                  <c:v>3.9096120000000005</c:v>
                </c:pt>
                <c:pt idx="3">
                  <c:v>4.8893180000000003</c:v>
                </c:pt>
                <c:pt idx="4">
                  <c:v>5.8675540000000002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51-4F6D-AB34-A899BB4AD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accent1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800"/>
              <a:t>Tensão vs deformação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7060139221727717"/>
                  <c:y val="-0.1572598930368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'Vidro (s.v.r)'!$F$7:$F$11</c:f>
              <c:numCache>
                <c:formatCode>General</c:formatCode>
                <c:ptCount val="5"/>
                <c:pt idx="0">
                  <c:v>4.0999999999999999E-4</c:v>
                </c:pt>
                <c:pt idx="1">
                  <c:v>3.5E-4</c:v>
                </c:pt>
                <c:pt idx="2">
                  <c:v>2.5999999999999998E-4</c:v>
                </c:pt>
                <c:pt idx="3">
                  <c:v>1.9000000000000001E-4</c:v>
                </c:pt>
                <c:pt idx="4">
                  <c:v>1E-4</c:v>
                </c:pt>
              </c:numCache>
            </c:numRef>
          </c:xVal>
          <c:yVal>
            <c:numRef>
              <c:f>'Vidro (s.v.r)'!$G$7:$G$11</c:f>
              <c:numCache>
                <c:formatCode>General</c:formatCode>
                <c:ptCount val="5"/>
                <c:pt idx="0">
                  <c:v>5.8675540000000002</c:v>
                </c:pt>
                <c:pt idx="1">
                  <c:v>4.8893180000000003</c:v>
                </c:pt>
                <c:pt idx="2">
                  <c:v>3.9096120000000005</c:v>
                </c:pt>
                <c:pt idx="3">
                  <c:v>2.9314740000000001</c:v>
                </c:pt>
                <c:pt idx="4">
                  <c:v>1.9563740000000001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02-4D8E-84EE-345BCE638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2751"/>
        <c:axId val="2117754831"/>
      </c:scatterChart>
      <c:valAx>
        <c:axId val="21177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4831"/>
        <c:crosses val="autoZero"/>
        <c:crossBetween val="midCat"/>
      </c:valAx>
      <c:valAx>
        <c:axId val="21177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775275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solidFill>
            <a:schemeClr val="accent1">
              <a:lumMod val="40000"/>
              <a:lumOff val="6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accent1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9526</xdr:rowOff>
    </xdr:from>
    <xdr:to>
      <xdr:col>13</xdr:col>
      <xdr:colOff>828676</xdr:colOff>
      <xdr:row>6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A82A07-DC78-4DF3-8F20-716CD7C82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</xdr:colOff>
      <xdr:row>14</xdr:row>
      <xdr:rowOff>9526</xdr:rowOff>
    </xdr:from>
    <xdr:to>
      <xdr:col>13</xdr:col>
      <xdr:colOff>828676</xdr:colOff>
      <xdr:row>19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7B19A00-2A83-478E-A4BA-93E11DCE1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504825</xdr:colOff>
      <xdr:row>12</xdr:row>
      <xdr:rowOff>9525</xdr:rowOff>
    </xdr:from>
    <xdr:to>
      <xdr:col>24</xdr:col>
      <xdr:colOff>9525</xdr:colOff>
      <xdr:row>14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1EECE1DA-60DE-43B0-8A1D-CA9A77CC817D}"/>
            </a:ext>
          </a:extLst>
        </xdr:cNvPr>
        <xdr:cNvSpPr txBox="1"/>
      </xdr:nvSpPr>
      <xdr:spPr>
        <a:xfrm>
          <a:off x="14020800" y="2324100"/>
          <a:ext cx="17716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Como</a:t>
          </a:r>
          <a:r>
            <a:rPr lang="pt-PT" sz="1100" baseline="0"/>
            <a:t> 0,32 &lt; 0,5 podemos rejeitar a medida.</a:t>
          </a:r>
          <a:endParaRPr lang="pt-PT" sz="1100"/>
        </a:p>
      </xdr:txBody>
    </xdr:sp>
    <xdr:clientData/>
  </xdr:twoCellAnchor>
  <xdr:twoCellAnchor>
    <xdr:from>
      <xdr:col>31</xdr:col>
      <xdr:colOff>542925</xdr:colOff>
      <xdr:row>11</xdr:row>
      <xdr:rowOff>104775</xdr:rowOff>
    </xdr:from>
    <xdr:to>
      <xdr:col>34</xdr:col>
      <xdr:colOff>47625</xdr:colOff>
      <xdr:row>14</xdr:row>
      <xdr:rowOff>123825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AF207174-2C57-4BF0-8FD1-89F9B0EFA369}"/>
            </a:ext>
          </a:extLst>
        </xdr:cNvPr>
        <xdr:cNvSpPr txBox="1"/>
      </xdr:nvSpPr>
      <xdr:spPr>
        <a:xfrm>
          <a:off x="20897850" y="2228850"/>
          <a:ext cx="17907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Como</a:t>
          </a:r>
          <a:r>
            <a:rPr lang="pt-PT" sz="1100" baseline="0"/>
            <a:t> 0,246 &lt; 0,25 podemos rejeitar a medida.</a:t>
          </a:r>
          <a:endParaRPr lang="pt-PT" sz="1100"/>
        </a:p>
      </xdr:txBody>
    </xdr:sp>
    <xdr:clientData/>
  </xdr:twoCellAnchor>
  <xdr:twoCellAnchor>
    <xdr:from>
      <xdr:col>41</xdr:col>
      <xdr:colOff>542925</xdr:colOff>
      <xdr:row>11</xdr:row>
      <xdr:rowOff>104775</xdr:rowOff>
    </xdr:from>
    <xdr:to>
      <xdr:col>44</xdr:col>
      <xdr:colOff>47625</xdr:colOff>
      <xdr:row>14</xdr:row>
      <xdr:rowOff>123825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141601AC-AD61-47E5-8C89-BE46DC969C19}"/>
            </a:ext>
          </a:extLst>
        </xdr:cNvPr>
        <xdr:cNvSpPr txBox="1"/>
      </xdr:nvSpPr>
      <xdr:spPr>
        <a:xfrm>
          <a:off x="20897850" y="2228850"/>
          <a:ext cx="17907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Como</a:t>
          </a:r>
          <a:r>
            <a:rPr lang="pt-PT" sz="1100" baseline="0"/>
            <a:t> 0,833 &gt; 0,125 não podemos rejeitar a medida.</a:t>
          </a:r>
          <a:endParaRPr lang="pt-P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9526</xdr:rowOff>
    </xdr:from>
    <xdr:to>
      <xdr:col>13</xdr:col>
      <xdr:colOff>828676</xdr:colOff>
      <xdr:row>6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C59441-458C-4BCB-99E6-E248655CA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9526</xdr:colOff>
      <xdr:row>14</xdr:row>
      <xdr:rowOff>19051</xdr:rowOff>
    </xdr:from>
    <xdr:to>
      <xdr:col>14</xdr:col>
      <xdr:colOff>9526</xdr:colOff>
      <xdr:row>19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6251212-F6D3-4BB8-B4C1-EB4BF65A2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600075</xdr:colOff>
      <xdr:row>11</xdr:row>
      <xdr:rowOff>57150</xdr:rowOff>
    </xdr:from>
    <xdr:to>
      <xdr:col>24</xdr:col>
      <xdr:colOff>104775</xdr:colOff>
      <xdr:row>13</xdr:row>
      <xdr:rowOff>161925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6A85B925-AA34-4EE1-824A-21C100445D7E}"/>
            </a:ext>
          </a:extLst>
        </xdr:cNvPr>
        <xdr:cNvSpPr txBox="1"/>
      </xdr:nvSpPr>
      <xdr:spPr>
        <a:xfrm>
          <a:off x="13963650" y="2181225"/>
          <a:ext cx="18288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Como</a:t>
          </a:r>
          <a:r>
            <a:rPr lang="pt-PT" sz="1100" baseline="0"/>
            <a:t> 0,22&lt; 0,5 podemos rejeitar a medida.</a:t>
          </a:r>
          <a:endParaRPr lang="pt-PT" sz="1100"/>
        </a:p>
      </xdr:txBody>
    </xdr:sp>
    <xdr:clientData/>
  </xdr:twoCellAnchor>
  <xdr:twoCellAnchor>
    <xdr:from>
      <xdr:col>31</xdr:col>
      <xdr:colOff>485775</xdr:colOff>
      <xdr:row>11</xdr:row>
      <xdr:rowOff>180975</xdr:rowOff>
    </xdr:from>
    <xdr:to>
      <xdr:col>33</xdr:col>
      <xdr:colOff>600075</xdr:colOff>
      <xdr:row>15</xdr:row>
      <xdr:rowOff>9525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D7BD2EC0-8144-4882-9CCA-D81D55A8302E}"/>
            </a:ext>
          </a:extLst>
        </xdr:cNvPr>
        <xdr:cNvSpPr txBox="1"/>
      </xdr:nvSpPr>
      <xdr:spPr>
        <a:xfrm>
          <a:off x="20745450" y="2305050"/>
          <a:ext cx="180022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Como</a:t>
          </a:r>
          <a:r>
            <a:rPr lang="pt-PT" sz="1100" baseline="0"/>
            <a:t> 0,09 &lt; 0,25 podemos rejeitar a medida.</a:t>
          </a:r>
          <a:endParaRPr lang="pt-PT" sz="1100"/>
        </a:p>
      </xdr:txBody>
    </xdr:sp>
    <xdr:clientData/>
  </xdr:twoCellAnchor>
  <xdr:twoCellAnchor>
    <xdr:from>
      <xdr:col>41</xdr:col>
      <xdr:colOff>514350</xdr:colOff>
      <xdr:row>12</xdr:row>
      <xdr:rowOff>180975</xdr:rowOff>
    </xdr:from>
    <xdr:to>
      <xdr:col>44</xdr:col>
      <xdr:colOff>19050</xdr:colOff>
      <xdr:row>16</xdr:row>
      <xdr:rowOff>9525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83A3D36E-7C37-4267-A67B-F25F39152A52}"/>
            </a:ext>
          </a:extLst>
        </xdr:cNvPr>
        <xdr:cNvSpPr txBox="1"/>
      </xdr:nvSpPr>
      <xdr:spPr>
        <a:xfrm>
          <a:off x="27641550" y="2495550"/>
          <a:ext cx="180975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Como</a:t>
          </a:r>
          <a:r>
            <a:rPr lang="pt-PT" sz="1100" baseline="0"/>
            <a:t> 0,7 &gt; 0,125 não podemos rejeitar a medida.</a:t>
          </a:r>
          <a:endParaRPr lang="pt-P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9526</xdr:rowOff>
    </xdr:from>
    <xdr:to>
      <xdr:col>13</xdr:col>
      <xdr:colOff>828676</xdr:colOff>
      <xdr:row>6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95DA690-C936-4B2E-9CBA-DA4AA38AD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9526</xdr:colOff>
      <xdr:row>14</xdr:row>
      <xdr:rowOff>19051</xdr:rowOff>
    </xdr:from>
    <xdr:to>
      <xdr:col>14</xdr:col>
      <xdr:colOff>9526</xdr:colOff>
      <xdr:row>19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EF74345-B85C-44F0-B027-BABCED3B8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600075</xdr:colOff>
      <xdr:row>11</xdr:row>
      <xdr:rowOff>57150</xdr:rowOff>
    </xdr:from>
    <xdr:to>
      <xdr:col>24</xdr:col>
      <xdr:colOff>104775</xdr:colOff>
      <xdr:row>13</xdr:row>
      <xdr:rowOff>161925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ED2F1D15-EC0F-427A-B3EA-E82080190FD9}"/>
            </a:ext>
          </a:extLst>
        </xdr:cNvPr>
        <xdr:cNvSpPr txBox="1"/>
      </xdr:nvSpPr>
      <xdr:spPr>
        <a:xfrm>
          <a:off x="13963650" y="2181225"/>
          <a:ext cx="18288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Como</a:t>
          </a:r>
          <a:r>
            <a:rPr lang="pt-PT" sz="1100" baseline="0"/>
            <a:t> 0,12 &lt; 0,5 podemos rejeitar a medida.</a:t>
          </a:r>
          <a:endParaRPr lang="pt-PT" sz="1100"/>
        </a:p>
      </xdr:txBody>
    </xdr:sp>
    <xdr:clientData/>
  </xdr:twoCellAnchor>
  <xdr:twoCellAnchor>
    <xdr:from>
      <xdr:col>31</xdr:col>
      <xdr:colOff>485775</xdr:colOff>
      <xdr:row>11</xdr:row>
      <xdr:rowOff>180975</xdr:rowOff>
    </xdr:from>
    <xdr:to>
      <xdr:col>33</xdr:col>
      <xdr:colOff>600075</xdr:colOff>
      <xdr:row>15</xdr:row>
      <xdr:rowOff>9525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8F2C07CC-0146-4F10-BA65-6DC2B3DAECB2}"/>
            </a:ext>
          </a:extLst>
        </xdr:cNvPr>
        <xdr:cNvSpPr txBox="1"/>
      </xdr:nvSpPr>
      <xdr:spPr>
        <a:xfrm>
          <a:off x="20745450" y="2305050"/>
          <a:ext cx="180022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Como</a:t>
          </a:r>
          <a:r>
            <a:rPr lang="pt-PT" sz="1100" baseline="0"/>
            <a:t> 0,08 &lt; 0,25 podemos rejeitar a medida.</a:t>
          </a:r>
          <a:endParaRPr lang="pt-PT" sz="1100"/>
        </a:p>
      </xdr:txBody>
    </xdr:sp>
    <xdr:clientData/>
  </xdr:twoCellAnchor>
  <xdr:twoCellAnchor>
    <xdr:from>
      <xdr:col>41</xdr:col>
      <xdr:colOff>542925</xdr:colOff>
      <xdr:row>11</xdr:row>
      <xdr:rowOff>152400</xdr:rowOff>
    </xdr:from>
    <xdr:to>
      <xdr:col>44</xdr:col>
      <xdr:colOff>47625</xdr:colOff>
      <xdr:row>14</xdr:row>
      <xdr:rowOff>171450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F0A2C747-48A7-4FC5-A0BB-7445C0EB37AB}"/>
            </a:ext>
          </a:extLst>
        </xdr:cNvPr>
        <xdr:cNvSpPr txBox="1"/>
      </xdr:nvSpPr>
      <xdr:spPr>
        <a:xfrm>
          <a:off x="27670125" y="2266950"/>
          <a:ext cx="17430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Como</a:t>
          </a:r>
          <a:r>
            <a:rPr lang="pt-PT" sz="1100" baseline="0"/>
            <a:t> 0,16 &gt; 0,125 não podemos rejeitar a medida.</a:t>
          </a:r>
          <a:endParaRPr lang="pt-P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9526</xdr:rowOff>
    </xdr:from>
    <xdr:to>
      <xdr:col>13</xdr:col>
      <xdr:colOff>828676</xdr:colOff>
      <xdr:row>6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FD0B1A-E56D-4482-A9AA-EE69B2B472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9526</xdr:colOff>
      <xdr:row>14</xdr:row>
      <xdr:rowOff>19051</xdr:rowOff>
    </xdr:from>
    <xdr:to>
      <xdr:col>14</xdr:col>
      <xdr:colOff>9526</xdr:colOff>
      <xdr:row>19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818B188-E3ED-49C1-83A0-A7A8DB089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600075</xdr:colOff>
      <xdr:row>11</xdr:row>
      <xdr:rowOff>57150</xdr:rowOff>
    </xdr:from>
    <xdr:to>
      <xdr:col>24</xdr:col>
      <xdr:colOff>104775</xdr:colOff>
      <xdr:row>13</xdr:row>
      <xdr:rowOff>161925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F53D1FC4-4A3E-44F1-B3EE-A33C731AC8C0}"/>
            </a:ext>
          </a:extLst>
        </xdr:cNvPr>
        <xdr:cNvSpPr txBox="1"/>
      </xdr:nvSpPr>
      <xdr:spPr>
        <a:xfrm>
          <a:off x="13963650" y="2171700"/>
          <a:ext cx="17716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Como</a:t>
          </a:r>
          <a:r>
            <a:rPr lang="pt-PT" sz="1100" baseline="0"/>
            <a:t> 0,11 &lt; 0,5 podemos rejeitar a medida.</a:t>
          </a:r>
          <a:endParaRPr lang="pt-PT" sz="1100"/>
        </a:p>
      </xdr:txBody>
    </xdr:sp>
    <xdr:clientData/>
  </xdr:twoCellAnchor>
  <xdr:twoCellAnchor>
    <xdr:from>
      <xdr:col>31</xdr:col>
      <xdr:colOff>485775</xdr:colOff>
      <xdr:row>11</xdr:row>
      <xdr:rowOff>180975</xdr:rowOff>
    </xdr:from>
    <xdr:to>
      <xdr:col>33</xdr:col>
      <xdr:colOff>600075</xdr:colOff>
      <xdr:row>15</xdr:row>
      <xdr:rowOff>9525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8C702FD9-D18D-4D83-B6E1-5E1D83EDF688}"/>
            </a:ext>
          </a:extLst>
        </xdr:cNvPr>
        <xdr:cNvSpPr txBox="1"/>
      </xdr:nvSpPr>
      <xdr:spPr>
        <a:xfrm>
          <a:off x="20688300" y="2295525"/>
          <a:ext cx="18573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Como</a:t>
          </a:r>
          <a:r>
            <a:rPr lang="pt-PT" sz="1100" baseline="0"/>
            <a:t> 0,15 &lt; 0,25 podemos rejeitar a medida.</a:t>
          </a:r>
          <a:endParaRPr lang="pt-PT" sz="1100"/>
        </a:p>
      </xdr:txBody>
    </xdr:sp>
    <xdr:clientData/>
  </xdr:twoCellAnchor>
  <xdr:twoCellAnchor>
    <xdr:from>
      <xdr:col>41</xdr:col>
      <xdr:colOff>542925</xdr:colOff>
      <xdr:row>11</xdr:row>
      <xdr:rowOff>152400</xdr:rowOff>
    </xdr:from>
    <xdr:to>
      <xdr:col>44</xdr:col>
      <xdr:colOff>47625</xdr:colOff>
      <xdr:row>14</xdr:row>
      <xdr:rowOff>171450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E4A2C697-FDA7-4AEA-A98E-2D93A6F47BAC}"/>
            </a:ext>
          </a:extLst>
        </xdr:cNvPr>
        <xdr:cNvSpPr txBox="1"/>
      </xdr:nvSpPr>
      <xdr:spPr>
        <a:xfrm>
          <a:off x="27670125" y="2266950"/>
          <a:ext cx="17430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Como</a:t>
          </a:r>
          <a:r>
            <a:rPr lang="pt-PT" sz="1100" baseline="0"/>
            <a:t> 0,35 &gt; 0,125 não podemos rejeitar a medida.</a:t>
          </a:r>
          <a:endParaRPr lang="pt-P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9526</xdr:rowOff>
    </xdr:from>
    <xdr:to>
      <xdr:col>13</xdr:col>
      <xdr:colOff>828676</xdr:colOff>
      <xdr:row>6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2FF1D8A-D8F5-4122-9551-F003581913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9526</xdr:colOff>
      <xdr:row>14</xdr:row>
      <xdr:rowOff>19051</xdr:rowOff>
    </xdr:from>
    <xdr:to>
      <xdr:col>14</xdr:col>
      <xdr:colOff>9526</xdr:colOff>
      <xdr:row>19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EFDAC86-CC82-4952-A226-9C1F440C1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600075</xdr:colOff>
      <xdr:row>11</xdr:row>
      <xdr:rowOff>57150</xdr:rowOff>
    </xdr:from>
    <xdr:to>
      <xdr:col>24</xdr:col>
      <xdr:colOff>104775</xdr:colOff>
      <xdr:row>13</xdr:row>
      <xdr:rowOff>161925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8FB26D4-1999-472C-A47A-3B54171A6926}"/>
            </a:ext>
          </a:extLst>
        </xdr:cNvPr>
        <xdr:cNvSpPr txBox="1"/>
      </xdr:nvSpPr>
      <xdr:spPr>
        <a:xfrm>
          <a:off x="13963650" y="2162175"/>
          <a:ext cx="17716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Como</a:t>
          </a:r>
          <a:r>
            <a:rPr lang="pt-PT" sz="1100" baseline="0"/>
            <a:t> 0,32 &lt; 0,5 podemos rejeitar a medida.</a:t>
          </a:r>
          <a:endParaRPr lang="pt-PT" sz="1100"/>
        </a:p>
      </xdr:txBody>
    </xdr:sp>
    <xdr:clientData/>
  </xdr:twoCellAnchor>
  <xdr:twoCellAnchor>
    <xdr:from>
      <xdr:col>31</xdr:col>
      <xdr:colOff>485775</xdr:colOff>
      <xdr:row>11</xdr:row>
      <xdr:rowOff>180975</xdr:rowOff>
    </xdr:from>
    <xdr:to>
      <xdr:col>33</xdr:col>
      <xdr:colOff>600075</xdr:colOff>
      <xdr:row>15</xdr:row>
      <xdr:rowOff>9525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AD3C12EE-4CC5-4F35-B1F8-2A47C8533FBE}"/>
            </a:ext>
          </a:extLst>
        </xdr:cNvPr>
        <xdr:cNvSpPr txBox="1"/>
      </xdr:nvSpPr>
      <xdr:spPr>
        <a:xfrm>
          <a:off x="20688300" y="2286000"/>
          <a:ext cx="17811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Como</a:t>
          </a:r>
          <a:r>
            <a:rPr lang="pt-PT" sz="1100" baseline="0"/>
            <a:t> 0,19 &lt; 0,25 podemos rejeitar a medida.</a:t>
          </a:r>
          <a:endParaRPr lang="pt-PT" sz="1100"/>
        </a:p>
      </xdr:txBody>
    </xdr:sp>
    <xdr:clientData/>
  </xdr:twoCellAnchor>
  <xdr:twoCellAnchor>
    <xdr:from>
      <xdr:col>41</xdr:col>
      <xdr:colOff>542925</xdr:colOff>
      <xdr:row>11</xdr:row>
      <xdr:rowOff>152400</xdr:rowOff>
    </xdr:from>
    <xdr:to>
      <xdr:col>44</xdr:col>
      <xdr:colOff>47625</xdr:colOff>
      <xdr:row>14</xdr:row>
      <xdr:rowOff>171450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B8F2925E-FEFF-4D31-A940-6E25EA18D793}"/>
            </a:ext>
          </a:extLst>
        </xdr:cNvPr>
        <xdr:cNvSpPr txBox="1"/>
      </xdr:nvSpPr>
      <xdr:spPr>
        <a:xfrm>
          <a:off x="27632025" y="2257425"/>
          <a:ext cx="18954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Como</a:t>
          </a:r>
          <a:r>
            <a:rPr lang="pt-PT" sz="1100" baseline="0"/>
            <a:t> 0,51 &gt; 0,125 não podemos rejeitar a medida.</a:t>
          </a:r>
          <a:endParaRPr lang="pt-P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9526</xdr:rowOff>
    </xdr:from>
    <xdr:to>
      <xdr:col>13</xdr:col>
      <xdr:colOff>828676</xdr:colOff>
      <xdr:row>6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2B8E08-E8FD-41D5-9245-8C223522C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</xdr:colOff>
      <xdr:row>14</xdr:row>
      <xdr:rowOff>9526</xdr:rowOff>
    </xdr:from>
    <xdr:to>
      <xdr:col>13</xdr:col>
      <xdr:colOff>828676</xdr:colOff>
      <xdr:row>19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E4C8131-337E-4A1C-A78E-6DBAE8196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9526</xdr:rowOff>
    </xdr:from>
    <xdr:to>
      <xdr:col>13</xdr:col>
      <xdr:colOff>828676</xdr:colOff>
      <xdr:row>6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76390A-811E-4DA8-9E23-15631723F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9526</xdr:colOff>
      <xdr:row>14</xdr:row>
      <xdr:rowOff>19051</xdr:rowOff>
    </xdr:from>
    <xdr:to>
      <xdr:col>14</xdr:col>
      <xdr:colOff>9526</xdr:colOff>
      <xdr:row>19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FBE5457-68EF-43D6-A870-51E4AC456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9526</xdr:rowOff>
    </xdr:from>
    <xdr:to>
      <xdr:col>13</xdr:col>
      <xdr:colOff>828676</xdr:colOff>
      <xdr:row>6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91A2F6-C848-4E25-99E3-E8C97B1DA4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9526</xdr:colOff>
      <xdr:row>14</xdr:row>
      <xdr:rowOff>19051</xdr:rowOff>
    </xdr:from>
    <xdr:to>
      <xdr:col>14</xdr:col>
      <xdr:colOff>9526</xdr:colOff>
      <xdr:row>19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E442A04-D455-41DD-AA05-E4D77A862A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9526</xdr:rowOff>
    </xdr:from>
    <xdr:to>
      <xdr:col>13</xdr:col>
      <xdr:colOff>828676</xdr:colOff>
      <xdr:row>6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4C42F5-BD7A-4709-927B-1B7AA10A67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9526</xdr:colOff>
      <xdr:row>14</xdr:row>
      <xdr:rowOff>19051</xdr:rowOff>
    </xdr:from>
    <xdr:to>
      <xdr:col>14</xdr:col>
      <xdr:colOff>9526</xdr:colOff>
      <xdr:row>19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DD0FDEF-ED01-47B2-A5D0-B3070F0DF8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9526</xdr:rowOff>
    </xdr:from>
    <xdr:to>
      <xdr:col>13</xdr:col>
      <xdr:colOff>828676</xdr:colOff>
      <xdr:row>6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9643B5-DD79-492F-9A8E-0E5C6CAC8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9526</xdr:colOff>
      <xdr:row>14</xdr:row>
      <xdr:rowOff>19051</xdr:rowOff>
    </xdr:from>
    <xdr:to>
      <xdr:col>14</xdr:col>
      <xdr:colOff>9526</xdr:colOff>
      <xdr:row>19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A2B8CF2-81BB-4B96-9513-04C74C05D6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123825</xdr:rowOff>
    </xdr:from>
    <xdr:to>
      <xdr:col>29</xdr:col>
      <xdr:colOff>38100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980E363B-ABAB-4459-BAAE-6EF69A100919}"/>
                </a:ext>
              </a:extLst>
            </xdr:cNvPr>
            <xdr:cNvSpPr txBox="1"/>
          </xdr:nvSpPr>
          <xdr:spPr>
            <a:xfrm>
              <a:off x="161925" y="123825"/>
              <a:ext cx="17554575" cy="26479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100"/>
                <a:t>(s.v.r) corresponde</a:t>
              </a:r>
              <a:r>
                <a:rPr lang="pt-PT" sz="1100" baseline="0"/>
                <a:t> (sem valores rejeitados)</a:t>
              </a:r>
            </a:p>
            <a:p>
              <a:endParaRPr lang="pt-P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P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P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P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P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pt-P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sub>
                    </m:sSub>
                    <m:r>
                      <a:rPr lang="pt-PT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t-P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𝐸</m:t>
                                    </m:r>
                                  </m:num>
                                  <m:den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𝑚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pt-PT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PT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pt-P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sub>
                            </m:sSub>
                          </m:e>
                          <m:sup>
                            <m: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t-P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𝐸</m:t>
                                    </m:r>
                                  </m:num>
                                  <m:den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pt-PT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PT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pt-P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sub>
                            </m:sSub>
                          </m:e>
                          <m:sup>
                            <m: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t-P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𝐸</m:t>
                                    </m:r>
                                  </m:num>
                                  <m:den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pt-PT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PT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pt-P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sub>
                            </m:sSub>
                          </m:e>
                          <m:sup>
                            <m: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t-P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𝐸</m:t>
                                    </m:r>
                                  </m:num>
                                  <m:den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𝜕</m:t>
                                    </m:r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h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pt-PT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PT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pt-P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h</m:t>
                                </m:r>
                              </m:sub>
                            </m:sSub>
                          </m:e>
                          <m:sup>
                            <m: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PT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pt-P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sub>
                    </m:sSub>
                    <m:r>
                      <a:rPr lang="pt-PT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t-P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p>
                                      <m:sSupPr>
                                        <m:ctrlP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𝐿</m:t>
                                        </m:r>
                                      </m:e>
                                      <m:sup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sup>
                                    </m:sSup>
                                    <m:sSub>
                                      <m:sSubPr>
                                        <m:ctrlPr>
                                          <a:rPr lang="pt-PT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PT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𝑚</m:t>
                                        </m:r>
                                      </m:sub>
                                    </m:sSub>
                                  </m:num>
                                  <m:den>
                                    <m:sSup>
                                      <m:sSupPr>
                                        <m:ctrlP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4</m:t>
                                        </m:r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𝑏h</m:t>
                                        </m:r>
                                      </m:e>
                                      <m:sup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sup>
                                    </m:sSup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t-P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𝑚</m:t>
                                    </m:r>
                                    <m:sSup>
                                      <m:sSupPr>
                                        <m:ctrlP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𝐿</m:t>
                                        </m:r>
                                      </m:e>
                                      <m:sup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  <m:sSub>
                                      <m:sSubPr>
                                        <m:ctrlPr>
                                          <a:rPr lang="pt-PT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PT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𝐿</m:t>
                                        </m:r>
                                      </m:sub>
                                    </m:sSub>
                                  </m:num>
                                  <m:den>
                                    <m:sSup>
                                      <m:sSupPr>
                                        <m:ctrlP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4</m:t>
                                        </m:r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𝑏h</m:t>
                                        </m:r>
                                      </m:e>
                                      <m:sup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sup>
                                    </m:sSup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t-P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𝑚</m:t>
                                    </m:r>
                                    <m:sSup>
                                      <m:sSupPr>
                                        <m:ctrlP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𝐿</m:t>
                                        </m:r>
                                      </m:e>
                                      <m:sup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sup>
                                    </m:sSup>
                                    <m:sSub>
                                      <m:sSubPr>
                                        <m:ctrlPr>
                                          <a:rPr lang="pt-PT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PT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𝑏</m:t>
                                        </m:r>
                                      </m:sub>
                                    </m:sSub>
                                  </m:num>
                                  <m:den>
                                    <m:sSup>
                                      <m:sSupPr>
                                        <m:ctrlP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4</m:t>
                                        </m:r>
                                        <m:sSup>
                                          <m:sSupPr>
                                            <m:ctrlPr>
                                              <a:rPr lang="pt-P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r>
                                              <a:rPr lang="pt-P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𝑏</m:t>
                                            </m:r>
                                          </m:e>
                                          <m:sup>
                                            <m:r>
                                              <a:rPr lang="pt-P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p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h</m:t>
                                        </m:r>
                                      </m:e>
                                      <m:sup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sup>
                                    </m:sSup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t-PT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  <m:r>
                                      <a:rPr lang="pt-P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𝑚</m:t>
                                    </m:r>
                                    <m:sSup>
                                      <m:sSupPr>
                                        <m:ctrlP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𝐿</m:t>
                                        </m:r>
                                      </m:e>
                                      <m:sup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sup>
                                    </m:sSup>
                                    <m:sSub>
                                      <m:sSubPr>
                                        <m:ctrlPr>
                                          <a:rPr lang="pt-PT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PT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h</m:t>
                                        </m:r>
                                      </m:sub>
                                    </m:sSub>
                                  </m:num>
                                  <m:den>
                                    <m:sSup>
                                      <m:sSupPr>
                                        <m:ctrlP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4</m:t>
                                        </m:r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𝑏h</m:t>
                                        </m:r>
                                      </m:e>
                                      <m:sup>
                                        <m:r>
                                          <a:rPr lang="pt-P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4</m:t>
                                        </m:r>
                                      </m:sup>
                                    </m:sSup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PT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980E363B-ABAB-4459-BAAE-6EF69A100919}"/>
                </a:ext>
              </a:extLst>
            </xdr:cNvPr>
            <xdr:cNvSpPr txBox="1"/>
          </xdr:nvSpPr>
          <xdr:spPr>
            <a:xfrm>
              <a:off x="161925" y="123825"/>
              <a:ext cx="17554575" cy="26479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100"/>
                <a:t>(s.v.r) corresponde</a:t>
              </a:r>
              <a:r>
                <a:rPr lang="pt-PT" sz="1100" baseline="0"/>
                <a:t> (sem valores rejeitados)</a:t>
              </a:r>
            </a:p>
            <a:p>
              <a:endParaRPr lang="pt-P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P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P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P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P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pt-PT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pt-P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𝐸=√((𝜕𝐸/𝜕𝑚)^2 〖</a:t>
              </a:r>
              <a:r>
                <a:rPr lang="pt-PT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pt-P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𝑚〗^2+(𝜕𝐸/𝜕𝐿)^2 〖</a:t>
              </a:r>
              <a:r>
                <a:rPr lang="pt-PT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pt-P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𝐿〗^2+(𝜕𝐸/𝜕𝑏)^2 〖</a:t>
              </a:r>
              <a:r>
                <a:rPr lang="pt-PT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pt-P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𝑏〗^2+(𝜕𝐸/𝜕ℎ)^2 〖</a:t>
              </a:r>
              <a:r>
                <a:rPr lang="pt-PT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pt-P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ℎ〗^2 )</a:t>
              </a:r>
              <a:endParaRPr lang="pt-PT">
                <a:effectLst/>
              </a:endParaRPr>
            </a:p>
            <a:p>
              <a:r>
                <a:rPr lang="pt-PT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pt-P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𝐸=√(((𝐿^3 </a:t>
              </a:r>
              <a:r>
                <a:rPr lang="pt-PT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pt-P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𝑚)/〖4𝑏ℎ〗^3 )^2+((2𝑚𝐿^2 </a:t>
              </a:r>
              <a:r>
                <a:rPr lang="pt-PT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pt-P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𝐿)/〖4𝑏ℎ〗^3 )^2+((𝑚𝐿^3 </a:t>
              </a:r>
              <a:r>
                <a:rPr lang="pt-PT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pt-P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𝑏)/〖4𝑏^2 ℎ〗^3 )^2+((3𝑚𝐿^3 </a:t>
              </a:r>
              <a:r>
                <a:rPr lang="pt-PT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pt-P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ℎ)/〖4𝑏ℎ〗^4 )^2 )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17E4-6552-4F48-A9C7-42A5E8A4D612}">
  <dimension ref="A1:AR25"/>
  <sheetViews>
    <sheetView workbookViewId="0">
      <selection activeCell="F18" sqref="F18"/>
    </sheetView>
  </sheetViews>
  <sheetFormatPr defaultRowHeight="15" x14ac:dyDescent="0.25"/>
  <cols>
    <col min="3" max="3" width="2.140625" customWidth="1"/>
    <col min="9" max="9" width="9.140625" style="33"/>
    <col min="10" max="10" width="12" customWidth="1"/>
    <col min="11" max="11" width="11.42578125" customWidth="1"/>
    <col min="12" max="12" width="12" bestFit="1" customWidth="1"/>
    <col min="13" max="13" width="11.28515625" customWidth="1"/>
    <col min="14" max="14" width="12.7109375" customWidth="1"/>
    <col min="18" max="18" width="8.5703125" bestFit="1" customWidth="1"/>
    <col min="19" max="19" width="13.7109375" bestFit="1" customWidth="1"/>
    <col min="23" max="23" width="15.7109375" bestFit="1" customWidth="1"/>
    <col min="29" max="29" width="13.7109375" bestFit="1" customWidth="1"/>
    <col min="33" max="33" width="16" customWidth="1"/>
    <col min="39" max="39" width="13.7109375" bestFit="1" customWidth="1"/>
    <col min="43" max="43" width="16.85546875" customWidth="1"/>
  </cols>
  <sheetData>
    <row r="1" spans="1:44" x14ac:dyDescent="0.25">
      <c r="A1" s="1"/>
      <c r="B1" s="2" t="s">
        <v>0</v>
      </c>
      <c r="C1" s="1"/>
      <c r="D1" s="2" t="s">
        <v>1</v>
      </c>
      <c r="F1" s="2" t="s">
        <v>8</v>
      </c>
      <c r="G1" s="2" t="s">
        <v>7</v>
      </c>
      <c r="H1" s="5" t="s">
        <v>16</v>
      </c>
      <c r="J1" s="77" t="s">
        <v>17</v>
      </c>
      <c r="K1" s="77"/>
      <c r="L1" s="77"/>
      <c r="M1" s="77"/>
      <c r="N1" s="77"/>
    </row>
    <row r="2" spans="1:44" x14ac:dyDescent="0.25">
      <c r="A2" s="2" t="s">
        <v>2</v>
      </c>
      <c r="B2" s="7">
        <v>0.104</v>
      </c>
      <c r="C2" s="3" t="s">
        <v>5</v>
      </c>
      <c r="D2" s="7">
        <v>5.0000000000000001E-3</v>
      </c>
      <c r="F2" s="7">
        <v>0</v>
      </c>
      <c r="G2" s="7">
        <f>H2*$B$9</f>
        <v>0</v>
      </c>
      <c r="H2" s="7">
        <v>0</v>
      </c>
      <c r="I2" s="34"/>
      <c r="J2" s="88" t="s">
        <v>9</v>
      </c>
      <c r="K2" s="88"/>
      <c r="W2" s="77" t="s">
        <v>27</v>
      </c>
      <c r="X2" s="77"/>
      <c r="AG2" s="77" t="s">
        <v>27</v>
      </c>
      <c r="AH2" s="77"/>
      <c r="AQ2" s="77" t="s">
        <v>27</v>
      </c>
      <c r="AR2" s="77"/>
    </row>
    <row r="3" spans="1:44" ht="17.25" customHeight="1" x14ac:dyDescent="0.25">
      <c r="A3" s="2" t="s">
        <v>3</v>
      </c>
      <c r="B3" s="7">
        <v>2.7E-2</v>
      </c>
      <c r="C3" s="5" t="s">
        <v>5</v>
      </c>
      <c r="D3" s="7">
        <v>5.0000000000000001E-3</v>
      </c>
      <c r="F3" s="7">
        <v>2.1499999999999999E-4</v>
      </c>
      <c r="G3" s="7">
        <f t="shared" ref="G3:G12" si="0">H3*$B$9</f>
        <v>0.97833400000000004</v>
      </c>
      <c r="H3" s="7">
        <v>9.9830000000000002E-2</v>
      </c>
      <c r="I3" s="34"/>
      <c r="J3" s="4" cm="1">
        <f t="array" ref="J3:K7">LINEST(G3:G7,F3:F7,FALSE,TRUE)</f>
        <v>4929.918245812768</v>
      </c>
      <c r="K3" s="4">
        <v>0</v>
      </c>
      <c r="P3" s="5" t="s">
        <v>20</v>
      </c>
      <c r="R3" s="5" t="s">
        <v>21</v>
      </c>
      <c r="S3" s="5" t="s">
        <v>22</v>
      </c>
      <c r="T3" s="77" t="s">
        <v>18</v>
      </c>
      <c r="U3" s="77"/>
      <c r="W3" s="35" t="s">
        <v>24</v>
      </c>
      <c r="X3" s="39">
        <f>P12</f>
        <v>82924374922.839508</v>
      </c>
      <c r="Z3" s="5" t="s">
        <v>20</v>
      </c>
      <c r="AB3" s="5" t="s">
        <v>21</v>
      </c>
      <c r="AC3" s="5" t="s">
        <v>22</v>
      </c>
      <c r="AD3" s="77" t="s">
        <v>18</v>
      </c>
      <c r="AE3" s="77"/>
      <c r="AG3" s="6" t="s">
        <v>24</v>
      </c>
      <c r="AH3" s="39">
        <f>Z11</f>
        <v>86516780958.13205</v>
      </c>
      <c r="AJ3" s="5" t="s">
        <v>20</v>
      </c>
      <c r="AL3" s="5" t="s">
        <v>21</v>
      </c>
      <c r="AM3" s="5" t="s">
        <v>22</v>
      </c>
      <c r="AN3" s="77" t="s">
        <v>18</v>
      </c>
      <c r="AO3" s="77"/>
      <c r="AQ3" s="6" t="s">
        <v>24</v>
      </c>
      <c r="AR3" s="39">
        <f>AJ8</f>
        <v>101493262962.96298</v>
      </c>
    </row>
    <row r="4" spans="1:44" x14ac:dyDescent="0.25">
      <c r="A4" s="2" t="s">
        <v>4</v>
      </c>
      <c r="B4" s="7">
        <v>8.0000000000000004E-4</v>
      </c>
      <c r="C4" s="5" t="s">
        <v>5</v>
      </c>
      <c r="D4" s="7">
        <v>5.0000000000000002E-5</v>
      </c>
      <c r="F4" s="7">
        <v>4.0000000000000002E-4</v>
      </c>
      <c r="G4" s="7">
        <f t="shared" si="0"/>
        <v>1.9563740000000001</v>
      </c>
      <c r="H4" s="7">
        <f>H3+0.0998</f>
        <v>0.19963</v>
      </c>
      <c r="I4" s="34"/>
      <c r="J4" s="4">
        <v>43.396158181782674</v>
      </c>
      <c r="K4" s="4" t="e">
        <v>#N/A</v>
      </c>
      <c r="P4" s="37">
        <f>(($B$2^3)*G3)/(4*F3*($B$4^3)*$B$3)</f>
        <v>92566744099.913879</v>
      </c>
      <c r="R4" s="38">
        <f>AVERAGE(P4:P12)</f>
        <v>94500730354.526321</v>
      </c>
      <c r="S4" s="38">
        <f>_xlfn.STDEV.S(P4:P12)</f>
        <v>6404542134.8837204</v>
      </c>
      <c r="T4" s="78">
        <f>(L10-R4)/S4</f>
        <v>4.4498527834247916</v>
      </c>
      <c r="U4" s="78"/>
      <c r="W4" s="40" t="s">
        <v>25</v>
      </c>
      <c r="X4" s="39">
        <f>ABS(R4-X3)</f>
        <v>11576355431.686813</v>
      </c>
      <c r="Z4" s="37">
        <f>(($B$2^3)*G3)/(4*F3*($B$4^3)*$B$3)</f>
        <v>92566744099.913879</v>
      </c>
      <c r="AB4" s="38">
        <f>AVERAGE(Z4:Z11)</f>
        <v>95947774783.487183</v>
      </c>
      <c r="AC4" s="38">
        <f>_xlfn.STDEV.S(Z4:Z11)</f>
        <v>5033910350.8699503</v>
      </c>
      <c r="AD4" s="78">
        <f>(L10-AB4)/AC4</f>
        <v>5.3739982103252411</v>
      </c>
      <c r="AE4" s="78"/>
      <c r="AG4" s="3" t="s">
        <v>25</v>
      </c>
      <c r="AH4" s="39">
        <f>ABS(AB4-AH3)</f>
        <v>9430993825.3551331</v>
      </c>
      <c r="AJ4" s="37">
        <f>(($B$2^3)*G3)/(4*F3*($B$4^3)*$B$3)</f>
        <v>92566744099.913879</v>
      </c>
      <c r="AL4" s="38">
        <f>AVERAGE(AJ4:AJ10)</f>
        <v>97295059615.680771</v>
      </c>
      <c r="AM4" s="38">
        <f>_xlfn.STDEV.S(AJ4:AJ10)</f>
        <v>3552742942.1239758</v>
      </c>
      <c r="AN4" s="78">
        <f>(L10-AL4)/AM4</f>
        <v>7.2352379001425193</v>
      </c>
      <c r="AO4" s="78"/>
      <c r="AQ4" s="3" t="s">
        <v>25</v>
      </c>
      <c r="AR4" s="39">
        <f>ABS(AL4-AR3)</f>
        <v>4198203347.2822113</v>
      </c>
    </row>
    <row r="5" spans="1:44" x14ac:dyDescent="0.25">
      <c r="A5" s="2" t="s">
        <v>6</v>
      </c>
      <c r="B5" s="7">
        <f>B2/2</f>
        <v>5.1999999999999998E-2</v>
      </c>
      <c r="C5" s="5" t="s">
        <v>5</v>
      </c>
      <c r="D5" s="7">
        <v>5.0000000000000001E-3</v>
      </c>
      <c r="F5" s="7">
        <v>6.0999999999999997E-4</v>
      </c>
      <c r="G5" s="7">
        <f t="shared" si="0"/>
        <v>2.9314740000000001</v>
      </c>
      <c r="H5" s="7">
        <f>H4+0.0995</f>
        <v>0.29913000000000001</v>
      </c>
      <c r="I5" s="34"/>
      <c r="J5" s="4">
        <v>0.99969015211377721</v>
      </c>
      <c r="K5" s="4">
        <v>6.3820760353165529E-2</v>
      </c>
      <c r="P5" s="37">
        <f>(($B$2^3)*G4)/(4*F4*($B$4^3)*$B$3)</f>
        <v>99494298101.851852</v>
      </c>
      <c r="W5" s="79" t="s">
        <v>18</v>
      </c>
      <c r="X5" s="78">
        <f>X4/S4</f>
        <v>1.8075227218248275</v>
      </c>
      <c r="Z5" s="37">
        <f t="shared" ref="Z5:Z11" si="1">(($B$2^3)*G4)/(4*F4*($B$4^3)*$B$3)</f>
        <v>99494298101.851852</v>
      </c>
      <c r="AG5" s="79" t="s">
        <v>18</v>
      </c>
      <c r="AH5" s="78">
        <f>AH4/AC4</f>
        <v>1.8734926067416531</v>
      </c>
      <c r="AJ5" s="37">
        <f t="shared" ref="AJ5:AJ10" si="2">(($B$2^3)*G4)/(4*F4*($B$4^3)*$B$3)</f>
        <v>99494298101.851852</v>
      </c>
      <c r="AQ5" s="79" t="s">
        <v>18</v>
      </c>
      <c r="AR5" s="78">
        <f>AR4/AM4</f>
        <v>1.1816794560352719</v>
      </c>
    </row>
    <row r="6" spans="1:44" x14ac:dyDescent="0.25">
      <c r="F6" s="7">
        <v>7.9000000000000001E-4</v>
      </c>
      <c r="G6" s="7">
        <f t="shared" si="0"/>
        <v>3.9111800000000003</v>
      </c>
      <c r="H6" s="7">
        <f>H5+0.09997</f>
        <v>0.39910000000000001</v>
      </c>
      <c r="I6" s="34"/>
      <c r="J6" s="4">
        <v>12905.560393528691</v>
      </c>
      <c r="K6" s="4">
        <v>4</v>
      </c>
      <c r="P6" s="37">
        <f>(($B$2^3)*G5)/(4*F5*($B$4^3)*$B$3)</f>
        <v>97760297176.684891</v>
      </c>
      <c r="R6" s="77" t="s">
        <v>17</v>
      </c>
      <c r="S6" s="77"/>
      <c r="T6" s="77"/>
      <c r="U6" s="77"/>
      <c r="W6" s="79"/>
      <c r="X6" s="78"/>
      <c r="Z6" s="37">
        <f t="shared" si="1"/>
        <v>97760297176.684891</v>
      </c>
      <c r="AB6" s="77" t="s">
        <v>17</v>
      </c>
      <c r="AC6" s="77"/>
      <c r="AD6" s="77"/>
      <c r="AE6" s="77"/>
      <c r="AG6" s="79"/>
      <c r="AH6" s="78"/>
      <c r="AJ6" s="37">
        <f t="shared" si="2"/>
        <v>97760297176.684891</v>
      </c>
      <c r="AL6" s="77" t="s">
        <v>17</v>
      </c>
      <c r="AM6" s="77"/>
      <c r="AN6" s="77"/>
      <c r="AO6" s="77"/>
      <c r="AQ6" s="79"/>
      <c r="AR6" s="78"/>
    </row>
    <row r="7" spans="1:44" x14ac:dyDescent="0.25">
      <c r="F7" s="7">
        <v>9.7999999999999997E-4</v>
      </c>
      <c r="G7" s="7">
        <f t="shared" si="0"/>
        <v>4.8894160000000007</v>
      </c>
      <c r="H7" s="7">
        <f>H6+0.09982</f>
        <v>0.49892000000000003</v>
      </c>
      <c r="I7" s="34"/>
      <c r="J7" s="4">
        <v>52.565501911755781</v>
      </c>
      <c r="K7" s="4">
        <v>1.6292357808224741E-2</v>
      </c>
      <c r="P7" s="37">
        <f t="shared" ref="P7:P10" si="3">(($B$2^3)*G6)/(4*F6*($B$4^3)*$B$3)</f>
        <v>100713343413.03329</v>
      </c>
      <c r="R7" s="5" t="s">
        <v>21</v>
      </c>
      <c r="S7" s="5" t="s">
        <v>22</v>
      </c>
      <c r="T7" s="77" t="s">
        <v>18</v>
      </c>
      <c r="U7" s="77"/>
      <c r="W7" s="79" t="s">
        <v>26</v>
      </c>
      <c r="X7" s="80">
        <v>3.5099999999999999E-2</v>
      </c>
      <c r="Z7" s="37">
        <f t="shared" si="1"/>
        <v>100713343413.03329</v>
      </c>
      <c r="AB7" s="5" t="s">
        <v>21</v>
      </c>
      <c r="AC7" s="5" t="s">
        <v>22</v>
      </c>
      <c r="AD7" s="77" t="s">
        <v>18</v>
      </c>
      <c r="AE7" s="77"/>
      <c r="AG7" s="79" t="s">
        <v>26</v>
      </c>
      <c r="AH7" s="80">
        <v>3.0700000000000002E-2</v>
      </c>
      <c r="AJ7" s="37">
        <f t="shared" si="2"/>
        <v>100713343413.03329</v>
      </c>
      <c r="AL7" s="5" t="s">
        <v>21</v>
      </c>
      <c r="AM7" s="5" t="s">
        <v>22</v>
      </c>
      <c r="AN7" s="77" t="s">
        <v>18</v>
      </c>
      <c r="AO7" s="77"/>
      <c r="AQ7" s="79" t="s">
        <v>26</v>
      </c>
      <c r="AR7" s="80">
        <v>0.11899999999999999</v>
      </c>
    </row>
    <row r="8" spans="1:44" x14ac:dyDescent="0.25">
      <c r="A8" s="77" t="s">
        <v>13</v>
      </c>
      <c r="B8" s="77"/>
      <c r="F8" s="7">
        <v>8.3000000000000001E-4</v>
      </c>
      <c r="G8" s="7">
        <f t="shared" si="0"/>
        <v>3.9111800000000003</v>
      </c>
      <c r="H8" s="7">
        <v>0.39910000000000001</v>
      </c>
      <c r="I8" s="34"/>
      <c r="J8" s="79" t="s">
        <v>10</v>
      </c>
      <c r="K8" s="79"/>
      <c r="L8" s="79" t="s">
        <v>11</v>
      </c>
      <c r="M8" s="79"/>
      <c r="N8" s="79" t="s">
        <v>12</v>
      </c>
      <c r="P8" s="37">
        <f t="shared" si="3"/>
        <v>101493262962.96298</v>
      </c>
      <c r="R8" s="38">
        <f>AVERAGE(P4:P8)</f>
        <v>98405589150.889374</v>
      </c>
      <c r="S8" s="38">
        <f>_xlfn.STDEV.S(P4:P8)</f>
        <v>3555040778.4365907</v>
      </c>
      <c r="T8" s="78">
        <f>(L10-R8)/S8</f>
        <v>6.9181796727312292</v>
      </c>
      <c r="U8" s="78"/>
      <c r="W8" s="79"/>
      <c r="X8" s="80"/>
      <c r="Z8" s="37">
        <f t="shared" si="1"/>
        <v>101493262962.96298</v>
      </c>
      <c r="AB8" s="38">
        <f>AVERAGE(Z4:Z8)</f>
        <v>98405589150.889374</v>
      </c>
      <c r="AC8" s="38">
        <f>_xlfn.STDEV.S(Z4:Z8)</f>
        <v>3555040778.4365907</v>
      </c>
      <c r="AD8" s="78">
        <f>(L10-AB8)/AC8</f>
        <v>6.9181796727312292</v>
      </c>
      <c r="AE8" s="78"/>
      <c r="AG8" s="79"/>
      <c r="AH8" s="80"/>
      <c r="AJ8" s="37">
        <f t="shared" si="2"/>
        <v>101493262962.96298</v>
      </c>
      <c r="AL8" s="38">
        <f>AVERAGE(AJ4:AJ8)</f>
        <v>98405589150.889374</v>
      </c>
      <c r="AM8" s="38">
        <f>_xlfn.STDEV.S(AJ4:AJ8)</f>
        <v>3555040778.4365907</v>
      </c>
      <c r="AN8" s="78">
        <f>(L10-AL8)/AM8</f>
        <v>6.9181796727312292</v>
      </c>
      <c r="AO8" s="78"/>
      <c r="AQ8" s="79"/>
      <c r="AR8" s="80"/>
    </row>
    <row r="9" spans="1:44" x14ac:dyDescent="0.25">
      <c r="A9" s="32" t="s">
        <v>14</v>
      </c>
      <c r="B9" s="4">
        <v>9.8000000000000007</v>
      </c>
      <c r="F9" s="7">
        <v>6.4000000000000005E-4</v>
      </c>
      <c r="G9" s="7">
        <f t="shared" si="0"/>
        <v>2.9314740000000001</v>
      </c>
      <c r="H9" s="7">
        <v>0.29913000000000001</v>
      </c>
      <c r="I9" s="34"/>
      <c r="J9" s="79"/>
      <c r="K9" s="79"/>
      <c r="L9" s="79"/>
      <c r="M9" s="79"/>
      <c r="N9" s="79"/>
      <c r="P9" s="37">
        <f t="shared" si="3"/>
        <v>95859688308.790726</v>
      </c>
      <c r="W9" s="79"/>
      <c r="X9" s="80"/>
      <c r="Z9" s="37">
        <f t="shared" si="1"/>
        <v>95859688308.790726</v>
      </c>
      <c r="AG9" s="79"/>
      <c r="AH9" s="80"/>
      <c r="AJ9" s="37">
        <f t="shared" si="2"/>
        <v>95859688308.790726</v>
      </c>
      <c r="AQ9" s="79"/>
      <c r="AR9" s="80"/>
    </row>
    <row r="10" spans="1:44" x14ac:dyDescent="0.25">
      <c r="F10" s="60">
        <v>4.6000000000000001E-4</v>
      </c>
      <c r="G10" s="60">
        <f t="shared" si="0"/>
        <v>1.9563740000000001</v>
      </c>
      <c r="H10" s="60">
        <v>0.19963</v>
      </c>
      <c r="I10" s="34"/>
      <c r="J10" s="82">
        <f>J3*(B2^3)/(4*B3*(B4^3))</f>
        <v>100287318389.35788</v>
      </c>
      <c r="K10" s="82"/>
      <c r="L10" s="82">
        <f>123*10^9</f>
        <v>123000000000</v>
      </c>
      <c r="M10" s="82"/>
      <c r="N10" s="36">
        <f>ABS(J10-L10)/L10</f>
        <v>0.18465594805400098</v>
      </c>
      <c r="P10" s="37">
        <f t="shared" si="3"/>
        <v>93177783246.527771</v>
      </c>
      <c r="R10" s="77" t="s">
        <v>23</v>
      </c>
      <c r="S10" s="77"/>
      <c r="T10" s="77"/>
      <c r="U10" s="77"/>
      <c r="W10" s="5" t="s">
        <v>28</v>
      </c>
      <c r="X10" s="7">
        <v>9</v>
      </c>
      <c r="Z10" s="37">
        <f t="shared" si="1"/>
        <v>93177783246.527771</v>
      </c>
      <c r="AB10" s="77" t="s">
        <v>23</v>
      </c>
      <c r="AC10" s="77"/>
      <c r="AD10" s="77"/>
      <c r="AE10" s="77"/>
      <c r="AG10" s="5" t="s">
        <v>28</v>
      </c>
      <c r="AH10" s="7">
        <f>X10-1</f>
        <v>8</v>
      </c>
      <c r="AJ10" s="37">
        <f t="shared" si="2"/>
        <v>93177783246.527771</v>
      </c>
      <c r="AL10" s="77" t="s">
        <v>23</v>
      </c>
      <c r="AM10" s="77"/>
      <c r="AN10" s="77"/>
      <c r="AO10" s="77"/>
      <c r="AQ10" s="5" t="s">
        <v>28</v>
      </c>
      <c r="AR10" s="7">
        <f>AH10-1</f>
        <v>7</v>
      </c>
    </row>
    <row r="11" spans="1:44" ht="15" customHeight="1" x14ac:dyDescent="0.25">
      <c r="F11" s="60">
        <v>2.4000000000000001E-4</v>
      </c>
      <c r="G11" s="60">
        <f t="shared" si="0"/>
        <v>0.97833400000000004</v>
      </c>
      <c r="H11" s="60">
        <v>9.9830000000000002E-2</v>
      </c>
      <c r="I11" s="34"/>
      <c r="J11" s="83" t="s">
        <v>19</v>
      </c>
      <c r="K11" s="84"/>
      <c r="L11" s="87">
        <f>SQRT(((((B2^3)*J4/(4*B3*(B4^3)))^2)+(((B2^2)*3*J3*D2/(4*B3*(B4^3)))^2)+(((B2^3)*J3*D3/(4*(B3^2)*(B4^3)))^2)+((J3*(B2^3)*3*D4/(4*B3*(B4^4)))^2)))</f>
        <v>30141270303.064312</v>
      </c>
      <c r="P11" s="37">
        <f>(($B$2^3)*G10)/(4*F10*($B$4^3)*$B$3)</f>
        <v>86516780958.13205</v>
      </c>
      <c r="R11" s="5" t="s">
        <v>21</v>
      </c>
      <c r="S11" s="5" t="s">
        <v>22</v>
      </c>
      <c r="T11" s="77" t="s">
        <v>18</v>
      </c>
      <c r="U11" s="77"/>
      <c r="W11" s="1"/>
      <c r="X11" s="36">
        <f>X7*X10</f>
        <v>0.31590000000000001</v>
      </c>
      <c r="Z11" s="37">
        <f t="shared" si="1"/>
        <v>86516780958.13205</v>
      </c>
      <c r="AB11" s="5" t="s">
        <v>21</v>
      </c>
      <c r="AC11" s="5" t="s">
        <v>22</v>
      </c>
      <c r="AD11" s="77" t="s">
        <v>18</v>
      </c>
      <c r="AE11" s="77"/>
      <c r="AG11" s="1"/>
      <c r="AH11" s="47">
        <f>AH7*AH10</f>
        <v>0.24560000000000001</v>
      </c>
      <c r="AL11" s="5" t="s">
        <v>21</v>
      </c>
      <c r="AM11" s="5" t="s">
        <v>22</v>
      </c>
      <c r="AN11" s="77" t="s">
        <v>18</v>
      </c>
      <c r="AO11" s="77"/>
      <c r="AQ11" s="1"/>
      <c r="AR11" s="47">
        <f>AR7*AR10</f>
        <v>0.83299999999999996</v>
      </c>
    </row>
    <row r="12" spans="1:44" x14ac:dyDescent="0.25">
      <c r="F12" s="7">
        <v>0</v>
      </c>
      <c r="G12" s="7">
        <f t="shared" si="0"/>
        <v>0</v>
      </c>
      <c r="H12" s="7">
        <v>0</v>
      </c>
      <c r="I12" s="34"/>
      <c r="J12" s="85"/>
      <c r="K12" s="86"/>
      <c r="L12" s="87"/>
      <c r="P12" s="37">
        <f>(($B$2^3)*G11)/(4*F11*($B$4^3)*$B$3)</f>
        <v>82924374922.839508</v>
      </c>
      <c r="R12" s="38">
        <f>AVERAGE(P8:P12)</f>
        <v>91994378079.850616</v>
      </c>
      <c r="S12" s="38">
        <f>_xlfn.STDEV.S(P8:P12)</f>
        <v>7396602471.2894173</v>
      </c>
      <c r="T12" s="78">
        <f>(L10-R12)/S12</f>
        <v>4.191873504152821</v>
      </c>
      <c r="U12" s="78"/>
      <c r="AB12" s="38">
        <f>AVERAGE(Z8:Z12)</f>
        <v>94261878869.103394</v>
      </c>
      <c r="AC12" s="38">
        <f>_xlfn.STDEV.S(Z8:Z12)</f>
        <v>6218459506.1236753</v>
      </c>
      <c r="AD12" s="78">
        <f>(L10-AB12)/AC12</f>
        <v>4.6214212865093875</v>
      </c>
      <c r="AE12" s="78"/>
      <c r="AL12" s="38">
        <f>AVERAGE(AJ8:AJ10)</f>
        <v>96843578172.760498</v>
      </c>
      <c r="AM12" s="38">
        <f>_xlfn.STDEV.S(AJ8:AJ10)</f>
        <v>4244152468.6241174</v>
      </c>
      <c r="AN12" s="78">
        <f>(L10-AL12)/AM12</f>
        <v>6.1629317091237708</v>
      </c>
      <c r="AO12" s="78"/>
    </row>
    <row r="14" spans="1:44" x14ac:dyDescent="0.25">
      <c r="J14" s="77" t="s">
        <v>23</v>
      </c>
      <c r="K14" s="77"/>
      <c r="L14" s="77"/>
      <c r="M14" s="77"/>
      <c r="N14" s="77"/>
    </row>
    <row r="15" spans="1:44" x14ac:dyDescent="0.25">
      <c r="J15" s="88" t="s">
        <v>9</v>
      </c>
      <c r="K15" s="88"/>
    </row>
    <row r="16" spans="1:44" x14ac:dyDescent="0.25">
      <c r="J16" s="4" cm="1">
        <f t="array" ref="J16:K20">LINEST(G7:G11,F7:F11,FALSE,TRUE)</f>
        <v>4745.8367939521486</v>
      </c>
      <c r="K16" s="4">
        <v>0</v>
      </c>
    </row>
    <row r="17" spans="10:14" x14ac:dyDescent="0.25">
      <c r="J17" s="4">
        <v>125.24409750697077</v>
      </c>
      <c r="K17" s="4" t="e">
        <v>#N/A</v>
      </c>
    </row>
    <row r="18" spans="10:14" x14ac:dyDescent="0.25">
      <c r="J18" s="4">
        <v>0.99722194553644627</v>
      </c>
      <c r="K18" s="4">
        <v>0.19109885417777184</v>
      </c>
    </row>
    <row r="19" spans="10:14" x14ac:dyDescent="0.25">
      <c r="J19" s="4">
        <v>1435.8565803792978</v>
      </c>
      <c r="K19" s="4">
        <v>4</v>
      </c>
    </row>
    <row r="20" spans="10:14" x14ac:dyDescent="0.25">
      <c r="J20" s="4">
        <v>52.43571918129178</v>
      </c>
      <c r="K20" s="4">
        <v>0.14607508827222923</v>
      </c>
    </row>
    <row r="21" spans="10:14" x14ac:dyDescent="0.25">
      <c r="J21" s="79" t="s">
        <v>10</v>
      </c>
      <c r="K21" s="79"/>
      <c r="L21" s="79" t="s">
        <v>11</v>
      </c>
      <c r="M21" s="79"/>
      <c r="N21" s="79" t="s">
        <v>12</v>
      </c>
    </row>
    <row r="22" spans="10:14" x14ac:dyDescent="0.25">
      <c r="J22" s="79"/>
      <c r="K22" s="79"/>
      <c r="L22" s="79"/>
      <c r="M22" s="79"/>
      <c r="N22" s="79"/>
    </row>
    <row r="23" spans="10:14" x14ac:dyDescent="0.25">
      <c r="J23" s="81">
        <f>J16*(B2^3)/(4*B3*(B4^3))</f>
        <v>96542624410.304352</v>
      </c>
      <c r="K23" s="81"/>
      <c r="L23" s="82">
        <f>123*10^9</f>
        <v>123000000000</v>
      </c>
      <c r="M23" s="82"/>
      <c r="N23" s="36">
        <f>ABS(J23-L23)/L23</f>
        <v>0.21510061455037113</v>
      </c>
    </row>
    <row r="24" spans="10:14" x14ac:dyDescent="0.25">
      <c r="J24" s="83" t="s">
        <v>19</v>
      </c>
      <c r="K24" s="84"/>
      <c r="L24" s="87">
        <f>SQRT(((((B2^3)*J17/(4*B3*(B4^3)))^2)+(((B2^2)*3*J16*D2/(4*B3*(B4^3)))^2)+(((B2^3)*J16*D3/(4*(B3^2)*(B4^3)))^2)+((J16*(B2^3)*3*D4/(4*B3*(B4^4)))^2)))</f>
        <v>29115047696.908417</v>
      </c>
    </row>
    <row r="25" spans="10:14" x14ac:dyDescent="0.25">
      <c r="J25" s="85"/>
      <c r="K25" s="86"/>
      <c r="L25" s="87"/>
    </row>
  </sheetData>
  <mergeCells count="58">
    <mergeCell ref="N21:N22"/>
    <mergeCell ref="N8:N9"/>
    <mergeCell ref="A8:B8"/>
    <mergeCell ref="J1:N1"/>
    <mergeCell ref="J11:K12"/>
    <mergeCell ref="L11:L12"/>
    <mergeCell ref="J2:K2"/>
    <mergeCell ref="J8:K9"/>
    <mergeCell ref="L8:M9"/>
    <mergeCell ref="J10:K10"/>
    <mergeCell ref="L10:M10"/>
    <mergeCell ref="J23:K23"/>
    <mergeCell ref="L23:M23"/>
    <mergeCell ref="J24:K25"/>
    <mergeCell ref="L24:L25"/>
    <mergeCell ref="T3:U3"/>
    <mergeCell ref="T4:U4"/>
    <mergeCell ref="R6:U6"/>
    <mergeCell ref="T7:U7"/>
    <mergeCell ref="T8:U8"/>
    <mergeCell ref="R10:U10"/>
    <mergeCell ref="T11:U11"/>
    <mergeCell ref="T12:U12"/>
    <mergeCell ref="J14:N14"/>
    <mergeCell ref="J15:K15"/>
    <mergeCell ref="J21:K22"/>
    <mergeCell ref="L21:M22"/>
    <mergeCell ref="W2:X2"/>
    <mergeCell ref="AD3:AE3"/>
    <mergeCell ref="AD4:AE4"/>
    <mergeCell ref="AB6:AE6"/>
    <mergeCell ref="AD7:AE7"/>
    <mergeCell ref="W5:W6"/>
    <mergeCell ref="X5:X6"/>
    <mergeCell ref="W7:W9"/>
    <mergeCell ref="X7:X9"/>
    <mergeCell ref="AD8:AE8"/>
    <mergeCell ref="AB10:AE10"/>
    <mergeCell ref="AD11:AE11"/>
    <mergeCell ref="AD12:AE12"/>
    <mergeCell ref="AG2:AH2"/>
    <mergeCell ref="AG5:AG6"/>
    <mergeCell ref="AH5:AH6"/>
    <mergeCell ref="AG7:AG9"/>
    <mergeCell ref="AH7:AH9"/>
    <mergeCell ref="AQ2:AR2"/>
    <mergeCell ref="AN3:AO3"/>
    <mergeCell ref="AN4:AO4"/>
    <mergeCell ref="AQ5:AQ6"/>
    <mergeCell ref="AR5:AR6"/>
    <mergeCell ref="AL6:AO6"/>
    <mergeCell ref="AN11:AO11"/>
    <mergeCell ref="AN12:AO12"/>
    <mergeCell ref="AN7:AO7"/>
    <mergeCell ref="AQ7:AQ9"/>
    <mergeCell ref="AR7:AR9"/>
    <mergeCell ref="AN8:AO8"/>
    <mergeCell ref="AL10:AO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4E69-640D-4B9E-9F11-208C32788587}">
  <dimension ref="A1:AR25"/>
  <sheetViews>
    <sheetView workbookViewId="0">
      <selection activeCell="R18" sqref="R18"/>
    </sheetView>
  </sheetViews>
  <sheetFormatPr defaultRowHeight="15" x14ac:dyDescent="0.25"/>
  <cols>
    <col min="3" max="3" width="2.140625" customWidth="1"/>
    <col min="9" max="9" width="12" customWidth="1"/>
    <col min="10" max="10" width="11.42578125" customWidth="1"/>
    <col min="12" max="12" width="11.28515625" customWidth="1"/>
    <col min="13" max="13" width="12.7109375" customWidth="1"/>
    <col min="19" max="19" width="13.7109375" bestFit="1" customWidth="1"/>
    <col min="23" max="23" width="16.5703125" customWidth="1"/>
    <col min="29" max="29" width="13.7109375" bestFit="1" customWidth="1"/>
    <col min="33" max="33" width="16.140625" customWidth="1"/>
    <col min="39" max="39" width="13.7109375" bestFit="1" customWidth="1"/>
    <col min="43" max="43" width="16.28515625" customWidth="1"/>
  </cols>
  <sheetData>
    <row r="1" spans="1:44" x14ac:dyDescent="0.25">
      <c r="A1" s="1"/>
      <c r="B1" s="11" t="s">
        <v>0</v>
      </c>
      <c r="C1" s="1"/>
      <c r="D1" s="11" t="s">
        <v>1</v>
      </c>
      <c r="F1" s="11" t="s">
        <v>8</v>
      </c>
      <c r="G1" s="11" t="s">
        <v>7</v>
      </c>
      <c r="H1" s="11" t="s">
        <v>16</v>
      </c>
      <c r="I1" s="33"/>
      <c r="J1" s="89" t="s">
        <v>17</v>
      </c>
      <c r="K1" s="89"/>
      <c r="L1" s="89"/>
      <c r="M1" s="89"/>
      <c r="N1" s="89"/>
    </row>
    <row r="2" spans="1:44" x14ac:dyDescent="0.25">
      <c r="A2" s="11" t="s">
        <v>2</v>
      </c>
      <c r="B2" s="10">
        <v>0.104</v>
      </c>
      <c r="C2" s="8" t="s">
        <v>5</v>
      </c>
      <c r="D2" s="10">
        <v>5.0000000000000001E-3</v>
      </c>
      <c r="F2" s="10">
        <v>0</v>
      </c>
      <c r="G2" s="10">
        <f>H2*$B$9</f>
        <v>0</v>
      </c>
      <c r="H2" s="10">
        <v>0</v>
      </c>
      <c r="I2" s="34"/>
      <c r="J2" s="99" t="s">
        <v>9</v>
      </c>
      <c r="K2" s="99"/>
      <c r="W2" s="89" t="s">
        <v>27</v>
      </c>
      <c r="X2" s="89"/>
      <c r="AG2" s="89" t="s">
        <v>27</v>
      </c>
      <c r="AH2" s="89"/>
      <c r="AQ2" s="89" t="s">
        <v>27</v>
      </c>
      <c r="AR2" s="89"/>
    </row>
    <row r="3" spans="1:44" ht="17.25" customHeight="1" x14ac:dyDescent="0.25">
      <c r="A3" s="11" t="s">
        <v>3</v>
      </c>
      <c r="B3" s="10">
        <v>2.5000000000000001E-2</v>
      </c>
      <c r="C3" s="11" t="s">
        <v>5</v>
      </c>
      <c r="D3" s="10">
        <v>5.0000000000000001E-3</v>
      </c>
      <c r="F3" s="10">
        <v>1.2999999999999999E-4</v>
      </c>
      <c r="G3" s="10">
        <f>H3*$B$9</f>
        <v>0.97833400000000004</v>
      </c>
      <c r="H3" s="10">
        <v>9.9830000000000002E-2</v>
      </c>
      <c r="I3" s="34"/>
      <c r="J3" s="9" cm="1">
        <f t="array" ref="J3:K7">LINEST(G3:G7,F3:F7,FALSE,TRUE)</f>
        <v>8022.084690035208</v>
      </c>
      <c r="K3" s="9">
        <v>0</v>
      </c>
      <c r="P3" s="11" t="s">
        <v>20</v>
      </c>
      <c r="R3" s="11" t="s">
        <v>21</v>
      </c>
      <c r="S3" s="11" t="s">
        <v>22</v>
      </c>
      <c r="T3" s="89" t="s">
        <v>18</v>
      </c>
      <c r="U3" s="89"/>
      <c r="W3" s="44" t="s">
        <v>24</v>
      </c>
      <c r="X3" s="46">
        <f>P12</f>
        <v>57021824222.181915</v>
      </c>
      <c r="Z3" s="11" t="s">
        <v>20</v>
      </c>
      <c r="AB3" s="11" t="s">
        <v>21</v>
      </c>
      <c r="AC3" s="11" t="s">
        <v>22</v>
      </c>
      <c r="AD3" s="89" t="s">
        <v>18</v>
      </c>
      <c r="AE3" s="89"/>
      <c r="AG3" s="12" t="s">
        <v>24</v>
      </c>
      <c r="AH3" s="46">
        <f>Z5</f>
        <v>73483752671.708817</v>
      </c>
      <c r="AJ3" s="11" t="s">
        <v>20</v>
      </c>
      <c r="AL3" s="11" t="s">
        <v>21</v>
      </c>
      <c r="AM3" s="11" t="s">
        <v>22</v>
      </c>
      <c r="AN3" s="89" t="s">
        <v>18</v>
      </c>
      <c r="AO3" s="89"/>
      <c r="AQ3" s="12" t="s">
        <v>24</v>
      </c>
      <c r="AR3" s="46">
        <f>AJ10</f>
        <v>63591709042.824928</v>
      </c>
    </row>
    <row r="4" spans="1:44" x14ac:dyDescent="0.25">
      <c r="A4" s="11" t="s">
        <v>4</v>
      </c>
      <c r="B4" s="10">
        <v>1.1000000000000001E-3</v>
      </c>
      <c r="C4" s="11" t="s">
        <v>5</v>
      </c>
      <c r="D4" s="10">
        <v>5.0000000000000002E-5</v>
      </c>
      <c r="F4" s="59">
        <v>2.2499999999999999E-4</v>
      </c>
      <c r="G4" s="59">
        <f t="shared" ref="G4:G12" si="0">H4*$B$9</f>
        <v>1.9563740000000001</v>
      </c>
      <c r="H4" s="59">
        <f>H3+0.0998</f>
        <v>0.19963</v>
      </c>
      <c r="I4" s="34"/>
      <c r="J4" s="9">
        <v>93.958662543176587</v>
      </c>
      <c r="K4" s="9" t="e">
        <v>#N/A</v>
      </c>
      <c r="P4" s="43">
        <f>(($B$2^3)*G3)/(4*F3*($B$4^3)*$B$3)</f>
        <v>63601265478.587524</v>
      </c>
      <c r="R4" s="13">
        <f>AVERAGE(P4:P12)</f>
        <v>65684575559.38913</v>
      </c>
      <c r="S4" s="13">
        <f>_xlfn.STDEV.S(P4:P12)</f>
        <v>4387545939.0277424</v>
      </c>
      <c r="T4" s="90">
        <f>(L10-R4)/S4</f>
        <v>7.3652617863579115</v>
      </c>
      <c r="U4" s="90"/>
      <c r="W4" s="45" t="s">
        <v>25</v>
      </c>
      <c r="X4" s="46">
        <f>ABS(R4-X3)</f>
        <v>8662751337.2072144</v>
      </c>
      <c r="Z4" s="43">
        <f>(($B$2^3)*G3)/(4*F3*($B$4^3)*$B$3)</f>
        <v>63601265478.587524</v>
      </c>
      <c r="AB4" s="13">
        <f>AVERAGE(Z4:Z11)</f>
        <v>66767419476.540039</v>
      </c>
      <c r="AC4" s="13">
        <f>_xlfn.STDEV.S(Z4:Z11)</f>
        <v>3152794828.5168815</v>
      </c>
      <c r="AD4" s="90">
        <f>(L10-AB4)/AC4</f>
        <v>9.9063155778367609</v>
      </c>
      <c r="AE4" s="90"/>
      <c r="AG4" s="8" t="s">
        <v>25</v>
      </c>
      <c r="AH4" s="46">
        <f>ABS(AB4-AH3)</f>
        <v>6716333195.1687775</v>
      </c>
      <c r="AJ4" s="43">
        <f>(($B$2^3)*G3)/(4*F3*($B$4^3)*$B$3)</f>
        <v>63601265478.587524</v>
      </c>
      <c r="AL4" s="13">
        <f>AVERAGE(AJ4:AJ10)</f>
        <v>65807943305.801636</v>
      </c>
      <c r="AM4" s="13">
        <f>_xlfn.STDEV.S(AJ4:AJ10)</f>
        <v>1733374039.7958784</v>
      </c>
      <c r="AN4" s="90">
        <f>(L10-AL4)/AM4</f>
        <v>18.571904248657891</v>
      </c>
      <c r="AO4" s="90"/>
      <c r="AQ4" s="8" t="s">
        <v>25</v>
      </c>
      <c r="AR4" s="46">
        <f>ABS(AL4-AR3)</f>
        <v>2216234262.9767075</v>
      </c>
    </row>
    <row r="5" spans="1:44" x14ac:dyDescent="0.25">
      <c r="A5" s="11" t="s">
        <v>6</v>
      </c>
      <c r="B5" s="10">
        <f>B2/2</f>
        <v>5.1999999999999998E-2</v>
      </c>
      <c r="C5" s="11" t="s">
        <v>5</v>
      </c>
      <c r="D5" s="10">
        <v>5.0000000000000001E-3</v>
      </c>
      <c r="F5" s="10">
        <v>3.6999999999999999E-4</v>
      </c>
      <c r="G5" s="10">
        <f t="shared" si="0"/>
        <v>2.9314740000000001</v>
      </c>
      <c r="H5" s="10">
        <f>H4+0.0995</f>
        <v>0.29913000000000001</v>
      </c>
      <c r="I5" s="34"/>
      <c r="J5" s="9">
        <v>0.99945157036637056</v>
      </c>
      <c r="K5" s="9">
        <v>8.4907912126663918E-2</v>
      </c>
      <c r="P5" s="43">
        <f>(($B$2^3)*G4)/(4*F4*($B$4^3)*$B$3)</f>
        <v>73483752671.708817</v>
      </c>
      <c r="W5" s="91" t="s">
        <v>18</v>
      </c>
      <c r="X5" s="90">
        <f>X4/S4</f>
        <v>1.9743955864144946</v>
      </c>
      <c r="Z5" s="43">
        <f t="shared" ref="Z5:Z11" si="1">(($B$2^3)*G4)/(4*F4*($B$4^3)*$B$3)</f>
        <v>73483752671.708817</v>
      </c>
      <c r="AG5" s="91" t="s">
        <v>18</v>
      </c>
      <c r="AH5" s="90">
        <f>AH4/AC4</f>
        <v>2.1302791841764832</v>
      </c>
      <c r="AJ5" s="43">
        <f>(($B$2^3)*G5)/(4*F5*($B$4^3)*$B$3)</f>
        <v>66958587721.810463</v>
      </c>
      <c r="AQ5" s="91" t="s">
        <v>18</v>
      </c>
      <c r="AR5" s="90">
        <f>AR4/AM4</f>
        <v>1.2785666636830966</v>
      </c>
    </row>
    <row r="6" spans="1:44" x14ac:dyDescent="0.25">
      <c r="F6" s="10">
        <v>4.8999999999999998E-4</v>
      </c>
      <c r="G6" s="10">
        <f t="shared" si="0"/>
        <v>3.9111800000000003</v>
      </c>
      <c r="H6" s="10">
        <f>H5+0.09997</f>
        <v>0.39910000000000001</v>
      </c>
      <c r="I6" s="34"/>
      <c r="J6" s="9">
        <v>7289.5519066106554</v>
      </c>
      <c r="K6" s="9">
        <v>4</v>
      </c>
      <c r="P6" s="43">
        <f>(($B$2^3)*G5)/(4*F5*($B$4^3)*$B$3)</f>
        <v>66958587721.810463</v>
      </c>
      <c r="R6" s="89" t="s">
        <v>17</v>
      </c>
      <c r="S6" s="89"/>
      <c r="T6" s="89"/>
      <c r="U6" s="89"/>
      <c r="W6" s="91"/>
      <c r="X6" s="90"/>
      <c r="Z6" s="43">
        <f t="shared" si="1"/>
        <v>66958587721.810463</v>
      </c>
      <c r="AB6" s="89" t="s">
        <v>17</v>
      </c>
      <c r="AC6" s="89"/>
      <c r="AD6" s="89"/>
      <c r="AE6" s="89"/>
      <c r="AG6" s="91"/>
      <c r="AH6" s="90"/>
      <c r="AJ6" s="43">
        <f t="shared" ref="AJ6:AJ10" si="2">(($B$2^3)*G6)/(4*F6*($B$4^3)*$B$3)</f>
        <v>67458034921.111946</v>
      </c>
      <c r="AL6" s="89" t="s">
        <v>17</v>
      </c>
      <c r="AM6" s="89"/>
      <c r="AN6" s="89"/>
      <c r="AO6" s="89"/>
      <c r="AQ6" s="91"/>
      <c r="AR6" s="90"/>
    </row>
    <row r="7" spans="1:44" x14ac:dyDescent="0.25">
      <c r="F7" s="10">
        <v>6.0999999999999997E-4</v>
      </c>
      <c r="G7" s="10">
        <f t="shared" si="0"/>
        <v>4.8894160000000007</v>
      </c>
      <c r="H7" s="10">
        <f>H6+0.09982</f>
        <v>0.49892000000000003</v>
      </c>
      <c r="I7" s="34"/>
      <c r="J7" s="9">
        <v>52.55295685539717</v>
      </c>
      <c r="K7" s="9">
        <v>2.8837414166837123E-2</v>
      </c>
      <c r="P7" s="43">
        <f t="shared" ref="P7:P10" si="3">(($B$2^3)*G6)/(4*F6*($B$4^3)*$B$3)</f>
        <v>67458034921.111946</v>
      </c>
      <c r="R7" s="11" t="s">
        <v>21</v>
      </c>
      <c r="S7" s="11" t="s">
        <v>22</v>
      </c>
      <c r="T7" s="89" t="s">
        <v>18</v>
      </c>
      <c r="U7" s="89"/>
      <c r="W7" s="91" t="s">
        <v>26</v>
      </c>
      <c r="X7" s="92">
        <v>2.4400000000000002E-2</v>
      </c>
      <c r="Z7" s="43">
        <f t="shared" si="1"/>
        <v>67458034921.111946</v>
      </c>
      <c r="AB7" s="11" t="s">
        <v>21</v>
      </c>
      <c r="AC7" s="11" t="s">
        <v>22</v>
      </c>
      <c r="AD7" s="89" t="s">
        <v>18</v>
      </c>
      <c r="AE7" s="89"/>
      <c r="AG7" s="91" t="s">
        <v>26</v>
      </c>
      <c r="AH7" s="92">
        <v>1.0699999999999999E-2</v>
      </c>
      <c r="AJ7" s="43">
        <f t="shared" si="2"/>
        <v>67740612129.718819</v>
      </c>
      <c r="AL7" s="11" t="s">
        <v>21</v>
      </c>
      <c r="AM7" s="11" t="s">
        <v>22</v>
      </c>
      <c r="AN7" s="89" t="s">
        <v>18</v>
      </c>
      <c r="AO7" s="89"/>
      <c r="AQ7" s="91" t="s">
        <v>26</v>
      </c>
      <c r="AR7" s="92">
        <v>0.1003</v>
      </c>
    </row>
    <row r="8" spans="1:44" ht="15" customHeight="1" x14ac:dyDescent="0.25">
      <c r="A8" s="89" t="s">
        <v>13</v>
      </c>
      <c r="B8" s="89"/>
      <c r="F8" s="10">
        <v>5.0000000000000001E-4</v>
      </c>
      <c r="G8" s="10">
        <f t="shared" si="0"/>
        <v>3.9111800000000003</v>
      </c>
      <c r="H8" s="10">
        <v>0.39910000000000001</v>
      </c>
      <c r="I8" s="34"/>
      <c r="J8" s="91" t="s">
        <v>10</v>
      </c>
      <c r="K8" s="91"/>
      <c r="L8" s="91" t="s">
        <v>11</v>
      </c>
      <c r="M8" s="91"/>
      <c r="N8" s="91" t="s">
        <v>12</v>
      </c>
      <c r="P8" s="43">
        <f t="shared" si="3"/>
        <v>67740612129.718819</v>
      </c>
      <c r="R8" s="13">
        <f>AVERAGE(P4:P8)</f>
        <v>67848450584.587509</v>
      </c>
      <c r="S8" s="13">
        <f>_xlfn.STDEV.S(P4:P8)</f>
        <v>3561991029.4288769</v>
      </c>
      <c r="T8" s="90">
        <f>(L10-R8)/S8</f>
        <v>8.464802175609897</v>
      </c>
      <c r="U8" s="90"/>
      <c r="W8" s="91"/>
      <c r="X8" s="92"/>
      <c r="Z8" s="43">
        <f t="shared" si="1"/>
        <v>67740612129.718819</v>
      </c>
      <c r="AB8" s="13">
        <f>AVERAGE(Z4:Z8)</f>
        <v>67848450584.587509</v>
      </c>
      <c r="AC8" s="13">
        <f>_xlfn.STDEV.S(Z4:Z8)</f>
        <v>3561991029.4288769</v>
      </c>
      <c r="AD8" s="90">
        <f>(L10-AB8)/AC8</f>
        <v>8.464802175609897</v>
      </c>
      <c r="AE8" s="90"/>
      <c r="AG8" s="91"/>
      <c r="AH8" s="92"/>
      <c r="AJ8" s="43">
        <f t="shared" si="2"/>
        <v>66108874222.689705</v>
      </c>
      <c r="AL8" s="13">
        <f>AVERAGE(AJ4:AJ7)</f>
        <v>66439625062.807182</v>
      </c>
      <c r="AM8" s="13">
        <f>_xlfn.STDEV.S(AJ4:AJ7)</f>
        <v>1919664324.6962924</v>
      </c>
      <c r="AN8" s="90">
        <f>(L10-AL8)/AM8</f>
        <v>16.440569599159449</v>
      </c>
      <c r="AO8" s="90"/>
      <c r="AQ8" s="91"/>
      <c r="AR8" s="92"/>
    </row>
    <row r="9" spans="1:44" x14ac:dyDescent="0.25">
      <c r="A9" s="41" t="s">
        <v>14</v>
      </c>
      <c r="B9" s="9">
        <v>9.8000000000000007</v>
      </c>
      <c r="F9" s="10">
        <v>3.8000000000000002E-4</v>
      </c>
      <c r="G9" s="10">
        <f t="shared" si="0"/>
        <v>2.9314740000000001</v>
      </c>
      <c r="H9" s="10">
        <v>0.29913000000000001</v>
      </c>
      <c r="I9" s="34"/>
      <c r="J9" s="91"/>
      <c r="K9" s="91"/>
      <c r="L9" s="91"/>
      <c r="M9" s="91"/>
      <c r="N9" s="91"/>
      <c r="P9" s="43">
        <f t="shared" si="3"/>
        <v>66108874222.689705</v>
      </c>
      <c r="W9" s="91"/>
      <c r="X9" s="92"/>
      <c r="Z9" s="43">
        <f t="shared" si="1"/>
        <v>66108874222.689705</v>
      </c>
      <c r="AG9" s="91"/>
      <c r="AH9" s="92"/>
      <c r="AJ9" s="43">
        <f t="shared" si="2"/>
        <v>65196519623.868073</v>
      </c>
      <c r="AQ9" s="91"/>
      <c r="AR9" s="92"/>
    </row>
    <row r="10" spans="1:44" x14ac:dyDescent="0.25">
      <c r="F10" s="10">
        <v>2.5999999999999998E-4</v>
      </c>
      <c r="G10" s="10">
        <f t="shared" si="0"/>
        <v>1.9563740000000001</v>
      </c>
      <c r="H10" s="10">
        <v>0.19963</v>
      </c>
      <c r="I10" s="34"/>
      <c r="J10" s="93">
        <f>J3*(B2^3)/(4*B3*(B4^3))</f>
        <v>67796801448.322792</v>
      </c>
      <c r="K10" s="93"/>
      <c r="L10" s="93">
        <f>98*10^9</f>
        <v>98000000000</v>
      </c>
      <c r="M10" s="93"/>
      <c r="N10" s="42">
        <f>ABS(J10-L10)/L10</f>
        <v>0.30819590358854293</v>
      </c>
      <c r="P10" s="43">
        <f t="shared" si="3"/>
        <v>65196519623.868073</v>
      </c>
      <c r="R10" s="89" t="s">
        <v>23</v>
      </c>
      <c r="S10" s="89"/>
      <c r="T10" s="89"/>
      <c r="U10" s="89"/>
      <c r="W10" s="11" t="s">
        <v>28</v>
      </c>
      <c r="X10" s="10">
        <v>9</v>
      </c>
      <c r="Z10" s="43">
        <f t="shared" si="1"/>
        <v>65196519623.868073</v>
      </c>
      <c r="AB10" s="89" t="s">
        <v>23</v>
      </c>
      <c r="AC10" s="89"/>
      <c r="AD10" s="89"/>
      <c r="AE10" s="89"/>
      <c r="AG10" s="11" t="s">
        <v>28</v>
      </c>
      <c r="AH10" s="10">
        <f>9-1</f>
        <v>8</v>
      </c>
      <c r="AJ10" s="43">
        <f t="shared" si="2"/>
        <v>63591709042.824928</v>
      </c>
      <c r="AL10" s="89" t="s">
        <v>23</v>
      </c>
      <c r="AM10" s="89"/>
      <c r="AN10" s="89"/>
      <c r="AO10" s="89"/>
      <c r="AQ10" s="11" t="s">
        <v>28</v>
      </c>
      <c r="AR10" s="10">
        <f>8-1</f>
        <v>7</v>
      </c>
    </row>
    <row r="11" spans="1:44" x14ac:dyDescent="0.25">
      <c r="F11" s="59">
        <v>1.45E-4</v>
      </c>
      <c r="G11" s="59">
        <f t="shared" si="0"/>
        <v>0.97833400000000004</v>
      </c>
      <c r="H11" s="59">
        <v>9.9830000000000002E-2</v>
      </c>
      <c r="I11" s="34"/>
      <c r="J11" s="94" t="s">
        <v>19</v>
      </c>
      <c r="K11" s="95"/>
      <c r="L11" s="98">
        <f>SQRT(((((B2^3)*J4/(4*B3*(B4^3)))^2)+(((B2^2)*3*J3*D2/(4*B3*(B4^3)))^2)+(((B2^3)*J3*D3/(4*(B3^2)*(B4^3)))^2)+((J3*(B2^3)*3*D4/(4*B3*(B4^4)))^2)))</f>
        <v>19119988839.829124</v>
      </c>
      <c r="P11" s="43">
        <f>(($B$2^3)*G10)/(4*F10*($B$4^3)*$B$3)</f>
        <v>63591709042.824928</v>
      </c>
      <c r="R11" s="11" t="s">
        <v>21</v>
      </c>
      <c r="S11" s="11" t="s">
        <v>22</v>
      </c>
      <c r="T11" s="89" t="s">
        <v>18</v>
      </c>
      <c r="U11" s="89"/>
      <c r="W11" s="1"/>
      <c r="X11" s="42">
        <f>X7*X10</f>
        <v>0.21960000000000002</v>
      </c>
      <c r="Z11" s="43">
        <f t="shared" si="1"/>
        <v>63591709042.824928</v>
      </c>
      <c r="AB11" s="11" t="s">
        <v>21</v>
      </c>
      <c r="AC11" s="11" t="s">
        <v>22</v>
      </c>
      <c r="AD11" s="89" t="s">
        <v>18</v>
      </c>
      <c r="AE11" s="89"/>
      <c r="AG11" s="1"/>
      <c r="AH11" s="42">
        <f>AH7*AH10</f>
        <v>8.5599999999999996E-2</v>
      </c>
      <c r="AL11" s="11" t="s">
        <v>21</v>
      </c>
      <c r="AM11" s="11" t="s">
        <v>22</v>
      </c>
      <c r="AN11" s="89" t="s">
        <v>18</v>
      </c>
      <c r="AO11" s="89"/>
      <c r="AQ11" s="1"/>
      <c r="AR11" s="42">
        <f>AR7*AR10</f>
        <v>0.70209999999999995</v>
      </c>
    </row>
    <row r="12" spans="1:44" x14ac:dyDescent="0.25">
      <c r="F12" s="10">
        <v>0</v>
      </c>
      <c r="G12" s="10">
        <f t="shared" si="0"/>
        <v>0</v>
      </c>
      <c r="H12" s="10">
        <v>0</v>
      </c>
      <c r="I12" s="34"/>
      <c r="J12" s="96"/>
      <c r="K12" s="97"/>
      <c r="L12" s="98"/>
      <c r="P12" s="43">
        <f>(($B$2^3)*G11)/(4*F11*($B$4^3)*$B$3)</f>
        <v>57021824222.181915</v>
      </c>
      <c r="R12" s="13">
        <f>AVERAGE(P8:P12)</f>
        <v>63931907848.256691</v>
      </c>
      <c r="S12" s="13">
        <f>_xlfn.STDEV.S(P8:P12)</f>
        <v>4144564053.9331408</v>
      </c>
      <c r="T12" s="90">
        <f>(L10-R12)/S12</f>
        <v>8.2199458636459255</v>
      </c>
      <c r="U12" s="90"/>
      <c r="AB12" s="13">
        <f>AVERAGE(Z8:Z12)</f>
        <v>65659428754.775383</v>
      </c>
      <c r="AC12" s="13">
        <f>_xlfn.STDEV.S(Z8:Z12)</f>
        <v>1734269792.4905365</v>
      </c>
      <c r="AD12" s="90">
        <f>(L10-AB12)/AC12</f>
        <v>18.647947041031735</v>
      </c>
      <c r="AE12" s="90"/>
      <c r="AL12" s="13">
        <f>AVERAGE(AJ7:AJ10)</f>
        <v>65659428754.775383</v>
      </c>
      <c r="AM12" s="13">
        <f>_xlfn.STDEV.S(AJ7:AJ10)</f>
        <v>1734269792.4905365</v>
      </c>
      <c r="AN12" s="90">
        <f>(L10-AL12)/AM12</f>
        <v>18.647947041031735</v>
      </c>
      <c r="AO12" s="90"/>
    </row>
    <row r="13" spans="1:44" x14ac:dyDescent="0.25">
      <c r="I13" s="33"/>
    </row>
    <row r="14" spans="1:44" x14ac:dyDescent="0.25">
      <c r="I14" s="33"/>
      <c r="J14" s="89" t="s">
        <v>23</v>
      </c>
      <c r="K14" s="89"/>
      <c r="L14" s="89"/>
      <c r="M14" s="89"/>
      <c r="N14" s="89"/>
    </row>
    <row r="15" spans="1:44" x14ac:dyDescent="0.25">
      <c r="I15" s="33"/>
      <c r="J15" s="99" t="s">
        <v>9</v>
      </c>
      <c r="K15" s="99"/>
    </row>
    <row r="16" spans="1:44" x14ac:dyDescent="0.25">
      <c r="I16" s="33"/>
      <c r="J16" s="9" cm="1">
        <f t="array" ref="J16:K20">LINEST(G7:G11,F7:F11,FALSE,TRUE)</f>
        <v>7838.1634848706335</v>
      </c>
      <c r="K16" s="9">
        <v>0</v>
      </c>
    </row>
    <row r="17" spans="9:14" x14ac:dyDescent="0.25">
      <c r="I17" s="33"/>
      <c r="J17" s="9">
        <v>115.51837043075469</v>
      </c>
      <c r="K17" s="9" t="e">
        <v>#N/A</v>
      </c>
    </row>
    <row r="18" spans="9:14" x14ac:dyDescent="0.25">
      <c r="I18" s="33"/>
      <c r="J18" s="9">
        <v>0.9991319268951756</v>
      </c>
      <c r="K18" s="9">
        <v>0.10682326690475141</v>
      </c>
    </row>
    <row r="19" spans="9:14" x14ac:dyDescent="0.25">
      <c r="I19" s="33"/>
      <c r="J19" s="9">
        <v>4603.9068430641355</v>
      </c>
      <c r="K19" s="9">
        <v>4</v>
      </c>
    </row>
    <row r="20" spans="9:14" x14ac:dyDescent="0.25">
      <c r="I20" s="33"/>
      <c r="J20" s="9">
        <v>52.536149428155191</v>
      </c>
      <c r="K20" s="9">
        <v>4.5644841408815036E-2</v>
      </c>
    </row>
    <row r="21" spans="9:14" x14ac:dyDescent="0.25">
      <c r="I21" s="33"/>
      <c r="J21" s="91" t="s">
        <v>10</v>
      </c>
      <c r="K21" s="91"/>
      <c r="L21" s="91" t="s">
        <v>11</v>
      </c>
      <c r="M21" s="91"/>
      <c r="N21" s="91" t="s">
        <v>12</v>
      </c>
    </row>
    <row r="22" spans="9:14" x14ac:dyDescent="0.25">
      <c r="I22" s="33"/>
      <c r="J22" s="91"/>
      <c r="K22" s="91"/>
      <c r="L22" s="91"/>
      <c r="M22" s="91"/>
      <c r="N22" s="91"/>
    </row>
    <row r="23" spans="9:14" x14ac:dyDescent="0.25">
      <c r="I23" s="33"/>
      <c r="J23" s="93">
        <f>J16*(B2^3)/(4*B3*(B4^3))</f>
        <v>66242433735.879181</v>
      </c>
      <c r="K23" s="93"/>
      <c r="L23" s="93">
        <f>98*10^9</f>
        <v>98000000000</v>
      </c>
      <c r="M23" s="93"/>
      <c r="N23" s="42">
        <f>ABS(J23-L23)/L23</f>
        <v>0.32405679861347775</v>
      </c>
    </row>
    <row r="24" spans="9:14" x14ac:dyDescent="0.25">
      <c r="I24" s="33"/>
      <c r="J24" s="94" t="s">
        <v>19</v>
      </c>
      <c r="K24" s="95"/>
      <c r="L24" s="98">
        <f>SQRT(((((B2^3)*J17/(4*B3*(B4^3)))^2)+(((B2^2)*3*J16*D2/(4*B3*(B4^3)))^2)+(((B2^3)*J16*D3/(4*(B3^2)*(B4^3)))^2)+((J16*(B2^3)*3*D4/(4*B3*(B4^4)))^2)))</f>
        <v>18691023483.1745</v>
      </c>
    </row>
    <row r="25" spans="9:14" x14ac:dyDescent="0.25">
      <c r="I25" s="33"/>
      <c r="J25" s="96"/>
      <c r="K25" s="97"/>
      <c r="L25" s="98"/>
    </row>
  </sheetData>
  <mergeCells count="58">
    <mergeCell ref="J1:N1"/>
    <mergeCell ref="J2:K2"/>
    <mergeCell ref="W2:X2"/>
    <mergeCell ref="AG2:AH2"/>
    <mergeCell ref="T3:U3"/>
    <mergeCell ref="AD3:AE3"/>
    <mergeCell ref="T4:U4"/>
    <mergeCell ref="AD4:AE4"/>
    <mergeCell ref="W5:W6"/>
    <mergeCell ref="X5:X6"/>
    <mergeCell ref="AG5:AG6"/>
    <mergeCell ref="AH5:AH6"/>
    <mergeCell ref="R6:U6"/>
    <mergeCell ref="AB6:AE6"/>
    <mergeCell ref="T7:U7"/>
    <mergeCell ref="W7:W9"/>
    <mergeCell ref="X7:X9"/>
    <mergeCell ref="AD7:AE7"/>
    <mergeCell ref="AG7:AG9"/>
    <mergeCell ref="AH7:AH9"/>
    <mergeCell ref="AD8:AE8"/>
    <mergeCell ref="A8:B8"/>
    <mergeCell ref="J8:K9"/>
    <mergeCell ref="L8:M9"/>
    <mergeCell ref="N8:N9"/>
    <mergeCell ref="T8:U8"/>
    <mergeCell ref="R10:U10"/>
    <mergeCell ref="AB10:AE10"/>
    <mergeCell ref="J11:K12"/>
    <mergeCell ref="L11:L12"/>
    <mergeCell ref="T11:U11"/>
    <mergeCell ref="AD11:AE11"/>
    <mergeCell ref="T12:U12"/>
    <mergeCell ref="AD12:AE12"/>
    <mergeCell ref="J10:K10"/>
    <mergeCell ref="L10:M10"/>
    <mergeCell ref="J23:K23"/>
    <mergeCell ref="L23:M23"/>
    <mergeCell ref="J24:K25"/>
    <mergeCell ref="L24:L25"/>
    <mergeCell ref="J14:N14"/>
    <mergeCell ref="J15:K15"/>
    <mergeCell ref="J21:K22"/>
    <mergeCell ref="L21:M22"/>
    <mergeCell ref="N21:N22"/>
    <mergeCell ref="AQ2:AR2"/>
    <mergeCell ref="AN3:AO3"/>
    <mergeCell ref="AN4:AO4"/>
    <mergeCell ref="AQ5:AQ6"/>
    <mergeCell ref="AR5:AR6"/>
    <mergeCell ref="AL6:AO6"/>
    <mergeCell ref="AN11:AO11"/>
    <mergeCell ref="AN12:AO12"/>
    <mergeCell ref="AN7:AO7"/>
    <mergeCell ref="AQ7:AQ9"/>
    <mergeCell ref="AR7:AR9"/>
    <mergeCell ref="AN8:AO8"/>
    <mergeCell ref="AL10:AO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6316-F5F7-43A8-964D-9F108FC19B02}">
  <dimension ref="A1:AR25"/>
  <sheetViews>
    <sheetView workbookViewId="0">
      <selection activeCell="G31" sqref="G31"/>
    </sheetView>
  </sheetViews>
  <sheetFormatPr defaultRowHeight="15" x14ac:dyDescent="0.25"/>
  <cols>
    <col min="3" max="3" width="2.140625" customWidth="1"/>
    <col min="9" max="9" width="12" customWidth="1"/>
    <col min="10" max="10" width="11.42578125" customWidth="1"/>
    <col min="12" max="12" width="11.28515625" customWidth="1"/>
    <col min="13" max="13" width="12.7109375" customWidth="1"/>
    <col min="19" max="19" width="13.7109375" bestFit="1" customWidth="1"/>
    <col min="23" max="23" width="15.7109375" customWidth="1"/>
    <col min="29" max="29" width="13.7109375" bestFit="1" customWidth="1"/>
    <col min="33" max="33" width="17" customWidth="1"/>
    <col min="39" max="39" width="13.7109375" bestFit="1" customWidth="1"/>
    <col min="43" max="43" width="15.28515625" customWidth="1"/>
  </cols>
  <sheetData>
    <row r="1" spans="1:44" x14ac:dyDescent="0.25">
      <c r="A1" s="1"/>
      <c r="B1" s="15" t="s">
        <v>0</v>
      </c>
      <c r="C1" s="1"/>
      <c r="D1" s="15" t="s">
        <v>1</v>
      </c>
      <c r="F1" s="15" t="s">
        <v>8</v>
      </c>
      <c r="G1" s="15" t="s">
        <v>7</v>
      </c>
      <c r="H1" s="15" t="s">
        <v>16</v>
      </c>
      <c r="I1" s="33"/>
      <c r="J1" s="106" t="s">
        <v>17</v>
      </c>
      <c r="K1" s="106"/>
      <c r="L1" s="106"/>
      <c r="M1" s="106"/>
      <c r="N1" s="106"/>
    </row>
    <row r="2" spans="1:44" x14ac:dyDescent="0.25">
      <c r="A2" s="15" t="s">
        <v>2</v>
      </c>
      <c r="B2" s="18">
        <v>0.104</v>
      </c>
      <c r="C2" s="14" t="s">
        <v>5</v>
      </c>
      <c r="D2" s="18">
        <v>5.0000000000000001E-3</v>
      </c>
      <c r="F2" s="18">
        <v>0</v>
      </c>
      <c r="G2" s="18">
        <f>H2*$B$9</f>
        <v>0</v>
      </c>
      <c r="H2" s="18">
        <v>0</v>
      </c>
      <c r="I2" s="34"/>
      <c r="J2" s="107" t="s">
        <v>9</v>
      </c>
      <c r="K2" s="107"/>
      <c r="L2" s="49"/>
      <c r="M2" s="49"/>
      <c r="N2" s="49"/>
      <c r="W2" s="106" t="s">
        <v>27</v>
      </c>
      <c r="X2" s="106"/>
      <c r="AG2" s="106" t="s">
        <v>27</v>
      </c>
      <c r="AH2" s="106"/>
      <c r="AQ2" s="106" t="s">
        <v>27</v>
      </c>
      <c r="AR2" s="106"/>
    </row>
    <row r="3" spans="1:44" ht="16.5" customHeight="1" x14ac:dyDescent="0.25">
      <c r="A3" s="15" t="s">
        <v>3</v>
      </c>
      <c r="B3" s="18">
        <v>2.5999999999999999E-2</v>
      </c>
      <c r="C3" s="15" t="s">
        <v>5</v>
      </c>
      <c r="D3" s="18">
        <v>5.0000000000000001E-3</v>
      </c>
      <c r="F3" s="18">
        <v>6.4999999999999994E-5</v>
      </c>
      <c r="G3" s="18">
        <f t="shared" ref="G3:G13" si="0">H3*$B$9</f>
        <v>0.97833400000000004</v>
      </c>
      <c r="H3" s="18">
        <v>9.9830000000000002E-2</v>
      </c>
      <c r="I3" s="34"/>
      <c r="J3" s="17" cm="1">
        <f t="array" ref="J3:K7">LINEST(G3:G8,F3:F8,FALSE,TRUE)</f>
        <v>14914.50484592763</v>
      </c>
      <c r="K3" s="17">
        <v>0</v>
      </c>
      <c r="P3" s="15" t="s">
        <v>20</v>
      </c>
      <c r="R3" s="15" t="s">
        <v>21</v>
      </c>
      <c r="S3" s="15" t="s">
        <v>22</v>
      </c>
      <c r="T3" s="106" t="s">
        <v>18</v>
      </c>
      <c r="U3" s="106"/>
      <c r="W3" s="50" t="s">
        <v>24</v>
      </c>
      <c r="X3" s="54">
        <f>P14</f>
        <v>154274100364.48459</v>
      </c>
      <c r="Z3" s="15" t="s">
        <v>20</v>
      </c>
      <c r="AB3" s="15" t="s">
        <v>21</v>
      </c>
      <c r="AC3" s="15" t="s">
        <v>22</v>
      </c>
      <c r="AD3" s="106" t="s">
        <v>18</v>
      </c>
      <c r="AE3" s="106"/>
      <c r="AG3" s="16" t="s">
        <v>24</v>
      </c>
      <c r="AH3" s="54">
        <f>Z13</f>
        <v>164534314498.71216</v>
      </c>
      <c r="AJ3" s="15" t="s">
        <v>20</v>
      </c>
      <c r="AL3" s="15" t="s">
        <v>21</v>
      </c>
      <c r="AM3" s="15" t="s">
        <v>22</v>
      </c>
      <c r="AN3" s="106" t="s">
        <v>18</v>
      </c>
      <c r="AO3" s="106"/>
      <c r="AQ3" s="16" t="s">
        <v>24</v>
      </c>
      <c r="AR3" s="54">
        <f>AJ12</f>
        <v>176101321358.79865</v>
      </c>
    </row>
    <row r="4" spans="1:44" x14ac:dyDescent="0.25">
      <c r="A4" s="15" t="s">
        <v>4</v>
      </c>
      <c r="B4" s="18">
        <v>9.5E-4</v>
      </c>
      <c r="C4" s="15" t="s">
        <v>5</v>
      </c>
      <c r="D4" s="18">
        <v>5.0000000000000002E-5</v>
      </c>
      <c r="F4" s="18">
        <v>1.35E-4</v>
      </c>
      <c r="G4" s="18">
        <f t="shared" si="0"/>
        <v>1.9563740000000001</v>
      </c>
      <c r="H4" s="18">
        <f>H3+0.0998</f>
        <v>0.19963</v>
      </c>
      <c r="I4" s="34"/>
      <c r="J4" s="17">
        <v>73.77155900445338</v>
      </c>
      <c r="K4" s="17" t="e">
        <v>#N/A</v>
      </c>
      <c r="P4" s="53">
        <f>(($B$2^3)*G3)/(4*F3*($B$4^3)*$B$3)</f>
        <v>189875815833.21185</v>
      </c>
      <c r="R4" s="19">
        <f>AVERAGE(P4:P14)</f>
        <v>180771537538.04575</v>
      </c>
      <c r="S4" s="19">
        <f>_xlfn.STDEV.S(P4:P14)</f>
        <v>11540177773.989458</v>
      </c>
      <c r="T4" s="109">
        <f>(L10-R4)/S4</f>
        <v>0.79968113513419126</v>
      </c>
      <c r="U4" s="109"/>
      <c r="W4" s="51" t="s">
        <v>25</v>
      </c>
      <c r="X4" s="54">
        <f>ABS(R4-X3)</f>
        <v>26497437173.561157</v>
      </c>
      <c r="Z4" s="53">
        <f>(($B$2^3)*G3)/(4*F3*($B$4^3)*$B$3)</f>
        <v>189875815833.21185</v>
      </c>
      <c r="AB4" s="19">
        <f>AVERAGE(Z4:Z13)</f>
        <v>183421281255.40186</v>
      </c>
      <c r="AC4" s="19">
        <f>_xlfn.STDEV.S(Z4:Z13)</f>
        <v>7884100992.2875109</v>
      </c>
      <c r="AD4" s="109">
        <f>(L10-AB4)/AC4</f>
        <v>0.83442852279970359</v>
      </c>
      <c r="AE4" s="109"/>
      <c r="AG4" s="14" t="s">
        <v>25</v>
      </c>
      <c r="AH4" s="54">
        <f>ABS(AB4-AH3)</f>
        <v>18886966756.689697</v>
      </c>
      <c r="AJ4" s="53">
        <f>(($B$2^3)*G3)/(4*F3*($B$4^3)*$B$3)</f>
        <v>189875815833.21185</v>
      </c>
      <c r="AL4" s="19">
        <f>AVERAGE(AJ4:AJ12)</f>
        <v>185519833117.25626</v>
      </c>
      <c r="AM4" s="19">
        <f>_xlfn.STDEV.S(AJ4:AJ12)</f>
        <v>4514956306.3910866</v>
      </c>
      <c r="AN4" s="109">
        <f>(L10-AL4)/AM4</f>
        <v>0.99229462672803792</v>
      </c>
      <c r="AO4" s="109"/>
      <c r="AQ4" s="14" t="s">
        <v>25</v>
      </c>
      <c r="AR4" s="54">
        <f>ABS(AL4-AR3)</f>
        <v>9418511758.4576111</v>
      </c>
    </row>
    <row r="5" spans="1:44" x14ac:dyDescent="0.25">
      <c r="A5" s="15" t="s">
        <v>6</v>
      </c>
      <c r="B5" s="18">
        <f>B2/2</f>
        <v>5.1999999999999998E-2</v>
      </c>
      <c r="C5" s="15" t="s">
        <v>5</v>
      </c>
      <c r="D5" s="18">
        <v>5.0000000000000001E-3</v>
      </c>
      <c r="F5" s="18">
        <v>2.0000000000000001E-4</v>
      </c>
      <c r="G5" s="18">
        <f t="shared" si="0"/>
        <v>2.9314740000000001</v>
      </c>
      <c r="H5" s="18">
        <f>H4+0.0995</f>
        <v>0.29913000000000001</v>
      </c>
      <c r="I5" s="34"/>
      <c r="J5" s="17">
        <v>0.9998776857309255</v>
      </c>
      <c r="K5" s="17">
        <v>4.6132299889159963E-2</v>
      </c>
      <c r="P5" s="53">
        <f>(($B$2^3)*G4)/(4*F4*($B$4^3)*$B$3)</f>
        <v>182815904998.56903</v>
      </c>
      <c r="W5" s="108" t="s">
        <v>18</v>
      </c>
      <c r="X5" s="109">
        <f>X4/S4</f>
        <v>2.2961030317300692</v>
      </c>
      <c r="Z5" s="53">
        <f t="shared" ref="Z5:Z13" si="1">(($B$2^3)*G4)/(4*F4*($B$4^3)*$B$3)</f>
        <v>182815904998.56903</v>
      </c>
      <c r="AG5" s="108" t="s">
        <v>18</v>
      </c>
      <c r="AH5" s="109">
        <f>AH4/AC4</f>
        <v>2.3955764614336568</v>
      </c>
      <c r="AJ5" s="53">
        <f t="shared" ref="AJ5:AJ12" si="2">(($B$2^3)*G4)/(4*F4*($B$4^3)*$B$3)</f>
        <v>182815904998.56903</v>
      </c>
      <c r="AQ5" s="108" t="s">
        <v>18</v>
      </c>
      <c r="AR5" s="109">
        <f>AR4/AM4</f>
        <v>2.0860693037328759</v>
      </c>
    </row>
    <row r="6" spans="1:44" x14ac:dyDescent="0.25">
      <c r="F6" s="18">
        <v>2.5999999999999998E-4</v>
      </c>
      <c r="G6" s="18">
        <f t="shared" si="0"/>
        <v>3.9096120000000005</v>
      </c>
      <c r="H6" s="18">
        <f>H5+0.09981</f>
        <v>0.39894000000000002</v>
      </c>
      <c r="I6" s="34"/>
      <c r="J6" s="17">
        <v>40873.305023857574</v>
      </c>
      <c r="K6" s="17">
        <v>5</v>
      </c>
      <c r="P6" s="53">
        <f>(($B$2^3)*G5)/(4*F5*($B$4^3)*$B$3)</f>
        <v>184906387426.73859</v>
      </c>
      <c r="R6" s="106" t="s">
        <v>17</v>
      </c>
      <c r="S6" s="106"/>
      <c r="T6" s="106"/>
      <c r="U6" s="106"/>
      <c r="W6" s="108"/>
      <c r="X6" s="109"/>
      <c r="Z6" s="53">
        <f t="shared" si="1"/>
        <v>184906387426.73859</v>
      </c>
      <c r="AB6" s="106" t="s">
        <v>17</v>
      </c>
      <c r="AC6" s="106"/>
      <c r="AD6" s="106"/>
      <c r="AE6" s="106"/>
      <c r="AG6" s="108"/>
      <c r="AH6" s="109"/>
      <c r="AJ6" s="53">
        <f t="shared" si="2"/>
        <v>184906387426.73859</v>
      </c>
      <c r="AL6" s="106" t="s">
        <v>17</v>
      </c>
      <c r="AM6" s="106"/>
      <c r="AN6" s="106"/>
      <c r="AO6" s="106"/>
      <c r="AQ6" s="108"/>
      <c r="AR6" s="109"/>
    </row>
    <row r="7" spans="1:44" x14ac:dyDescent="0.25">
      <c r="F7" s="18">
        <v>3.3E-4</v>
      </c>
      <c r="G7" s="18">
        <f t="shared" si="0"/>
        <v>4.8893180000000003</v>
      </c>
      <c r="H7" s="18">
        <f>H6+0.09997</f>
        <v>0.49891000000000002</v>
      </c>
      <c r="I7" s="34"/>
      <c r="J7" s="17">
        <v>86.9861219492267</v>
      </c>
      <c r="K7" s="17">
        <v>1.0640945465316942E-2</v>
      </c>
      <c r="P7" s="53">
        <f t="shared" ref="P7:P10" si="3">(($B$2^3)*G6)/(4*F6*($B$4^3)*$B$3)</f>
        <v>189695126636.53598</v>
      </c>
      <c r="R7" s="15" t="s">
        <v>21</v>
      </c>
      <c r="S7" s="15" t="s">
        <v>22</v>
      </c>
      <c r="T7" s="106" t="s">
        <v>18</v>
      </c>
      <c r="U7" s="106"/>
      <c r="W7" s="108" t="s">
        <v>26</v>
      </c>
      <c r="X7" s="110">
        <v>1.0699999999999999E-2</v>
      </c>
      <c r="Z7" s="53">
        <f t="shared" si="1"/>
        <v>189695126636.53598</v>
      </c>
      <c r="AB7" s="15" t="s">
        <v>21</v>
      </c>
      <c r="AC7" s="15" t="s">
        <v>22</v>
      </c>
      <c r="AD7" s="106" t="s">
        <v>18</v>
      </c>
      <c r="AE7" s="106"/>
      <c r="AG7" s="108" t="s">
        <v>26</v>
      </c>
      <c r="AH7" s="110">
        <v>8.2000000000000007E-3</v>
      </c>
      <c r="AJ7" s="53">
        <f t="shared" si="2"/>
        <v>189695126636.53598</v>
      </c>
      <c r="AL7" s="15" t="s">
        <v>21</v>
      </c>
      <c r="AM7" s="15" t="s">
        <v>22</v>
      </c>
      <c r="AN7" s="106" t="s">
        <v>18</v>
      </c>
      <c r="AO7" s="106"/>
      <c r="AQ7" s="108" t="s">
        <v>26</v>
      </c>
      <c r="AR7" s="110">
        <v>1.83E-2</v>
      </c>
    </row>
    <row r="8" spans="1:44" ht="15" customHeight="1" x14ac:dyDescent="0.25">
      <c r="A8" s="106" t="s">
        <v>13</v>
      </c>
      <c r="B8" s="106"/>
      <c r="F8" s="18">
        <v>3.8999999999999999E-4</v>
      </c>
      <c r="G8" s="18">
        <f t="shared" si="0"/>
        <v>5.8675540000000002</v>
      </c>
      <c r="H8" s="18">
        <f>H7+ 0.09982</f>
        <v>0.59872999999999998</v>
      </c>
      <c r="I8" s="34"/>
      <c r="J8" s="108" t="s">
        <v>10</v>
      </c>
      <c r="K8" s="108"/>
      <c r="L8" s="108" t="s">
        <v>11</v>
      </c>
      <c r="M8" s="108"/>
      <c r="N8" s="108" t="s">
        <v>12</v>
      </c>
      <c r="P8" s="53">
        <f t="shared" si="3"/>
        <v>186908997205.17609</v>
      </c>
      <c r="R8" s="19">
        <f>AVERAGE(P4:P9)</f>
        <v>187333133047.62976</v>
      </c>
      <c r="S8" s="19">
        <f>_xlfn.STDEV.S(P4:P9)</f>
        <v>2986204515.9602714</v>
      </c>
      <c r="T8" s="109">
        <f>(L10-R8)/S8</f>
        <v>0.89306239345521088</v>
      </c>
      <c r="U8" s="109"/>
      <c r="W8" s="108"/>
      <c r="X8" s="110"/>
      <c r="Z8" s="53">
        <f t="shared" si="1"/>
        <v>186908997205.17609</v>
      </c>
      <c r="AB8" s="19">
        <f>AVERAGE(Z4:Z9)</f>
        <v>187333133047.62976</v>
      </c>
      <c r="AC8" s="19">
        <f>_xlfn.STDEV.S(Z4:Z9)</f>
        <v>2986204515.9602714</v>
      </c>
      <c r="AD8" s="109">
        <f>(L10-AB8)/AC8</f>
        <v>0.89306239345521088</v>
      </c>
      <c r="AE8" s="109"/>
      <c r="AG8" s="108"/>
      <c r="AH8" s="110"/>
      <c r="AJ8" s="53">
        <f t="shared" si="2"/>
        <v>186908997205.17609</v>
      </c>
      <c r="AL8" s="19">
        <f>AVERAGE(AJ4:AJ9)</f>
        <v>187333133047.62976</v>
      </c>
      <c r="AM8" s="19">
        <f>_xlfn.STDEV.S(AJ4:AJ9)</f>
        <v>2986204515.9602714</v>
      </c>
      <c r="AN8" s="109">
        <f>(L10-AL8)/AM8</f>
        <v>0.89306239345521088</v>
      </c>
      <c r="AO8" s="109"/>
      <c r="AQ8" s="108"/>
      <c r="AR8" s="110"/>
    </row>
    <row r="9" spans="1:44" x14ac:dyDescent="0.25">
      <c r="A9" s="48" t="s">
        <v>14</v>
      </c>
      <c r="B9" s="17">
        <v>9.8000000000000007</v>
      </c>
      <c r="F9" s="18">
        <v>3.3E-4</v>
      </c>
      <c r="G9" s="18">
        <f t="shared" si="0"/>
        <v>4.8893180000000003</v>
      </c>
      <c r="H9" s="18">
        <v>0.49891000000000002</v>
      </c>
      <c r="I9" s="34"/>
      <c r="J9" s="108"/>
      <c r="K9" s="108"/>
      <c r="L9" s="108"/>
      <c r="M9" s="108"/>
      <c r="N9" s="108"/>
      <c r="P9" s="53">
        <f t="shared" si="3"/>
        <v>189796566185.54697</v>
      </c>
      <c r="W9" s="108"/>
      <c r="X9" s="110"/>
      <c r="Z9" s="53">
        <f t="shared" si="1"/>
        <v>189796566185.54697</v>
      </c>
      <c r="AG9" s="108"/>
      <c r="AH9" s="110"/>
      <c r="AJ9" s="53">
        <f t="shared" si="2"/>
        <v>189796566185.54697</v>
      </c>
      <c r="AQ9" s="108"/>
      <c r="AR9" s="110"/>
    </row>
    <row r="10" spans="1:44" x14ac:dyDescent="0.25">
      <c r="F10" s="18">
        <v>2.7E-4</v>
      </c>
      <c r="G10" s="18">
        <f t="shared" si="0"/>
        <v>3.9096120000000005</v>
      </c>
      <c r="H10" s="18">
        <v>0.39894000000000002</v>
      </c>
      <c r="I10" s="34"/>
      <c r="J10" s="100">
        <f>J3*(B2^3)/(4*B3*(B4^3))</f>
        <v>188150207801.19925</v>
      </c>
      <c r="K10" s="100"/>
      <c r="L10" s="100">
        <f>190*10^9</f>
        <v>190000000000</v>
      </c>
      <c r="M10" s="100"/>
      <c r="N10" s="52">
        <f>ABS(J10-L10)/L10</f>
        <v>9.7357484147407927E-3</v>
      </c>
      <c r="P10" s="53">
        <f t="shared" si="3"/>
        <v>186908997205.17609</v>
      </c>
      <c r="R10" s="106" t="s">
        <v>23</v>
      </c>
      <c r="S10" s="106"/>
      <c r="T10" s="106"/>
      <c r="U10" s="106"/>
      <c r="W10" s="15" t="s">
        <v>28</v>
      </c>
      <c r="X10" s="18">
        <v>11</v>
      </c>
      <c r="Z10" s="53">
        <f t="shared" si="1"/>
        <v>186908997205.17609</v>
      </c>
      <c r="AB10" s="106" t="s">
        <v>23</v>
      </c>
      <c r="AC10" s="106"/>
      <c r="AD10" s="106"/>
      <c r="AE10" s="106"/>
      <c r="AG10" s="15" t="s">
        <v>28</v>
      </c>
      <c r="AH10" s="18">
        <f>X10-1</f>
        <v>10</v>
      </c>
      <c r="AJ10" s="53">
        <f t="shared" si="2"/>
        <v>186908997205.17609</v>
      </c>
      <c r="AL10" s="106" t="s">
        <v>23</v>
      </c>
      <c r="AM10" s="106"/>
      <c r="AN10" s="106"/>
      <c r="AO10" s="106"/>
      <c r="AQ10" s="15" t="s">
        <v>28</v>
      </c>
      <c r="AR10" s="18">
        <f>AH10-1</f>
        <v>9</v>
      </c>
    </row>
    <row r="11" spans="1:44" x14ac:dyDescent="0.25">
      <c r="F11" s="18">
        <v>2.1000000000000001E-4</v>
      </c>
      <c r="G11" s="18">
        <f t="shared" si="0"/>
        <v>2.9314740000000001</v>
      </c>
      <c r="H11" s="18">
        <v>0.29913000000000001</v>
      </c>
      <c r="I11" s="34"/>
      <c r="J11" s="101" t="s">
        <v>19</v>
      </c>
      <c r="K11" s="102"/>
      <c r="L11" s="105">
        <f>SQRT(((((B2^3)*J4/(4*B3*(B4^3)))^2)+(((B2^2)*3*J3*D2/(4*B3*(B4^3)))^2)+(((B2^3)*J3*D3/(4*(B3^2)*(B4^3)))^2)+((J3*(B2^3)*3*D4/(4*B3*(B4^4)))^2)))</f>
        <v>54120574796.113541</v>
      </c>
      <c r="P11" s="53">
        <f>(($B$2^3)*G10)/(4*F10*($B$4^3)*$B$3)</f>
        <v>182669381205.55313</v>
      </c>
      <c r="R11" s="15" t="s">
        <v>21</v>
      </c>
      <c r="S11" s="15" t="s">
        <v>22</v>
      </c>
      <c r="T11" s="106" t="s">
        <v>18</v>
      </c>
      <c r="U11" s="106"/>
      <c r="W11" s="1"/>
      <c r="X11" s="52">
        <f>X7*X10</f>
        <v>0.1177</v>
      </c>
      <c r="Z11" s="53">
        <f t="shared" si="1"/>
        <v>182669381205.55313</v>
      </c>
      <c r="AB11" s="15" t="s">
        <v>21</v>
      </c>
      <c r="AC11" s="15" t="s">
        <v>22</v>
      </c>
      <c r="AD11" s="106" t="s">
        <v>18</v>
      </c>
      <c r="AE11" s="106"/>
      <c r="AG11" s="1"/>
      <c r="AH11" s="52">
        <f>AH7*AH10</f>
        <v>8.2000000000000003E-2</v>
      </c>
      <c r="AJ11" s="53">
        <f t="shared" si="2"/>
        <v>182669381205.55313</v>
      </c>
      <c r="AL11" s="15" t="s">
        <v>21</v>
      </c>
      <c r="AM11" s="15" t="s">
        <v>22</v>
      </c>
      <c r="AN11" s="106" t="s">
        <v>18</v>
      </c>
      <c r="AO11" s="106"/>
      <c r="AQ11" s="1"/>
      <c r="AR11" s="52">
        <f>AR7*AR10</f>
        <v>0.16470000000000001</v>
      </c>
    </row>
    <row r="12" spans="1:44" x14ac:dyDescent="0.25">
      <c r="F12" s="58">
        <v>1.4999999999999999E-4</v>
      </c>
      <c r="G12" s="58">
        <f t="shared" si="0"/>
        <v>1.9563740000000001</v>
      </c>
      <c r="H12" s="58">
        <v>0.19963</v>
      </c>
      <c r="I12" s="34"/>
      <c r="J12" s="103"/>
      <c r="K12" s="104"/>
      <c r="L12" s="105"/>
      <c r="P12" s="53">
        <f>(($B$2^3)*G11)/(4*F11*($B$4^3)*$B$3)</f>
        <v>176101321358.79865</v>
      </c>
      <c r="R12" s="19">
        <f>AVERAGE(P9:P14)</f>
        <v>175714113469.71191</v>
      </c>
      <c r="S12" s="19">
        <f>_xlfn.STDEV.S(P9:P14)</f>
        <v>13833500226.299789</v>
      </c>
      <c r="T12" s="109">
        <f>(L10-R12)/S12</f>
        <v>1.0327022298469504</v>
      </c>
      <c r="U12" s="109"/>
      <c r="Z12" s="53">
        <f>(($B$2^3)*G11)/(4*F11*($B$4^3)*$B$3)</f>
        <v>176101321358.79865</v>
      </c>
      <c r="AB12" s="19">
        <f>AVERAGE(Z9:Z13)</f>
        <v>180002116090.75739</v>
      </c>
      <c r="AC12" s="19">
        <f>_xlfn.STDEV.S(Z9:Z13)</f>
        <v>10065034130.74687</v>
      </c>
      <c r="AD12" s="109">
        <f>(L10-AB12)/AC12</f>
        <v>0.99332836623980003</v>
      </c>
      <c r="AE12" s="109"/>
      <c r="AJ12" s="53">
        <f t="shared" si="2"/>
        <v>176101321358.79865</v>
      </c>
      <c r="AL12" s="19">
        <f>AVERAGE(AJ9:AJ12)</f>
        <v>183869066488.76868</v>
      </c>
      <c r="AM12" s="19">
        <f>_xlfn.STDEV.S(AJ9:AJ12)</f>
        <v>5948488340.1527901</v>
      </c>
      <c r="AN12" s="109">
        <f>(L10-AL12)/AM12</f>
        <v>1.0306708462126442</v>
      </c>
      <c r="AO12" s="109"/>
    </row>
    <row r="13" spans="1:44" x14ac:dyDescent="0.25">
      <c r="F13" s="58">
        <v>8.0000000000000007E-5</v>
      </c>
      <c r="G13" s="58">
        <f t="shared" si="0"/>
        <v>0.97833400000000004</v>
      </c>
      <c r="H13" s="58">
        <v>9.9830000000000002E-2</v>
      </c>
      <c r="I13" s="33"/>
      <c r="P13" s="53">
        <f t="shared" ref="P13:P14" si="4">(($B$2^3)*G12)/(4*F12*($B$4^3)*$B$3)</f>
        <v>164534314498.71216</v>
      </c>
      <c r="Z13" s="53">
        <f t="shared" si="1"/>
        <v>164534314498.71216</v>
      </c>
    </row>
    <row r="14" spans="1:44" x14ac:dyDescent="0.25">
      <c r="F14" s="18">
        <v>0</v>
      </c>
      <c r="G14" s="18">
        <v>0</v>
      </c>
      <c r="H14" s="18">
        <v>0</v>
      </c>
      <c r="I14" s="33"/>
      <c r="J14" s="106" t="s">
        <v>23</v>
      </c>
      <c r="K14" s="106"/>
      <c r="L14" s="106"/>
      <c r="M14" s="106"/>
      <c r="N14" s="106"/>
      <c r="P14" s="53">
        <f t="shared" si="4"/>
        <v>154274100364.48459</v>
      </c>
    </row>
    <row r="15" spans="1:44" x14ac:dyDescent="0.25">
      <c r="I15" s="33"/>
      <c r="J15" s="107" t="s">
        <v>9</v>
      </c>
      <c r="K15" s="107"/>
      <c r="L15" s="49"/>
      <c r="M15" s="49"/>
      <c r="N15" s="49"/>
    </row>
    <row r="16" spans="1:44" x14ac:dyDescent="0.25">
      <c r="I16" s="33"/>
      <c r="J16" s="17" cm="1">
        <f t="array" ref="J16:K20">LINEST(G8:G13,F8:F13,FALSE,TRUE)</f>
        <v>14609.851560579997</v>
      </c>
      <c r="K16" s="17">
        <v>0</v>
      </c>
    </row>
    <row r="17" spans="9:14" x14ac:dyDescent="0.25">
      <c r="I17" s="33"/>
      <c r="J17" s="17">
        <v>266.84422628957913</v>
      </c>
      <c r="K17" s="17" t="e">
        <v>#N/A</v>
      </c>
    </row>
    <row r="18" spans="9:14" x14ac:dyDescent="0.25">
      <c r="I18" s="33"/>
      <c r="J18" s="17">
        <v>0.99833478535400666</v>
      </c>
      <c r="K18" s="17">
        <v>0.17021649962695104</v>
      </c>
    </row>
    <row r="19" spans="9:14" x14ac:dyDescent="0.25">
      <c r="I19" s="33"/>
      <c r="J19" s="17">
        <v>2997.6159162304903</v>
      </c>
      <c r="K19" s="17">
        <v>5</v>
      </c>
    </row>
    <row r="20" spans="9:14" x14ac:dyDescent="0.25">
      <c r="I20" s="33"/>
      <c r="J20" s="17">
        <v>86.851894610965758</v>
      </c>
      <c r="K20" s="17">
        <v>0.1448682837262591</v>
      </c>
    </row>
    <row r="21" spans="9:14" x14ac:dyDescent="0.25">
      <c r="I21" s="33"/>
      <c r="J21" s="108" t="s">
        <v>10</v>
      </c>
      <c r="K21" s="108"/>
      <c r="L21" s="108" t="s">
        <v>11</v>
      </c>
      <c r="M21" s="108"/>
      <c r="N21" s="108" t="s">
        <v>12</v>
      </c>
    </row>
    <row r="22" spans="9:14" x14ac:dyDescent="0.25">
      <c r="I22" s="33"/>
      <c r="J22" s="108"/>
      <c r="K22" s="108"/>
      <c r="L22" s="108"/>
      <c r="M22" s="108"/>
      <c r="N22" s="108"/>
    </row>
    <row r="23" spans="9:14" x14ac:dyDescent="0.25">
      <c r="I23" s="33"/>
      <c r="J23" s="100">
        <f>J16*(B2^3)/(4*B3*(B4^3))</f>
        <v>184306930432.11343</v>
      </c>
      <c r="K23" s="100"/>
      <c r="L23" s="100">
        <f>190*10^9</f>
        <v>190000000000</v>
      </c>
      <c r="M23" s="100"/>
      <c r="N23" s="52">
        <f>ABS(J23-L23)/L23</f>
        <v>2.9963524041508243E-2</v>
      </c>
    </row>
    <row r="24" spans="9:14" x14ac:dyDescent="0.25">
      <c r="I24" s="33"/>
      <c r="J24" s="101" t="s">
        <v>19</v>
      </c>
      <c r="K24" s="102"/>
      <c r="L24" s="105">
        <f>SQRT(((((B2^3)*J17/(4*B3*(B4^3)))^2)+(((B2^2)*3*J16*D2/(4*B3*(B4^3)))^2)+(((B2^3)*J16*D3/(4*(B3^2)*(B4^3)))^2)+((J16*(B2^3)*3*D4/(4*B3*(B4^4)))^2)))</f>
        <v>53114018028.123642</v>
      </c>
    </row>
    <row r="25" spans="9:14" x14ac:dyDescent="0.25">
      <c r="I25" s="33"/>
      <c r="J25" s="103"/>
      <c r="K25" s="104"/>
      <c r="L25" s="105"/>
    </row>
  </sheetData>
  <mergeCells count="58">
    <mergeCell ref="J1:N1"/>
    <mergeCell ref="J2:K2"/>
    <mergeCell ref="W2:X2"/>
    <mergeCell ref="AG2:AH2"/>
    <mergeCell ref="AQ2:AR2"/>
    <mergeCell ref="X5:X6"/>
    <mergeCell ref="AG5:AG6"/>
    <mergeCell ref="AH5:AH6"/>
    <mergeCell ref="AQ5:AQ6"/>
    <mergeCell ref="T3:U3"/>
    <mergeCell ref="AD3:AE3"/>
    <mergeCell ref="AN3:AO3"/>
    <mergeCell ref="T4:U4"/>
    <mergeCell ref="AD4:AE4"/>
    <mergeCell ref="AN4:AO4"/>
    <mergeCell ref="AR5:AR6"/>
    <mergeCell ref="R6:U6"/>
    <mergeCell ref="AB6:AE6"/>
    <mergeCell ref="AL6:AO6"/>
    <mergeCell ref="T7:U7"/>
    <mergeCell ref="W7:W9"/>
    <mergeCell ref="X7:X9"/>
    <mergeCell ref="AD7:AE7"/>
    <mergeCell ref="AG7:AG9"/>
    <mergeCell ref="AH7:AH9"/>
    <mergeCell ref="AN7:AO7"/>
    <mergeCell ref="AQ7:AQ9"/>
    <mergeCell ref="AR7:AR9"/>
    <mergeCell ref="AD8:AE8"/>
    <mergeCell ref="AN8:AO8"/>
    <mergeCell ref="W5:W6"/>
    <mergeCell ref="A8:B8"/>
    <mergeCell ref="J8:K9"/>
    <mergeCell ref="L8:M9"/>
    <mergeCell ref="N8:N9"/>
    <mergeCell ref="T8:U8"/>
    <mergeCell ref="R10:U10"/>
    <mergeCell ref="AB10:AE10"/>
    <mergeCell ref="AL10:AO10"/>
    <mergeCell ref="J11:K12"/>
    <mergeCell ref="L11:L12"/>
    <mergeCell ref="T11:U11"/>
    <mergeCell ref="AD11:AE11"/>
    <mergeCell ref="AN11:AO11"/>
    <mergeCell ref="T12:U12"/>
    <mergeCell ref="AD12:AE12"/>
    <mergeCell ref="AN12:AO12"/>
    <mergeCell ref="J10:K10"/>
    <mergeCell ref="L10:M10"/>
    <mergeCell ref="J23:K23"/>
    <mergeCell ref="L23:M23"/>
    <mergeCell ref="J24:K25"/>
    <mergeCell ref="L24:L25"/>
    <mergeCell ref="J14:N14"/>
    <mergeCell ref="J15:K15"/>
    <mergeCell ref="J21:K22"/>
    <mergeCell ref="L21:M22"/>
    <mergeCell ref="N21:N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8839-93C1-4B5C-824E-8AAF6C5A834C}">
  <dimension ref="A1:AR25"/>
  <sheetViews>
    <sheetView workbookViewId="0">
      <selection sqref="A1:N25"/>
    </sheetView>
  </sheetViews>
  <sheetFormatPr defaultRowHeight="15" x14ac:dyDescent="0.25"/>
  <cols>
    <col min="3" max="3" width="2.140625" customWidth="1"/>
    <col min="9" max="9" width="12" customWidth="1"/>
    <col min="10" max="10" width="11.42578125" customWidth="1"/>
    <col min="12" max="12" width="11.28515625" customWidth="1"/>
    <col min="13" max="13" width="12.7109375" customWidth="1"/>
    <col min="19" max="19" width="13.7109375" bestFit="1" customWidth="1"/>
    <col min="22" max="22" width="9.140625" customWidth="1"/>
    <col min="23" max="23" width="15.7109375" customWidth="1"/>
    <col min="29" max="29" width="13.7109375" bestFit="1" customWidth="1"/>
    <col min="33" max="33" width="15.85546875" customWidth="1"/>
    <col min="39" max="39" width="14.28515625" customWidth="1"/>
    <col min="43" max="43" width="17.5703125" customWidth="1"/>
  </cols>
  <sheetData>
    <row r="1" spans="1:44" x14ac:dyDescent="0.25">
      <c r="A1" s="1"/>
      <c r="B1" s="24" t="s">
        <v>0</v>
      </c>
      <c r="C1" s="1"/>
      <c r="D1" s="24" t="s">
        <v>1</v>
      </c>
      <c r="F1" s="24" t="s">
        <v>8</v>
      </c>
      <c r="G1" s="24" t="s">
        <v>7</v>
      </c>
      <c r="H1" s="55" t="s">
        <v>15</v>
      </c>
      <c r="I1" s="33"/>
      <c r="J1" s="118" t="s">
        <v>17</v>
      </c>
      <c r="K1" s="118"/>
      <c r="L1" s="118"/>
      <c r="M1" s="118"/>
      <c r="N1" s="118"/>
    </row>
    <row r="2" spans="1:44" x14ac:dyDescent="0.25">
      <c r="A2" s="24" t="s">
        <v>2</v>
      </c>
      <c r="B2" s="21">
        <v>0.104</v>
      </c>
      <c r="C2" s="23" t="s">
        <v>5</v>
      </c>
      <c r="D2" s="21">
        <v>5.0000000000000001E-3</v>
      </c>
      <c r="F2" s="20">
        <v>0</v>
      </c>
      <c r="G2" s="20">
        <f>H2*$B$9</f>
        <v>0</v>
      </c>
      <c r="H2" s="20">
        <v>0</v>
      </c>
      <c r="I2" s="34"/>
      <c r="J2" s="119" t="s">
        <v>9</v>
      </c>
      <c r="K2" s="119"/>
      <c r="L2" s="61"/>
      <c r="M2" s="61"/>
      <c r="N2" s="61"/>
      <c r="W2" s="118" t="s">
        <v>27</v>
      </c>
      <c r="X2" s="118"/>
      <c r="AG2" s="118" t="s">
        <v>27</v>
      </c>
      <c r="AH2" s="118"/>
      <c r="AQ2" s="118" t="s">
        <v>27</v>
      </c>
      <c r="AR2" s="118"/>
    </row>
    <row r="3" spans="1:44" ht="15.75" customHeight="1" x14ac:dyDescent="0.25">
      <c r="A3" s="24" t="s">
        <v>3</v>
      </c>
      <c r="B3" s="21">
        <v>2.5000000000000001E-2</v>
      </c>
      <c r="C3" s="24" t="s">
        <v>5</v>
      </c>
      <c r="D3" s="21">
        <v>5.0000000000000001E-3</v>
      </c>
      <c r="F3" s="20">
        <v>1.8000000000000001E-4</v>
      </c>
      <c r="G3" s="20">
        <f t="shared" ref="G3:G13" si="0">H3*$B$9</f>
        <v>0.97833400000000004</v>
      </c>
      <c r="H3" s="20">
        <v>9.9830000000000002E-2</v>
      </c>
      <c r="I3" s="34"/>
      <c r="J3" s="20" cm="1">
        <f t="array" ref="J3:K7">LINEST(G3:G8,F3:F8,FALSE,TRUE)</f>
        <v>5361.3987691748516</v>
      </c>
      <c r="K3" s="20">
        <v>0</v>
      </c>
      <c r="P3" s="24" t="s">
        <v>20</v>
      </c>
      <c r="R3" s="24" t="s">
        <v>21</v>
      </c>
      <c r="S3" s="24" t="s">
        <v>22</v>
      </c>
      <c r="W3" s="65" t="s">
        <v>24</v>
      </c>
      <c r="X3" s="63">
        <f>P14</f>
        <v>40758988762.074074</v>
      </c>
      <c r="Z3" s="24" t="s">
        <v>20</v>
      </c>
      <c r="AB3" s="24" t="s">
        <v>21</v>
      </c>
      <c r="AC3" s="24" t="s">
        <v>22</v>
      </c>
      <c r="AG3" s="25" t="s">
        <v>24</v>
      </c>
      <c r="AH3" s="63">
        <f>Z13</f>
        <v>47840319198.608688</v>
      </c>
      <c r="AJ3" s="24" t="s">
        <v>20</v>
      </c>
      <c r="AL3" s="24" t="s">
        <v>21</v>
      </c>
      <c r="AM3" s="24" t="s">
        <v>22</v>
      </c>
      <c r="AQ3" s="25" t="s">
        <v>24</v>
      </c>
      <c r="AR3" s="63">
        <f>AJ12</f>
        <v>53185638218.322571</v>
      </c>
    </row>
    <row r="4" spans="1:44" x14ac:dyDescent="0.25">
      <c r="A4" s="24" t="s">
        <v>4</v>
      </c>
      <c r="B4" s="21">
        <v>1E-3</v>
      </c>
      <c r="C4" s="24" t="s">
        <v>5</v>
      </c>
      <c r="D4" s="21">
        <v>5.0000000000000002E-5</v>
      </c>
      <c r="F4" s="20">
        <v>3.6000000000000002E-4</v>
      </c>
      <c r="G4" s="20">
        <f t="shared" si="0"/>
        <v>1.9563740000000001</v>
      </c>
      <c r="H4" s="20">
        <f>H3+0.0998</f>
        <v>0.19963</v>
      </c>
      <c r="I4" s="34"/>
      <c r="J4" s="20">
        <v>14.982170358252748</v>
      </c>
      <c r="K4" s="20" t="e">
        <v>#N/A</v>
      </c>
      <c r="P4" s="62">
        <f>(($B$2^3)*G3)/(4*F3*($B$4^3)*$B$3)</f>
        <v>61138483143.111107</v>
      </c>
      <c r="R4" s="22">
        <f>AVERAGE(P4:P14)</f>
        <v>56011523116.906395</v>
      </c>
      <c r="S4" s="22">
        <f>_xlfn.STDEV.S(P4:P14)</f>
        <v>6604693389.0972176</v>
      </c>
      <c r="W4" s="66" t="s">
        <v>25</v>
      </c>
      <c r="X4" s="63">
        <f>ABS(R4-X3)</f>
        <v>15252534354.832321</v>
      </c>
      <c r="Z4" s="62">
        <f>(($B$2^3)*G3)/(4*F3*($B$4^3)*$B$3)</f>
        <v>61138483143.111107</v>
      </c>
      <c r="AB4" s="22">
        <f>AVERAGE(Z4:Z13)</f>
        <v>57536776552.389626</v>
      </c>
      <c r="AC4" s="22">
        <f>_xlfn.STDEV.S(Z4:Z13)</f>
        <v>4476059315.5883512</v>
      </c>
      <c r="AG4" s="23" t="s">
        <v>25</v>
      </c>
      <c r="AH4" s="63">
        <f>ABS(AB4-AH3)</f>
        <v>9696457353.7809372</v>
      </c>
      <c r="AJ4" s="62">
        <f>(($B$2^3)*G3)/(4*F3*($B$4^3)*$B$3)</f>
        <v>61138483143.111107</v>
      </c>
      <c r="AL4" s="22">
        <f>AVERAGE(AJ4:AJ12)</f>
        <v>58614160702.809723</v>
      </c>
      <c r="AM4" s="22">
        <f>_xlfn.STDEV.S(AJ4:AJ12)</f>
        <v>3079120578.3491797</v>
      </c>
      <c r="AQ4" s="23" t="s">
        <v>25</v>
      </c>
      <c r="AR4" s="63">
        <f>ABS(AL4-AR3)</f>
        <v>5428522484.4871521</v>
      </c>
    </row>
    <row r="5" spans="1:44" x14ac:dyDescent="0.25">
      <c r="A5" s="24" t="s">
        <v>6</v>
      </c>
      <c r="B5" s="21">
        <f>B2/2</f>
        <v>5.1999999999999998E-2</v>
      </c>
      <c r="C5" s="24" t="s">
        <v>5</v>
      </c>
      <c r="D5" s="21">
        <v>5.0000000000000001E-3</v>
      </c>
      <c r="F5" s="20">
        <v>5.4500000000000002E-4</v>
      </c>
      <c r="G5" s="20">
        <f t="shared" si="0"/>
        <v>2.9314740000000001</v>
      </c>
      <c r="H5" s="20">
        <f>H4+0.0995</f>
        <v>0.29913000000000001</v>
      </c>
      <c r="I5" s="34"/>
      <c r="J5" s="20">
        <v>0.99996095672055607</v>
      </c>
      <c r="K5" s="20">
        <v>2.6063917297348686E-2</v>
      </c>
      <c r="P5" s="62">
        <f>(($B$2^3)*G4)/(4*F4*($B$4^3)*$B$3)</f>
        <v>61129296753.777763</v>
      </c>
      <c r="W5" s="117" t="s">
        <v>18</v>
      </c>
      <c r="X5" s="122">
        <f>X4/S4</f>
        <v>2.3093478313483313</v>
      </c>
      <c r="Z5" s="62">
        <f t="shared" ref="Z5:Z13" si="1">(($B$2^3)*G4)/(4*F4*($B$4^3)*$B$3)</f>
        <v>61129296753.777763</v>
      </c>
      <c r="AG5" s="117" t="s">
        <v>18</v>
      </c>
      <c r="AH5" s="122">
        <f>AH4/AC4</f>
        <v>2.1662933107280318</v>
      </c>
      <c r="AJ5" s="62">
        <f t="shared" ref="AJ5:AJ12" si="2">(($B$2^3)*G4)/(4*F4*($B$4^3)*$B$3)</f>
        <v>61129296753.777763</v>
      </c>
      <c r="AQ5" s="117" t="s">
        <v>18</v>
      </c>
      <c r="AR5" s="122">
        <f>AR4/AM4</f>
        <v>1.7630106864465716</v>
      </c>
    </row>
    <row r="6" spans="1:44" x14ac:dyDescent="0.25">
      <c r="F6" s="20">
        <v>7.2999999999999996E-4</v>
      </c>
      <c r="G6" s="20">
        <f t="shared" si="0"/>
        <v>3.9096120000000005</v>
      </c>
      <c r="H6" s="20">
        <f>H5+0.09981</f>
        <v>0.39894000000000002</v>
      </c>
      <c r="I6" s="34"/>
      <c r="J6" s="20">
        <v>128058.01292338762</v>
      </c>
      <c r="K6" s="20">
        <v>5</v>
      </c>
      <c r="P6" s="62">
        <f>(($B$2^3)*G5)/(4*F5*($B$4^3)*$B$3)</f>
        <v>60504762743.7798</v>
      </c>
      <c r="R6" s="120" t="s">
        <v>17</v>
      </c>
      <c r="S6" s="121"/>
      <c r="W6" s="117"/>
      <c r="X6" s="122"/>
      <c r="Z6" s="62">
        <f t="shared" si="1"/>
        <v>60504762743.7798</v>
      </c>
      <c r="AB6" s="120" t="s">
        <v>17</v>
      </c>
      <c r="AC6" s="121"/>
      <c r="AG6" s="117"/>
      <c r="AH6" s="122"/>
      <c r="AJ6" s="62">
        <f t="shared" si="2"/>
        <v>60504762743.7798</v>
      </c>
      <c r="AL6" s="120" t="s">
        <v>17</v>
      </c>
      <c r="AM6" s="121"/>
      <c r="AQ6" s="117"/>
      <c r="AR6" s="122"/>
    </row>
    <row r="7" spans="1:44" x14ac:dyDescent="0.25">
      <c r="F7" s="20">
        <v>9.2000000000000003E-4</v>
      </c>
      <c r="G7" s="20">
        <f t="shared" si="0"/>
        <v>4.8893180000000003</v>
      </c>
      <c r="H7" s="20">
        <f>H6+0.09997</f>
        <v>0.49891000000000002</v>
      </c>
      <c r="I7" s="34"/>
      <c r="J7" s="20">
        <v>86.993366255767597</v>
      </c>
      <c r="K7" s="20">
        <v>3.3966389244151599E-3</v>
      </c>
      <c r="P7" s="62">
        <f t="shared" ref="P7:P10" si="3">(($B$2^3)*G6)/(4*F6*($B$4^3)*$B$3)</f>
        <v>60243586202.301369</v>
      </c>
      <c r="R7" s="24" t="s">
        <v>21</v>
      </c>
      <c r="S7" s="24" t="s">
        <v>22</v>
      </c>
      <c r="W7" s="117" t="s">
        <v>26</v>
      </c>
      <c r="X7" s="123">
        <v>1.04E-2</v>
      </c>
      <c r="Z7" s="62">
        <f t="shared" si="1"/>
        <v>60243586202.301369</v>
      </c>
      <c r="AB7" s="24" t="s">
        <v>21</v>
      </c>
      <c r="AC7" s="24" t="s">
        <v>22</v>
      </c>
      <c r="AG7" s="117" t="s">
        <v>26</v>
      </c>
      <c r="AH7" s="123">
        <v>1.4999999999999999E-2</v>
      </c>
      <c r="AJ7" s="62">
        <f t="shared" si="2"/>
        <v>60243586202.301369</v>
      </c>
      <c r="AL7" s="24" t="s">
        <v>21</v>
      </c>
      <c r="AM7" s="24" t="s">
        <v>22</v>
      </c>
      <c r="AQ7" s="117" t="s">
        <v>26</v>
      </c>
      <c r="AR7" s="123">
        <v>3.9199999999999999E-2</v>
      </c>
    </row>
    <row r="8" spans="1:44" ht="15" customHeight="1" x14ac:dyDescent="0.25">
      <c r="A8" s="118" t="s">
        <v>13</v>
      </c>
      <c r="B8" s="118"/>
      <c r="F8" s="20">
        <v>1.09E-3</v>
      </c>
      <c r="G8" s="20">
        <f t="shared" si="0"/>
        <v>5.8675540000000002</v>
      </c>
      <c r="H8" s="20">
        <f>H7+ 0.09982</f>
        <v>0.59872999999999998</v>
      </c>
      <c r="I8" s="34"/>
      <c r="J8" s="117" t="s">
        <v>10</v>
      </c>
      <c r="K8" s="117"/>
      <c r="P8" s="62">
        <f t="shared" si="3"/>
        <v>59780628290.7826</v>
      </c>
      <c r="R8" s="22">
        <f>AVERAGE(P4:P9)</f>
        <v>60558175520.237061</v>
      </c>
      <c r="S8" s="22">
        <f>_xlfn.STDEV.S(P4:P9)</f>
        <v>523329729.16707397</v>
      </c>
      <c r="W8" s="117"/>
      <c r="X8" s="123"/>
      <c r="Z8" s="62">
        <f t="shared" si="1"/>
        <v>59780628290.7826</v>
      </c>
      <c r="AB8" s="22">
        <f>AVERAGE(Z4:Z9)</f>
        <v>60558175520.237061</v>
      </c>
      <c r="AC8" s="22">
        <f>_xlfn.STDEV.S(Z4:Z9)</f>
        <v>523329729.16707397</v>
      </c>
      <c r="AG8" s="117"/>
      <c r="AH8" s="123"/>
      <c r="AJ8" s="62">
        <f t="shared" si="2"/>
        <v>59780628290.7826</v>
      </c>
      <c r="AL8" s="22">
        <f>AVERAGE(AJ4:AJ9)</f>
        <v>60558175520.237061</v>
      </c>
      <c r="AM8" s="22">
        <f>_xlfn.STDEV.S(AJ4:AJ9)</f>
        <v>523329729.16707397</v>
      </c>
      <c r="AQ8" s="117"/>
      <c r="AR8" s="123"/>
    </row>
    <row r="9" spans="1:44" x14ac:dyDescent="0.25">
      <c r="A9" s="56" t="s">
        <v>14</v>
      </c>
      <c r="B9" s="20">
        <v>9.8000000000000007</v>
      </c>
      <c r="F9" s="20">
        <v>9.7000000000000005E-4</v>
      </c>
      <c r="G9" s="20">
        <f t="shared" si="0"/>
        <v>4.8893180000000003</v>
      </c>
      <c r="H9" s="20">
        <v>0.49891000000000002</v>
      </c>
      <c r="I9" s="34"/>
      <c r="J9" s="117"/>
      <c r="K9" s="117"/>
      <c r="P9" s="62">
        <f t="shared" si="3"/>
        <v>60552295987.669708</v>
      </c>
      <c r="W9" s="117"/>
      <c r="X9" s="123"/>
      <c r="Z9" s="62">
        <f t="shared" si="1"/>
        <v>60552295987.669708</v>
      </c>
      <c r="AG9" s="117"/>
      <c r="AH9" s="123"/>
      <c r="AJ9" s="62">
        <f t="shared" si="2"/>
        <v>60552295987.669708</v>
      </c>
      <c r="AQ9" s="117"/>
      <c r="AR9" s="123"/>
    </row>
    <row r="10" spans="1:44" x14ac:dyDescent="0.25">
      <c r="F10" s="20">
        <v>8.0999999999999996E-4</v>
      </c>
      <c r="G10" s="20">
        <f t="shared" si="0"/>
        <v>3.9096120000000005</v>
      </c>
      <c r="H10" s="20">
        <v>0.39894000000000002</v>
      </c>
      <c r="I10" s="34"/>
      <c r="J10" s="111">
        <f>J3*(B2^3)/(4*B3*(B4^3))</f>
        <v>60308444650.890991</v>
      </c>
      <c r="K10" s="111"/>
      <c r="P10" s="62">
        <f t="shared" si="3"/>
        <v>56699152605.690712</v>
      </c>
      <c r="R10" s="118" t="s">
        <v>23</v>
      </c>
      <c r="S10" s="118"/>
      <c r="W10" s="24" t="s">
        <v>28</v>
      </c>
      <c r="X10" s="21">
        <v>11</v>
      </c>
      <c r="Z10" s="62">
        <f t="shared" si="1"/>
        <v>56699152605.690712</v>
      </c>
      <c r="AB10" s="120" t="s">
        <v>23</v>
      </c>
      <c r="AC10" s="121"/>
      <c r="AG10" s="24" t="s">
        <v>28</v>
      </c>
      <c r="AH10" s="21">
        <f>X10-1</f>
        <v>10</v>
      </c>
      <c r="AJ10" s="62">
        <f t="shared" si="2"/>
        <v>56699152605.690712</v>
      </c>
      <c r="AL10" s="120" t="s">
        <v>23</v>
      </c>
      <c r="AM10" s="121"/>
      <c r="AQ10" s="24" t="s">
        <v>28</v>
      </c>
      <c r="AR10" s="21">
        <f>AH10-1</f>
        <v>9</v>
      </c>
    </row>
    <row r="11" spans="1:44" x14ac:dyDescent="0.25">
      <c r="A11" s="117" t="s">
        <v>11</v>
      </c>
      <c r="B11" s="117"/>
      <c r="F11" s="20">
        <v>6.2E-4</v>
      </c>
      <c r="G11" s="20">
        <f t="shared" si="0"/>
        <v>2.9314740000000001</v>
      </c>
      <c r="H11" s="20">
        <v>0.29913000000000001</v>
      </c>
      <c r="I11" s="34"/>
      <c r="J11" s="112" t="s">
        <v>19</v>
      </c>
      <c r="K11" s="113"/>
      <c r="L11" s="116">
        <f>SQRT(((((B2^3)*J4/(4*B3*(B4^3)))^2)+(((B2^2)*3*J3*D2/(4*B3*(B4^3)))^2)+(((B2^3)*J3*D3/(4*(B3^2)*(B4^3)))^2)+((J3*(B2^3)*3*D4/(4*B3*(B4^4)))^2)))</f>
        <v>17407144692.523945</v>
      </c>
      <c r="P11" s="62">
        <f>(($B$2^3)*G10)/(4*F10*($B$4^3)*$B$3)</f>
        <v>54293602379.851852</v>
      </c>
      <c r="R11" s="24" t="s">
        <v>21</v>
      </c>
      <c r="S11" s="24" t="s">
        <v>22</v>
      </c>
      <c r="W11" s="1"/>
      <c r="X11" s="64">
        <f>X7*X10</f>
        <v>0.1144</v>
      </c>
      <c r="Z11" s="62">
        <f t="shared" si="1"/>
        <v>54293602379.851852</v>
      </c>
      <c r="AB11" s="24" t="s">
        <v>21</v>
      </c>
      <c r="AC11" s="24" t="s">
        <v>22</v>
      </c>
      <c r="AG11" s="1"/>
      <c r="AH11" s="64">
        <f>AH7*AH10</f>
        <v>0.15</v>
      </c>
      <c r="AJ11" s="62">
        <f t="shared" si="2"/>
        <v>54293602379.851852</v>
      </c>
      <c r="AL11" s="24" t="s">
        <v>21</v>
      </c>
      <c r="AM11" s="24" t="s">
        <v>22</v>
      </c>
      <c r="AQ11" s="1"/>
      <c r="AR11" s="64">
        <f>AR7*AR10</f>
        <v>0.3528</v>
      </c>
    </row>
    <row r="12" spans="1:44" x14ac:dyDescent="0.25">
      <c r="A12" s="117"/>
      <c r="B12" s="117"/>
      <c r="F12" s="57">
        <v>4.6000000000000001E-4</v>
      </c>
      <c r="G12" s="57">
        <f t="shared" si="0"/>
        <v>1.9563740000000001</v>
      </c>
      <c r="H12" s="57">
        <v>0.19963</v>
      </c>
      <c r="I12" s="34"/>
      <c r="J12" s="114"/>
      <c r="K12" s="115"/>
      <c r="L12" s="116"/>
      <c r="P12" s="62">
        <f>(($B$2^3)*G11)/(4*F11*($B$4^3)*$B$3)</f>
        <v>53185638218.322571</v>
      </c>
      <c r="R12" s="22">
        <f>AVERAGE(P9:P14)</f>
        <v>52221666192.036278</v>
      </c>
      <c r="S12" s="22">
        <f>_xlfn.STDEV.S(P9:P14)</f>
        <v>7003693516.286603</v>
      </c>
      <c r="Z12" s="62">
        <f>(($B$2^3)*G11)/(4*F11*($B$4^3)*$B$3)</f>
        <v>53185638218.322571</v>
      </c>
      <c r="AB12" s="22">
        <f>AVERAGE(Z9:Z13)</f>
        <v>54514201678.028709</v>
      </c>
      <c r="AC12" s="22">
        <f>_xlfn.STDEV.S(Z9:Z13)</f>
        <v>4679397549.7477789</v>
      </c>
      <c r="AJ12" s="62">
        <f t="shared" si="2"/>
        <v>53185638218.322571</v>
      </c>
      <c r="AL12" s="22">
        <f>AVERAGE(AJ9:AJ12)</f>
        <v>56182672297.883713</v>
      </c>
      <c r="AM12" s="22">
        <f>_xlfn.STDEV.S(AJ9:AJ12)</f>
        <v>3261449653.5515814</v>
      </c>
    </row>
    <row r="13" spans="1:44" x14ac:dyDescent="0.25">
      <c r="A13" s="111">
        <f>41*10^9</f>
        <v>41000000000</v>
      </c>
      <c r="B13" s="111"/>
      <c r="F13" s="57">
        <v>2.7E-4</v>
      </c>
      <c r="G13" s="57">
        <f t="shared" si="0"/>
        <v>0.97833400000000004</v>
      </c>
      <c r="H13" s="57">
        <v>9.9830000000000002E-2</v>
      </c>
      <c r="I13" s="33"/>
      <c r="P13" s="62">
        <f t="shared" ref="P13:P14" si="4">(($B$2^3)*G12)/(4*F12*($B$4^3)*$B$3)</f>
        <v>47840319198.608688</v>
      </c>
      <c r="Z13" s="62">
        <f t="shared" si="1"/>
        <v>47840319198.608688</v>
      </c>
    </row>
    <row r="14" spans="1:44" x14ac:dyDescent="0.25">
      <c r="A14" s="111">
        <f>73*10^9</f>
        <v>73000000000</v>
      </c>
      <c r="B14" s="111"/>
      <c r="F14" s="20">
        <v>0</v>
      </c>
      <c r="G14" s="20">
        <v>0</v>
      </c>
      <c r="H14" s="20">
        <v>0</v>
      </c>
      <c r="I14" s="33"/>
      <c r="J14" s="118" t="s">
        <v>23</v>
      </c>
      <c r="K14" s="118"/>
      <c r="L14" s="118"/>
      <c r="M14" s="118"/>
      <c r="N14" s="118"/>
      <c r="P14" s="62">
        <f t="shared" si="4"/>
        <v>40758988762.074074</v>
      </c>
    </row>
    <row r="15" spans="1:44" x14ac:dyDescent="0.25">
      <c r="I15" s="33"/>
      <c r="J15" s="119" t="s">
        <v>9</v>
      </c>
      <c r="K15" s="119"/>
      <c r="L15" s="61"/>
      <c r="M15" s="61"/>
      <c r="N15" s="61"/>
    </row>
    <row r="16" spans="1:44" x14ac:dyDescent="0.25">
      <c r="I16" s="33"/>
      <c r="J16" s="17" cm="1">
        <f t="array" ref="J16:K20">LINEST(G8:G13,F8:F13,FALSE,TRUE)</f>
        <v>5004.82169658367</v>
      </c>
      <c r="K16" s="17">
        <v>0</v>
      </c>
    </row>
    <row r="17" spans="9:12" x14ac:dyDescent="0.25">
      <c r="I17" s="33"/>
      <c r="J17" s="17">
        <v>166.73943096684198</v>
      </c>
      <c r="K17" s="17" t="e">
        <v>#N/A</v>
      </c>
    </row>
    <row r="18" spans="9:12" x14ac:dyDescent="0.25">
      <c r="I18" s="33"/>
      <c r="J18" s="17">
        <v>0.99448093035296892</v>
      </c>
      <c r="K18" s="17">
        <v>0.30988423434633006</v>
      </c>
    </row>
    <row r="19" spans="9:12" x14ac:dyDescent="0.25">
      <c r="I19" s="33"/>
      <c r="J19" s="17">
        <v>900.94979222443317</v>
      </c>
      <c r="K19" s="17">
        <v>5</v>
      </c>
    </row>
    <row r="20" spans="9:12" x14ac:dyDescent="0.25">
      <c r="I20" s="33"/>
      <c r="J20" s="17">
        <v>86.516621701209957</v>
      </c>
      <c r="K20" s="17">
        <v>0.48014119348205603</v>
      </c>
    </row>
    <row r="21" spans="9:12" x14ac:dyDescent="0.25">
      <c r="I21" s="33"/>
      <c r="J21" s="117" t="s">
        <v>10</v>
      </c>
      <c r="K21" s="117"/>
    </row>
    <row r="22" spans="9:12" x14ac:dyDescent="0.25">
      <c r="I22" s="33"/>
      <c r="J22" s="117"/>
      <c r="K22" s="117"/>
    </row>
    <row r="23" spans="9:12" x14ac:dyDescent="0.25">
      <c r="I23" s="33"/>
      <c r="J23" s="111">
        <f>J16*(B2^3)/(4*B3*(B4^3))</f>
        <v>56297437529.058914</v>
      </c>
      <c r="K23" s="111"/>
    </row>
    <row r="24" spans="9:12" x14ac:dyDescent="0.25">
      <c r="I24" s="33"/>
      <c r="J24" s="112" t="s">
        <v>19</v>
      </c>
      <c r="K24" s="113"/>
      <c r="L24" s="116">
        <f>SQRT(((((B2^3)*J17/(4*B3*(B4^3)))^2)+(((B2^2)*3*J16*D2/(4*B3*(B4^3)))^2)+(((B2^3)*J16*D3/(4*(B3^2)*(B4^3)))^2)+((J16*(B2^3)*3*D4/(4*B3*(B4^4)))^2)))</f>
        <v>16356557026.378731</v>
      </c>
    </row>
    <row r="25" spans="9:12" x14ac:dyDescent="0.25">
      <c r="I25" s="33"/>
      <c r="J25" s="114"/>
      <c r="K25" s="115"/>
      <c r="L25" s="116"/>
    </row>
  </sheetData>
  <mergeCells count="37">
    <mergeCell ref="J1:N1"/>
    <mergeCell ref="J2:K2"/>
    <mergeCell ref="W2:X2"/>
    <mergeCell ref="AG2:AH2"/>
    <mergeCell ref="AQ2:AR2"/>
    <mergeCell ref="R6:S6"/>
    <mergeCell ref="W5:W6"/>
    <mergeCell ref="X5:X6"/>
    <mergeCell ref="AG5:AG6"/>
    <mergeCell ref="AH5:AH6"/>
    <mergeCell ref="AB6:AC6"/>
    <mergeCell ref="AR5:AR6"/>
    <mergeCell ref="W7:W9"/>
    <mergeCell ref="X7:X9"/>
    <mergeCell ref="AG7:AG9"/>
    <mergeCell ref="AH7:AH9"/>
    <mergeCell ref="AQ7:AQ9"/>
    <mergeCell ref="AR7:AR9"/>
    <mergeCell ref="AQ5:AQ6"/>
    <mergeCell ref="AL6:AM6"/>
    <mergeCell ref="R10:S10"/>
    <mergeCell ref="AB10:AC10"/>
    <mergeCell ref="AL10:AM10"/>
    <mergeCell ref="A8:B8"/>
    <mergeCell ref="J8:K9"/>
    <mergeCell ref="J10:K10"/>
    <mergeCell ref="J23:K23"/>
    <mergeCell ref="J24:K25"/>
    <mergeCell ref="L24:L25"/>
    <mergeCell ref="A11:B12"/>
    <mergeCell ref="A13:B13"/>
    <mergeCell ref="A14:B14"/>
    <mergeCell ref="J14:N14"/>
    <mergeCell ref="J15:K15"/>
    <mergeCell ref="J21:K22"/>
    <mergeCell ref="J11:K12"/>
    <mergeCell ref="L11:L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A6E6-40E8-4955-8FC6-64D27A3FF6D3}">
  <dimension ref="A1:AR25"/>
  <sheetViews>
    <sheetView workbookViewId="0">
      <selection sqref="A1:N25"/>
    </sheetView>
  </sheetViews>
  <sheetFormatPr defaultRowHeight="15" x14ac:dyDescent="0.25"/>
  <cols>
    <col min="3" max="3" width="2.140625" customWidth="1"/>
    <col min="9" max="9" width="12" customWidth="1"/>
    <col min="10" max="10" width="11.42578125" customWidth="1"/>
    <col min="12" max="12" width="11.28515625" customWidth="1"/>
    <col min="13" max="13" width="12.7109375" customWidth="1"/>
    <col min="19" max="19" width="13.7109375" bestFit="1" customWidth="1"/>
    <col min="23" max="23" width="16.140625" customWidth="1"/>
    <col min="29" max="29" width="13.7109375" bestFit="1" customWidth="1"/>
    <col min="33" max="33" width="16.7109375" customWidth="1"/>
    <col min="39" max="39" width="13.7109375" bestFit="1" customWidth="1"/>
    <col min="43" max="43" width="16.140625" customWidth="1"/>
  </cols>
  <sheetData>
    <row r="1" spans="1:44" x14ac:dyDescent="0.25">
      <c r="A1" s="1"/>
      <c r="B1" s="27" t="s">
        <v>0</v>
      </c>
      <c r="C1" s="1"/>
      <c r="D1" s="27" t="s">
        <v>1</v>
      </c>
      <c r="F1" s="27" t="s">
        <v>8</v>
      </c>
      <c r="G1" s="27" t="s">
        <v>7</v>
      </c>
      <c r="H1" s="69" t="s">
        <v>15</v>
      </c>
      <c r="I1" s="33"/>
      <c r="J1" s="130" t="s">
        <v>17</v>
      </c>
      <c r="K1" s="130"/>
      <c r="L1" s="130"/>
      <c r="M1" s="130"/>
      <c r="N1" s="130"/>
    </row>
    <row r="2" spans="1:44" x14ac:dyDescent="0.25">
      <c r="A2" s="27" t="s">
        <v>2</v>
      </c>
      <c r="B2" s="30">
        <v>0.104</v>
      </c>
      <c r="C2" s="26" t="s">
        <v>5</v>
      </c>
      <c r="D2" s="30">
        <v>5.0000000000000001E-3</v>
      </c>
      <c r="F2" s="29">
        <v>0</v>
      </c>
      <c r="G2" s="29">
        <f>H2*$B$10</f>
        <v>0</v>
      </c>
      <c r="H2" s="29">
        <v>0</v>
      </c>
      <c r="I2" s="34"/>
      <c r="J2" s="131" t="s">
        <v>9</v>
      </c>
      <c r="K2" s="131"/>
      <c r="L2" s="70"/>
      <c r="M2" s="70"/>
      <c r="N2" s="70"/>
      <c r="W2" s="130" t="s">
        <v>27</v>
      </c>
      <c r="X2" s="130"/>
      <c r="AG2" s="130" t="s">
        <v>27</v>
      </c>
      <c r="AH2" s="130"/>
      <c r="AQ2" s="130" t="s">
        <v>27</v>
      </c>
      <c r="AR2" s="130"/>
    </row>
    <row r="3" spans="1:44" ht="16.5" customHeight="1" x14ac:dyDescent="0.25">
      <c r="A3" s="27" t="s">
        <v>3</v>
      </c>
      <c r="B3" s="30">
        <v>4.8000000000000001E-2</v>
      </c>
      <c r="C3" s="27" t="s">
        <v>5</v>
      </c>
      <c r="D3" s="30">
        <v>5.0000000000000001E-3</v>
      </c>
      <c r="F3" s="29">
        <v>5.0000000000000002E-5</v>
      </c>
      <c r="G3" s="29">
        <f>H3*$B$9</f>
        <v>0.97833400000000004</v>
      </c>
      <c r="H3" s="29">
        <v>9.9830000000000002E-2</v>
      </c>
      <c r="I3" s="34"/>
      <c r="J3" s="29" cm="1">
        <f t="array" ref="J3:K7">LINEST(G3:G8,F3:F8,FALSE,TRUE)</f>
        <v>14965.314961346065</v>
      </c>
      <c r="K3" s="29">
        <v>0</v>
      </c>
      <c r="P3" s="27" t="s">
        <v>20</v>
      </c>
      <c r="R3" s="27" t="s">
        <v>21</v>
      </c>
      <c r="S3" s="27" t="s">
        <v>22</v>
      </c>
      <c r="W3" s="74" t="s">
        <v>24</v>
      </c>
      <c r="X3" s="72">
        <f>P14</f>
        <v>82924374922.839523</v>
      </c>
      <c r="Z3" s="27" t="s">
        <v>20</v>
      </c>
      <c r="AB3" s="27" t="s">
        <v>21</v>
      </c>
      <c r="AC3" s="27" t="s">
        <v>22</v>
      </c>
      <c r="AG3" s="28" t="s">
        <v>24</v>
      </c>
      <c r="AH3" s="72">
        <f>Z5</f>
        <v>78034743609.295578</v>
      </c>
      <c r="AJ3" s="27" t="s">
        <v>20</v>
      </c>
      <c r="AL3" s="27" t="s">
        <v>21</v>
      </c>
      <c r="AM3" s="27" t="s">
        <v>22</v>
      </c>
      <c r="AQ3" s="28" t="s">
        <v>24</v>
      </c>
      <c r="AR3" s="72">
        <f>AJ12</f>
        <v>66329532067.901245</v>
      </c>
    </row>
    <row r="4" spans="1:44" x14ac:dyDescent="0.25">
      <c r="A4" s="27" t="s">
        <v>4</v>
      </c>
      <c r="B4" s="30">
        <v>1.1999999999999999E-3</v>
      </c>
      <c r="C4" s="27" t="s">
        <v>5</v>
      </c>
      <c r="D4" s="30">
        <v>5.0000000000000002E-5</v>
      </c>
      <c r="F4" s="68">
        <v>8.5000000000000006E-5</v>
      </c>
      <c r="G4" s="68">
        <f t="shared" ref="G4:G13" si="0">H4*$B$9</f>
        <v>1.9563740000000001</v>
      </c>
      <c r="H4" s="68">
        <f>H3+0.0998</f>
        <v>0.19963</v>
      </c>
      <c r="I4" s="34"/>
      <c r="J4" s="29">
        <v>649.2648718124924</v>
      </c>
      <c r="K4" s="29" t="e">
        <v>#N/A</v>
      </c>
      <c r="P4" s="71">
        <f>(($B$2^3)*G3)/(4*F3*($B$4^3)*$B$3)</f>
        <v>66339499938.271622</v>
      </c>
      <c r="R4" s="31">
        <f>AVERAGE(P4:P14)</f>
        <v>59367717903.171722</v>
      </c>
      <c r="S4" s="31">
        <f>_xlfn.STDEV.S(P4:P14)</f>
        <v>12393818694.233358</v>
      </c>
      <c r="W4" s="75" t="s">
        <v>25</v>
      </c>
      <c r="X4" s="72">
        <f>ABS(R4-X3)</f>
        <v>23556657019.667801</v>
      </c>
      <c r="Z4" s="71">
        <f>(($B$2^3)*G3)/(4*F3*($B$4^3)*$B$3)</f>
        <v>66339499938.271622</v>
      </c>
      <c r="AB4" s="31">
        <f>AVERAGE(Z4:Z13)</f>
        <v>57012052201.204941</v>
      </c>
      <c r="AC4" s="31">
        <f>_xlfn.STDEV.S(Z4:Z13)</f>
        <v>10141552145.717611</v>
      </c>
      <c r="AG4" s="26" t="s">
        <v>25</v>
      </c>
      <c r="AH4" s="72">
        <f>ABS(AB4-AH3)</f>
        <v>21022691408.090637</v>
      </c>
      <c r="AJ4" s="71">
        <f>(($B$2^3)*G3)/(4*F3*($B$4^3)*$B$3)</f>
        <v>66339499938.271622</v>
      </c>
      <c r="AL4" s="31">
        <f>AVERAGE(AJ4:AJ12)</f>
        <v>54676197600.305977</v>
      </c>
      <c r="AM4" s="31">
        <f>_xlfn.STDEV.S(AJ4:AJ12)</f>
        <v>7370551326.309618</v>
      </c>
      <c r="AQ4" s="26" t="s">
        <v>25</v>
      </c>
      <c r="AR4" s="72">
        <f>ABS(AL4-AR3)</f>
        <v>11653334467.595268</v>
      </c>
    </row>
    <row r="5" spans="1:44" x14ac:dyDescent="0.25">
      <c r="A5" s="27" t="s">
        <v>6</v>
      </c>
      <c r="B5" s="30">
        <f>B2/2</f>
        <v>5.1999999999999998E-2</v>
      </c>
      <c r="C5" s="27" t="s">
        <v>5</v>
      </c>
      <c r="D5" s="30">
        <v>5.0000000000000001E-3</v>
      </c>
      <c r="F5" s="29">
        <v>1.7000000000000001E-4</v>
      </c>
      <c r="G5" s="29">
        <f t="shared" si="0"/>
        <v>2.9314740000000001</v>
      </c>
      <c r="H5" s="29">
        <f>H4+0.0995</f>
        <v>0.29913000000000001</v>
      </c>
      <c r="I5" s="34"/>
      <c r="J5" s="29">
        <v>0.99067660676956526</v>
      </c>
      <c r="K5" s="29">
        <v>0.40276668934809129</v>
      </c>
      <c r="P5" s="71">
        <f>(($B$2^3)*G4)/(4*F4*($B$4^3)*$B$3)</f>
        <v>78034743609.295578</v>
      </c>
      <c r="W5" s="132" t="s">
        <v>18</v>
      </c>
      <c r="X5" s="135">
        <f>X4/S4</f>
        <v>1.9006778782901133</v>
      </c>
      <c r="Z5" s="71">
        <f t="shared" ref="Z5:Z13" si="1">(($B$2^3)*G4)/(4*F4*($B$4^3)*$B$3)</f>
        <v>78034743609.295578</v>
      </c>
      <c r="AG5" s="132" t="s">
        <v>18</v>
      </c>
      <c r="AH5" s="135">
        <f>AH4/AC4</f>
        <v>2.0729264225070039</v>
      </c>
      <c r="AJ5" s="71">
        <f>(($B$2^3)*G5)/(4*F5*($B$4^3)*$B$3)</f>
        <v>58464491448.80175</v>
      </c>
      <c r="AQ5" s="132" t="s">
        <v>18</v>
      </c>
      <c r="AR5" s="135">
        <f>AR4/AM4</f>
        <v>1.5810668634784488</v>
      </c>
    </row>
    <row r="6" spans="1:44" x14ac:dyDescent="0.25">
      <c r="F6" s="29">
        <v>2.5000000000000001E-4</v>
      </c>
      <c r="G6" s="29">
        <f t="shared" si="0"/>
        <v>3.9096120000000005</v>
      </c>
      <c r="H6" s="29">
        <f>H5+0.09981</f>
        <v>0.39894000000000002</v>
      </c>
      <c r="I6" s="34"/>
      <c r="J6" s="29">
        <v>531.28543561568154</v>
      </c>
      <c r="K6" s="29">
        <v>5</v>
      </c>
      <c r="P6" s="71">
        <f>(($B$2^3)*G5)/(4*F5*($B$4^3)*$B$3)</f>
        <v>58464491448.80175</v>
      </c>
      <c r="R6" s="133" t="s">
        <v>17</v>
      </c>
      <c r="S6" s="134"/>
      <c r="W6" s="132"/>
      <c r="X6" s="135"/>
      <c r="Z6" s="71">
        <f t="shared" si="1"/>
        <v>58464491448.80175</v>
      </c>
      <c r="AB6" s="133" t="s">
        <v>17</v>
      </c>
      <c r="AC6" s="134"/>
      <c r="AG6" s="132"/>
      <c r="AH6" s="135"/>
      <c r="AJ6" s="71">
        <f t="shared" ref="AJ6:AJ12" si="2">(($B$2^3)*G6)/(4*F6*($B$4^3)*$B$3)</f>
        <v>53021096074.074089</v>
      </c>
      <c r="AL6" s="133" t="s">
        <v>17</v>
      </c>
      <c r="AM6" s="134"/>
      <c r="AQ6" s="132"/>
      <c r="AR6" s="135"/>
    </row>
    <row r="7" spans="1:44" x14ac:dyDescent="0.25">
      <c r="F7" s="29">
        <v>3.4000000000000002E-4</v>
      </c>
      <c r="G7" s="29">
        <f t="shared" si="0"/>
        <v>4.8893180000000003</v>
      </c>
      <c r="H7" s="29">
        <f>H6+0.09997</f>
        <v>0.49891000000000002</v>
      </c>
      <c r="I7" s="34"/>
      <c r="J7" s="29">
        <v>86.185657864449908</v>
      </c>
      <c r="K7" s="29">
        <v>0.81110503024210923</v>
      </c>
      <c r="P7" s="71">
        <f t="shared" ref="P7:P10" si="3">(($B$2^3)*G6)/(4*F6*($B$4^3)*$B$3)</f>
        <v>53021096074.074089</v>
      </c>
      <c r="R7" s="27" t="s">
        <v>21</v>
      </c>
      <c r="S7" s="27" t="s">
        <v>22</v>
      </c>
      <c r="W7" s="132" t="s">
        <v>26</v>
      </c>
      <c r="X7" s="136">
        <v>2.87E-2</v>
      </c>
      <c r="Z7" s="71">
        <f t="shared" si="1"/>
        <v>53021096074.074089</v>
      </c>
      <c r="AB7" s="27" t="s">
        <v>21</v>
      </c>
      <c r="AC7" s="27" t="s">
        <v>22</v>
      </c>
      <c r="AG7" s="132" t="s">
        <v>26</v>
      </c>
      <c r="AH7" s="136">
        <v>1.9199999999999998E-2</v>
      </c>
      <c r="AJ7" s="71">
        <f t="shared" si="2"/>
        <v>48755590259.622375</v>
      </c>
      <c r="AL7" s="27" t="s">
        <v>21</v>
      </c>
      <c r="AM7" s="27" t="s">
        <v>22</v>
      </c>
      <c r="AQ7" s="132" t="s">
        <v>26</v>
      </c>
      <c r="AR7" s="136">
        <v>5.7099999999999998E-2</v>
      </c>
    </row>
    <row r="8" spans="1:44" ht="15" customHeight="1" x14ac:dyDescent="0.25">
      <c r="A8" s="27" t="s">
        <v>13</v>
      </c>
      <c r="B8" s="27"/>
      <c r="F8" s="29">
        <v>4.0999999999999999E-4</v>
      </c>
      <c r="G8" s="29">
        <f t="shared" si="0"/>
        <v>5.8675540000000002</v>
      </c>
      <c r="H8" s="29">
        <f>H7+ 0.09982</f>
        <v>0.59872999999999998</v>
      </c>
      <c r="I8" s="34"/>
      <c r="J8" s="132" t="s">
        <v>10</v>
      </c>
      <c r="K8" s="132"/>
      <c r="P8" s="71">
        <f t="shared" si="3"/>
        <v>48755590259.622375</v>
      </c>
      <c r="R8" s="31">
        <f>AVERAGE(P4:P9)</f>
        <v>58856043157.791199</v>
      </c>
      <c r="S8" s="31">
        <f>_xlfn.STDEV.S(P4:P9)</f>
        <v>11548681473.913368</v>
      </c>
      <c r="W8" s="132"/>
      <c r="X8" s="136"/>
      <c r="Z8" s="71">
        <f t="shared" si="1"/>
        <v>48755590259.622375</v>
      </c>
      <c r="AB8" s="31">
        <f>AVERAGE(Z4:Z9)</f>
        <v>58856043157.791199</v>
      </c>
      <c r="AC8" s="31">
        <f>_xlfn.STDEV.S(Z4:Z9)</f>
        <v>11548681473.913368</v>
      </c>
      <c r="AG8" s="132"/>
      <c r="AH8" s="136"/>
      <c r="AJ8" s="71">
        <f t="shared" si="2"/>
        <v>48520837616.681732</v>
      </c>
      <c r="AL8" s="31">
        <f>AVERAGE(AJ4:AJ8)</f>
        <v>55020303067.490311</v>
      </c>
      <c r="AM8" s="31">
        <f>_xlfn.STDEV.S(AJ4:AJ8)</f>
        <v>7507881820.4490051</v>
      </c>
      <c r="AQ8" s="132"/>
      <c r="AR8" s="136"/>
    </row>
    <row r="9" spans="1:44" x14ac:dyDescent="0.25">
      <c r="A9" s="67" t="s">
        <v>14</v>
      </c>
      <c r="B9" s="29">
        <v>9.8000000000000007</v>
      </c>
      <c r="F9" s="29">
        <v>3.5E-4</v>
      </c>
      <c r="G9" s="29">
        <f t="shared" si="0"/>
        <v>4.8893180000000003</v>
      </c>
      <c r="H9" s="29">
        <v>0.49891000000000002</v>
      </c>
      <c r="I9" s="34"/>
      <c r="J9" s="132"/>
      <c r="K9" s="132"/>
      <c r="P9" s="71">
        <f t="shared" si="3"/>
        <v>48520837616.681732</v>
      </c>
      <c r="W9" s="132"/>
      <c r="X9" s="136"/>
      <c r="Z9" s="71">
        <f t="shared" si="1"/>
        <v>48520837616.681732</v>
      </c>
      <c r="AG9" s="132"/>
      <c r="AH9" s="136"/>
      <c r="AJ9" s="71">
        <f t="shared" si="2"/>
        <v>47362573395.061737</v>
      </c>
      <c r="AQ9" s="132"/>
      <c r="AR9" s="136"/>
    </row>
    <row r="10" spans="1:44" x14ac:dyDescent="0.25">
      <c r="F10" s="29">
        <v>2.5999999999999998E-4</v>
      </c>
      <c r="G10" s="29">
        <f t="shared" si="0"/>
        <v>3.9096120000000005</v>
      </c>
      <c r="H10" s="29">
        <v>0.39894000000000002</v>
      </c>
      <c r="I10" s="34"/>
      <c r="J10" s="129">
        <f>J3*(B2^3)/(4*B3*(B4^3))</f>
        <v>50738884213.082268</v>
      </c>
      <c r="K10" s="129"/>
      <c r="P10" s="71">
        <f t="shared" si="3"/>
        <v>47362573395.061737</v>
      </c>
      <c r="R10" s="130" t="s">
        <v>23</v>
      </c>
      <c r="S10" s="130"/>
      <c r="W10" s="27" t="s">
        <v>28</v>
      </c>
      <c r="X10" s="30">
        <v>11</v>
      </c>
      <c r="Z10" s="71">
        <f t="shared" si="1"/>
        <v>47362573395.061737</v>
      </c>
      <c r="AB10" s="133" t="s">
        <v>23</v>
      </c>
      <c r="AC10" s="134"/>
      <c r="AG10" s="27" t="s">
        <v>28</v>
      </c>
      <c r="AH10" s="30">
        <f>X10-1</f>
        <v>10</v>
      </c>
      <c r="AJ10" s="71">
        <f t="shared" si="2"/>
        <v>50981823148.14817</v>
      </c>
      <c r="AL10" s="133" t="s">
        <v>23</v>
      </c>
      <c r="AM10" s="134"/>
      <c r="AQ10" s="27" t="s">
        <v>28</v>
      </c>
      <c r="AR10" s="30">
        <f>AH10-1</f>
        <v>9</v>
      </c>
    </row>
    <row r="11" spans="1:44" ht="15" customHeight="1" x14ac:dyDescent="0.25">
      <c r="A11" s="132" t="s">
        <v>11</v>
      </c>
      <c r="B11" s="132"/>
      <c r="F11" s="29">
        <v>1.9000000000000001E-4</v>
      </c>
      <c r="G11" s="29">
        <f t="shared" si="0"/>
        <v>2.9314740000000001</v>
      </c>
      <c r="H11" s="29">
        <v>0.29913000000000001</v>
      </c>
      <c r="I11" s="34"/>
      <c r="J11" s="124" t="s">
        <v>19</v>
      </c>
      <c r="K11" s="125"/>
      <c r="L11" s="128">
        <f>SQRT(((((B2^3)*J4/(4*B3*(B4^3)))^2)+(((B2^2)*3*J3*D2/(4*B3*(B4^3)))^2)+(((B2^3)*J3*D3/(4*(B3^2)*(B4^3)))^2)+((J3*(B2^3)*3*D4/(4*B3*(B4^4)))^2)))</f>
        <v>11249903011.216158</v>
      </c>
      <c r="P11" s="71">
        <f>(($B$2^3)*G10)/(4*F10*($B$4^3)*$B$3)</f>
        <v>50981823148.14817</v>
      </c>
      <c r="R11" s="27" t="s">
        <v>21</v>
      </c>
      <c r="S11" s="27" t="s">
        <v>22</v>
      </c>
      <c r="W11" s="1"/>
      <c r="X11" s="73">
        <f>X7*X10</f>
        <v>0.31569999999999998</v>
      </c>
      <c r="Z11" s="71">
        <f t="shared" si="1"/>
        <v>50981823148.14817</v>
      </c>
      <c r="AB11" s="27" t="s">
        <v>21</v>
      </c>
      <c r="AC11" s="27" t="s">
        <v>22</v>
      </c>
      <c r="AG11" s="1"/>
      <c r="AH11" s="73">
        <f>AH7*AH10</f>
        <v>0.19199999999999998</v>
      </c>
      <c r="AJ11" s="71">
        <f t="shared" si="2"/>
        <v>52310334454.19104</v>
      </c>
      <c r="AL11" s="27" t="s">
        <v>21</v>
      </c>
      <c r="AM11" s="27" t="s">
        <v>22</v>
      </c>
      <c r="AQ11" s="1"/>
      <c r="AR11" s="73">
        <f>AR7*AR10</f>
        <v>0.51390000000000002</v>
      </c>
    </row>
    <row r="12" spans="1:44" x14ac:dyDescent="0.25">
      <c r="A12" s="132"/>
      <c r="B12" s="132"/>
      <c r="F12" s="29">
        <v>1E-4</v>
      </c>
      <c r="G12" s="29">
        <f t="shared" si="0"/>
        <v>1.9563740000000001</v>
      </c>
      <c r="H12" s="29">
        <v>0.19963</v>
      </c>
      <c r="I12" s="34"/>
      <c r="J12" s="126"/>
      <c r="K12" s="127"/>
      <c r="L12" s="128"/>
      <c r="P12" s="71">
        <f>(($B$2^3)*G11)/(4*F11*($B$4^3)*$B$3)</f>
        <v>52310334454.19104</v>
      </c>
      <c r="R12" s="31">
        <f>AVERAGE(P9:P14)</f>
        <v>58071579267.470573</v>
      </c>
      <c r="S12" s="31">
        <f>_xlfn.STDEV.S(P9:P14)</f>
        <v>13965753061.16415</v>
      </c>
      <c r="Z12" s="71">
        <f>(($B$2^3)*G11)/(4*F11*($B$4^3)*$B$3)</f>
        <v>52310334454.19104</v>
      </c>
      <c r="AB12" s="31">
        <f>AVERAGE(Z9:Z13)</f>
        <v>53101020136.396782</v>
      </c>
      <c r="AC12" s="31">
        <f>_xlfn.STDEV.S(Z9:Z13)</f>
        <v>7648816094.0443211</v>
      </c>
      <c r="AJ12" s="71">
        <f t="shared" si="2"/>
        <v>66329532067.901245</v>
      </c>
      <c r="AL12" s="31">
        <f>AVERAGE(AJ8:AJ12)</f>
        <v>53101020136.396782</v>
      </c>
      <c r="AM12" s="31">
        <f>_xlfn.STDEV.S(AJ8:AJ12)</f>
        <v>7648816094.0443211</v>
      </c>
    </row>
    <row r="13" spans="1:44" x14ac:dyDescent="0.25">
      <c r="A13" s="129">
        <f>40*10^9</f>
        <v>40000000000</v>
      </c>
      <c r="B13" s="129"/>
      <c r="F13" s="68">
        <v>4.0000000000000003E-5</v>
      </c>
      <c r="G13" s="68">
        <f t="shared" si="0"/>
        <v>0.97833400000000004</v>
      </c>
      <c r="H13" s="68">
        <v>9.9830000000000002E-2</v>
      </c>
      <c r="I13" s="33"/>
      <c r="P13" s="71">
        <f t="shared" ref="P13:P14" si="4">(($B$2^3)*G12)/(4*F12*($B$4^3)*$B$3)</f>
        <v>66329532067.901245</v>
      </c>
      <c r="Z13" s="71">
        <f t="shared" si="1"/>
        <v>66329532067.901245</v>
      </c>
    </row>
    <row r="14" spans="1:44" x14ac:dyDescent="0.25">
      <c r="A14" s="129">
        <f>90*10^9</f>
        <v>90000000000</v>
      </c>
      <c r="B14" s="129"/>
      <c r="F14" s="30">
        <v>0</v>
      </c>
      <c r="G14" s="30">
        <v>0</v>
      </c>
      <c r="H14" s="30">
        <v>0</v>
      </c>
      <c r="I14" s="33"/>
      <c r="J14" s="130" t="s">
        <v>23</v>
      </c>
      <c r="K14" s="130"/>
      <c r="L14" s="130"/>
      <c r="M14" s="130"/>
      <c r="N14" s="130"/>
      <c r="P14" s="71">
        <f t="shared" si="4"/>
        <v>82924374922.839523</v>
      </c>
    </row>
    <row r="15" spans="1:44" x14ac:dyDescent="0.25">
      <c r="I15" s="33"/>
      <c r="J15" s="131" t="s">
        <v>9</v>
      </c>
      <c r="K15" s="131"/>
      <c r="L15" s="70"/>
      <c r="M15" s="70"/>
      <c r="N15" s="70"/>
    </row>
    <row r="16" spans="1:44" x14ac:dyDescent="0.25">
      <c r="I16" s="33"/>
      <c r="J16" s="29" cm="1">
        <f t="array" ref="J16:K20">LINEST(G8:G13,F8:F13,FALSE,TRUE)</f>
        <v>14597.704804138952</v>
      </c>
      <c r="K16" s="29">
        <v>0</v>
      </c>
    </row>
    <row r="17" spans="9:12" x14ac:dyDescent="0.25">
      <c r="I17" s="33"/>
      <c r="J17" s="29">
        <v>497.50303366943314</v>
      </c>
      <c r="K17" s="29" t="e">
        <v>#N/A</v>
      </c>
    </row>
    <row r="18" spans="9:12" x14ac:dyDescent="0.25">
      <c r="I18" s="33"/>
      <c r="J18" s="29">
        <v>0.99422599136188916</v>
      </c>
      <c r="K18" s="29">
        <v>0.31696058443965297</v>
      </c>
    </row>
    <row r="19" spans="9:12" x14ac:dyDescent="0.25">
      <c r="I19" s="33"/>
      <c r="J19" s="29">
        <v>860.94951850226562</v>
      </c>
      <c r="K19" s="29">
        <v>5</v>
      </c>
    </row>
    <row r="20" spans="9:12" x14ac:dyDescent="0.25">
      <c r="I20" s="33"/>
      <c r="J20" s="29">
        <v>86.494442834250378</v>
      </c>
      <c r="K20" s="29">
        <v>0.5023200604416318</v>
      </c>
    </row>
    <row r="21" spans="9:12" x14ac:dyDescent="0.25">
      <c r="I21" s="33"/>
      <c r="J21" s="132" t="s">
        <v>10</v>
      </c>
      <c r="K21" s="132"/>
    </row>
    <row r="22" spans="9:12" x14ac:dyDescent="0.25">
      <c r="I22" s="33"/>
      <c r="J22" s="132"/>
      <c r="K22" s="132"/>
    </row>
    <row r="23" spans="9:12" x14ac:dyDescent="0.25">
      <c r="I23" s="33"/>
      <c r="J23" s="129">
        <f>J16*(B2^3)/(4*B3*(B4^3))</f>
        <v>49492526936.255058</v>
      </c>
      <c r="K23" s="129"/>
    </row>
    <row r="24" spans="9:12" x14ac:dyDescent="0.25">
      <c r="I24" s="33"/>
      <c r="J24" s="124" t="s">
        <v>19</v>
      </c>
      <c r="K24" s="125"/>
      <c r="L24" s="128">
        <f>SQRT(((((B2^3)*J17/(4*B3*(B4^3)))^2)+(((B2^2)*3*J16*D2/(4*B3*(B4^3)))^2)+(((B2^3)*J16*D3/(4*(B3^2)*(B4^3)))^2)+((J16*(B2^3)*3*D4/(4*B3*(B4^4)))^2)))</f>
        <v>10892822556.684404</v>
      </c>
    </row>
    <row r="25" spans="9:12" x14ac:dyDescent="0.25">
      <c r="I25" s="33"/>
      <c r="J25" s="126"/>
      <c r="K25" s="127"/>
      <c r="L25" s="128"/>
    </row>
  </sheetData>
  <mergeCells count="36">
    <mergeCell ref="AG5:AG6"/>
    <mergeCell ref="AH5:AH6"/>
    <mergeCell ref="AQ5:AQ6"/>
    <mergeCell ref="J1:N1"/>
    <mergeCell ref="J2:K2"/>
    <mergeCell ref="W2:X2"/>
    <mergeCell ref="AG2:AH2"/>
    <mergeCell ref="AQ2:AR2"/>
    <mergeCell ref="J8:K9"/>
    <mergeCell ref="J10:K10"/>
    <mergeCell ref="R10:S10"/>
    <mergeCell ref="AB10:AC10"/>
    <mergeCell ref="AR5:AR6"/>
    <mergeCell ref="R6:S6"/>
    <mergeCell ref="AB6:AC6"/>
    <mergeCell ref="AL6:AM6"/>
    <mergeCell ref="W7:W9"/>
    <mergeCell ref="X7:X9"/>
    <mergeCell ref="AG7:AG9"/>
    <mergeCell ref="AH7:AH9"/>
    <mergeCell ref="AQ7:AQ9"/>
    <mergeCell ref="AR7:AR9"/>
    <mergeCell ref="W5:W6"/>
    <mergeCell ref="X5:X6"/>
    <mergeCell ref="AL10:AM10"/>
    <mergeCell ref="A11:B12"/>
    <mergeCell ref="J11:K12"/>
    <mergeCell ref="L11:L12"/>
    <mergeCell ref="A13:B13"/>
    <mergeCell ref="J24:K25"/>
    <mergeCell ref="L24:L25"/>
    <mergeCell ref="A14:B14"/>
    <mergeCell ref="J14:N14"/>
    <mergeCell ref="J15:K15"/>
    <mergeCell ref="J21:K22"/>
    <mergeCell ref="J23:K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214E-C9B0-4C30-9509-D3470BDC7D6B}">
  <dimension ref="A1:N26"/>
  <sheetViews>
    <sheetView workbookViewId="0">
      <selection activeCell="H25" sqref="H25"/>
    </sheetView>
  </sheetViews>
  <sheetFormatPr defaultRowHeight="15" x14ac:dyDescent="0.25"/>
  <sheetData>
    <row r="1" spans="1:14" x14ac:dyDescent="0.25">
      <c r="A1" s="1"/>
      <c r="B1" s="5" t="s">
        <v>0</v>
      </c>
      <c r="C1" s="1"/>
      <c r="D1" s="5" t="s">
        <v>1</v>
      </c>
      <c r="F1" s="5" t="s">
        <v>8</v>
      </c>
      <c r="G1" s="5" t="s">
        <v>7</v>
      </c>
      <c r="H1" s="5" t="s">
        <v>16</v>
      </c>
      <c r="I1" s="33"/>
      <c r="J1" s="77" t="s">
        <v>17</v>
      </c>
      <c r="K1" s="77"/>
      <c r="L1" s="77"/>
      <c r="M1" s="77"/>
      <c r="N1" s="77"/>
    </row>
    <row r="2" spans="1:14" x14ac:dyDescent="0.25">
      <c r="A2" s="5" t="s">
        <v>2</v>
      </c>
      <c r="B2" s="7">
        <v>0.104</v>
      </c>
      <c r="C2" s="3" t="s">
        <v>5</v>
      </c>
      <c r="D2" s="7">
        <v>5.0000000000000001E-3</v>
      </c>
      <c r="F2" s="7">
        <v>0</v>
      </c>
      <c r="G2" s="7">
        <f>H2*$B$9</f>
        <v>0</v>
      </c>
      <c r="H2" s="7">
        <v>0</v>
      </c>
      <c r="I2" s="34"/>
      <c r="J2" s="88" t="s">
        <v>9</v>
      </c>
      <c r="K2" s="88"/>
    </row>
    <row r="3" spans="1:14" x14ac:dyDescent="0.25">
      <c r="A3" s="5" t="s">
        <v>3</v>
      </c>
      <c r="B3" s="7">
        <v>2.7E-2</v>
      </c>
      <c r="C3" s="5" t="s">
        <v>5</v>
      </c>
      <c r="D3" s="7">
        <v>5.0000000000000001E-3</v>
      </c>
      <c r="F3" s="7">
        <v>2.1499999999999999E-4</v>
      </c>
      <c r="G3" s="7">
        <f t="shared" ref="G3:G9" si="0">H3*$B$9</f>
        <v>0.97833400000000004</v>
      </c>
      <c r="H3" s="7">
        <v>9.9830000000000002E-2</v>
      </c>
      <c r="I3" s="34"/>
      <c r="J3" s="4" cm="1">
        <f t="array" ref="J3:K7">LINEST(G3:G7,F3:F7,FALSE,TRUE)</f>
        <v>4929.918245812768</v>
      </c>
      <c r="K3" s="4">
        <v>0</v>
      </c>
    </row>
    <row r="4" spans="1:14" x14ac:dyDescent="0.25">
      <c r="A4" s="5" t="s">
        <v>4</v>
      </c>
      <c r="B4" s="7">
        <v>8.0000000000000004E-4</v>
      </c>
      <c r="C4" s="5" t="s">
        <v>5</v>
      </c>
      <c r="D4" s="7">
        <v>5.0000000000000002E-5</v>
      </c>
      <c r="F4" s="7">
        <v>4.0000000000000002E-4</v>
      </c>
      <c r="G4" s="7">
        <f t="shared" si="0"/>
        <v>1.9563740000000001</v>
      </c>
      <c r="H4" s="7">
        <f>H3+0.0998</f>
        <v>0.19963</v>
      </c>
      <c r="I4" s="34"/>
      <c r="J4" s="4">
        <v>43.396158181782674</v>
      </c>
      <c r="K4" s="4" t="e">
        <v>#N/A</v>
      </c>
    </row>
    <row r="5" spans="1:14" x14ac:dyDescent="0.25">
      <c r="A5" s="5" t="s">
        <v>6</v>
      </c>
      <c r="B5" s="7">
        <f>B2/2</f>
        <v>5.1999999999999998E-2</v>
      </c>
      <c r="C5" s="5" t="s">
        <v>5</v>
      </c>
      <c r="D5" s="7">
        <v>5.0000000000000001E-3</v>
      </c>
      <c r="F5" s="7">
        <v>6.0999999999999997E-4</v>
      </c>
      <c r="G5" s="7">
        <f t="shared" si="0"/>
        <v>2.9314740000000001</v>
      </c>
      <c r="H5" s="7">
        <f>H4+0.0995</f>
        <v>0.29913000000000001</v>
      </c>
      <c r="I5" s="34"/>
      <c r="J5" s="4">
        <v>0.99969015211377721</v>
      </c>
      <c r="K5" s="4">
        <v>6.3820760353165529E-2</v>
      </c>
    </row>
    <row r="6" spans="1:14" x14ac:dyDescent="0.25">
      <c r="F6" s="7">
        <v>7.9000000000000001E-4</v>
      </c>
      <c r="G6" s="7">
        <f t="shared" si="0"/>
        <v>3.9111800000000003</v>
      </c>
      <c r="H6" s="7">
        <f>H5+0.09997</f>
        <v>0.39910000000000001</v>
      </c>
      <c r="I6" s="34"/>
      <c r="J6" s="4">
        <v>12905.560393528691</v>
      </c>
      <c r="K6" s="4">
        <v>4</v>
      </c>
    </row>
    <row r="7" spans="1:14" x14ac:dyDescent="0.25">
      <c r="F7" s="7">
        <v>9.7999999999999997E-4</v>
      </c>
      <c r="G7" s="7">
        <f t="shared" si="0"/>
        <v>4.8894160000000007</v>
      </c>
      <c r="H7" s="7">
        <f>H6+0.09982</f>
        <v>0.49892000000000003</v>
      </c>
      <c r="I7" s="34"/>
      <c r="J7" s="4">
        <v>52.565501911755781</v>
      </c>
      <c r="K7" s="4">
        <v>1.6292357808224741E-2</v>
      </c>
    </row>
    <row r="8" spans="1:14" x14ac:dyDescent="0.25">
      <c r="A8" s="77" t="s">
        <v>13</v>
      </c>
      <c r="B8" s="77"/>
      <c r="F8" s="7">
        <v>8.3000000000000001E-4</v>
      </c>
      <c r="G8" s="7">
        <f t="shared" si="0"/>
        <v>3.9111800000000003</v>
      </c>
      <c r="H8" s="7">
        <v>0.39910000000000001</v>
      </c>
      <c r="I8" s="34"/>
      <c r="J8" s="79" t="s">
        <v>10</v>
      </c>
      <c r="K8" s="79"/>
      <c r="L8" s="79" t="s">
        <v>11</v>
      </c>
      <c r="M8" s="79"/>
      <c r="N8" s="79" t="s">
        <v>12</v>
      </c>
    </row>
    <row r="9" spans="1:14" x14ac:dyDescent="0.25">
      <c r="A9" s="32" t="s">
        <v>14</v>
      </c>
      <c r="B9" s="4">
        <v>9.8000000000000007</v>
      </c>
      <c r="F9" s="7">
        <v>6.4000000000000005E-4</v>
      </c>
      <c r="G9" s="7">
        <f t="shared" si="0"/>
        <v>2.9314740000000001</v>
      </c>
      <c r="H9" s="7">
        <v>0.29913000000000001</v>
      </c>
      <c r="I9" s="34"/>
      <c r="J9" s="79"/>
      <c r="K9" s="79"/>
      <c r="L9" s="79"/>
      <c r="M9" s="79"/>
      <c r="N9" s="79"/>
    </row>
    <row r="10" spans="1:14" x14ac:dyDescent="0.25">
      <c r="F10" s="7">
        <v>0</v>
      </c>
      <c r="G10" s="7">
        <f>H10*$B$9</f>
        <v>0</v>
      </c>
      <c r="H10" s="7">
        <v>0</v>
      </c>
      <c r="I10" s="34"/>
      <c r="J10" s="82">
        <f>J3*(B2^3)/(4*B3*(B4^3))</f>
        <v>100287318389.35788</v>
      </c>
      <c r="K10" s="82"/>
      <c r="L10" s="82">
        <f>123*10^9</f>
        <v>123000000000</v>
      </c>
      <c r="M10" s="82"/>
      <c r="N10" s="36">
        <f>ABS(J10-L10)/L10</f>
        <v>0.18465594805400098</v>
      </c>
    </row>
    <row r="11" spans="1:14" x14ac:dyDescent="0.25">
      <c r="I11" s="34"/>
      <c r="J11" s="83" t="s">
        <v>19</v>
      </c>
      <c r="K11" s="84"/>
      <c r="L11" s="87">
        <f>SQRT(((((B2^3)*J4/(4*B3*(B4^3)))^2)+(((B2^2)*3*J3*D2/(4*B3*(B4^3)))^2)+(((B2^3)*J3*D3/(4*(B3^2)*(B4^3)))^2)+((J3*(B2^3)*3*D4/(4*B3*(B4^4)))^2)))</f>
        <v>30141270303.064312</v>
      </c>
    </row>
    <row r="12" spans="1:14" x14ac:dyDescent="0.25">
      <c r="I12" s="34"/>
      <c r="J12" s="85"/>
      <c r="K12" s="86"/>
      <c r="L12" s="87"/>
    </row>
    <row r="13" spans="1:14" x14ac:dyDescent="0.25">
      <c r="I13" s="33"/>
    </row>
    <row r="14" spans="1:14" x14ac:dyDescent="0.25">
      <c r="I14" s="33"/>
      <c r="J14" s="77" t="s">
        <v>23</v>
      </c>
      <c r="K14" s="77"/>
      <c r="L14" s="77"/>
      <c r="M14" s="77"/>
      <c r="N14" s="77"/>
    </row>
    <row r="15" spans="1:14" x14ac:dyDescent="0.25">
      <c r="I15" s="33"/>
      <c r="J15" s="88" t="s">
        <v>9</v>
      </c>
      <c r="K15" s="88"/>
    </row>
    <row r="16" spans="1:14" x14ac:dyDescent="0.25">
      <c r="I16" s="33"/>
      <c r="J16" s="4" cm="1">
        <f t="array" ref="J16:K20">LINEST(G7:G9,F7:F9,FALSE,TRUE)</f>
        <v>4815.217077079993</v>
      </c>
      <c r="K16" s="4">
        <v>0</v>
      </c>
    </row>
    <row r="17" spans="9:14" x14ac:dyDescent="0.25">
      <c r="I17" s="33"/>
      <c r="J17" s="4">
        <v>119.6517405995542</v>
      </c>
      <c r="K17" s="4" t="e">
        <v>#N/A</v>
      </c>
    </row>
    <row r="18" spans="9:14" x14ac:dyDescent="0.25">
      <c r="I18" s="33"/>
      <c r="J18" s="4">
        <v>0.99876661031742253</v>
      </c>
      <c r="K18" s="4">
        <v>0.17168669781257032</v>
      </c>
    </row>
    <row r="19" spans="9:14" x14ac:dyDescent="0.25">
      <c r="I19" s="33"/>
      <c r="J19" s="4">
        <v>1619.5475354232499</v>
      </c>
      <c r="K19" s="4">
        <v>2</v>
      </c>
    </row>
    <row r="20" spans="9:14" x14ac:dyDescent="0.25">
      <c r="I20" s="33"/>
      <c r="J20" s="4">
        <v>47.738304981720439</v>
      </c>
      <c r="K20" s="4">
        <v>5.8952644411569666E-2</v>
      </c>
    </row>
    <row r="21" spans="9:14" x14ac:dyDescent="0.25">
      <c r="I21" s="33"/>
      <c r="J21" s="79" t="s">
        <v>10</v>
      </c>
      <c r="K21" s="79"/>
      <c r="L21" s="79" t="s">
        <v>11</v>
      </c>
      <c r="M21" s="79"/>
      <c r="N21" s="79" t="s">
        <v>12</v>
      </c>
    </row>
    <row r="22" spans="9:14" x14ac:dyDescent="0.25">
      <c r="I22" s="33"/>
      <c r="J22" s="79"/>
      <c r="K22" s="79"/>
      <c r="L22" s="79"/>
      <c r="M22" s="79"/>
      <c r="N22" s="79"/>
    </row>
    <row r="23" spans="9:14" x14ac:dyDescent="0.25">
      <c r="I23" s="33"/>
      <c r="J23" s="81">
        <f>J16*(B2^3)/(4*B3*(B4^3))</f>
        <v>97953999243.932831</v>
      </c>
      <c r="K23" s="81"/>
      <c r="L23" s="82">
        <f>123*10^9</f>
        <v>123000000000</v>
      </c>
      <c r="M23" s="82"/>
      <c r="N23" s="36">
        <f>ABS(J23-L23)/L23</f>
        <v>0.20362602240705016</v>
      </c>
    </row>
    <row r="24" spans="9:14" x14ac:dyDescent="0.25">
      <c r="I24" s="33"/>
      <c r="J24" s="83" t="s">
        <v>19</v>
      </c>
      <c r="K24" s="84"/>
      <c r="L24" s="87">
        <f>SQRT(((((B2^3)*J17/(4*B3*(B4^3)))^2)+(((B2^2)*3*J16*D2/(4*B3*(B4^3)))^2)+(((B2^3)*J16*D3/(4*(B3^2)*(B4^3)))^2)+((J16*(B2^3)*3*D4/(4*B3*(B4^4)))^2)))</f>
        <v>29527854756.760742</v>
      </c>
    </row>
    <row r="25" spans="9:14" x14ac:dyDescent="0.25">
      <c r="I25" s="33"/>
      <c r="J25" s="85"/>
      <c r="K25" s="86"/>
      <c r="L25" s="87"/>
    </row>
    <row r="26" spans="9:14" x14ac:dyDescent="0.25">
      <c r="I26" s="33"/>
    </row>
  </sheetData>
  <mergeCells count="19">
    <mergeCell ref="J1:N1"/>
    <mergeCell ref="J2:K2"/>
    <mergeCell ref="A8:B8"/>
    <mergeCell ref="J8:K9"/>
    <mergeCell ref="L8:M9"/>
    <mergeCell ref="N8:N9"/>
    <mergeCell ref="J24:K25"/>
    <mergeCell ref="L24:L25"/>
    <mergeCell ref="J10:K10"/>
    <mergeCell ref="L10:M10"/>
    <mergeCell ref="J11:K12"/>
    <mergeCell ref="L11:L12"/>
    <mergeCell ref="J14:N14"/>
    <mergeCell ref="J15:K15"/>
    <mergeCell ref="J21:K22"/>
    <mergeCell ref="L21:M22"/>
    <mergeCell ref="N21:N22"/>
    <mergeCell ref="J23:K23"/>
    <mergeCell ref="L23:M2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BAC8-C191-4625-96BA-5035448D6CFB}">
  <dimension ref="A1:N25"/>
  <sheetViews>
    <sheetView workbookViewId="0">
      <selection activeCell="H13" sqref="H13"/>
    </sheetView>
  </sheetViews>
  <sheetFormatPr defaultRowHeight="15" x14ac:dyDescent="0.25"/>
  <sheetData>
    <row r="1" spans="1:14" x14ac:dyDescent="0.25">
      <c r="A1" s="1"/>
      <c r="B1" s="11" t="s">
        <v>0</v>
      </c>
      <c r="C1" s="1"/>
      <c r="D1" s="11" t="s">
        <v>1</v>
      </c>
      <c r="F1" s="11" t="s">
        <v>8</v>
      </c>
      <c r="G1" s="11" t="s">
        <v>7</v>
      </c>
      <c r="H1" s="11" t="s">
        <v>16</v>
      </c>
      <c r="I1" s="33"/>
      <c r="J1" s="89" t="s">
        <v>17</v>
      </c>
      <c r="K1" s="89"/>
      <c r="L1" s="89"/>
      <c r="M1" s="89"/>
      <c r="N1" s="89"/>
    </row>
    <row r="2" spans="1:14" x14ac:dyDescent="0.25">
      <c r="A2" s="11" t="s">
        <v>2</v>
      </c>
      <c r="B2" s="10">
        <v>0.104</v>
      </c>
      <c r="C2" s="8" t="s">
        <v>5</v>
      </c>
      <c r="D2" s="10">
        <v>5.0000000000000001E-3</v>
      </c>
      <c r="F2" s="10">
        <v>0</v>
      </c>
      <c r="G2" s="10">
        <f t="shared" ref="G2:G10" si="0">H2*$B$9</f>
        <v>0</v>
      </c>
      <c r="H2" s="10">
        <v>0</v>
      </c>
      <c r="I2" s="34"/>
      <c r="J2" s="99" t="s">
        <v>9</v>
      </c>
      <c r="K2" s="99"/>
    </row>
    <row r="3" spans="1:14" x14ac:dyDescent="0.25">
      <c r="A3" s="11" t="s">
        <v>3</v>
      </c>
      <c r="B3" s="10">
        <v>2.5000000000000001E-2</v>
      </c>
      <c r="C3" s="11" t="s">
        <v>5</v>
      </c>
      <c r="D3" s="10">
        <v>5.0000000000000001E-3</v>
      </c>
      <c r="F3" s="10">
        <v>1.2999999999999999E-4</v>
      </c>
      <c r="G3" s="10">
        <f t="shared" si="0"/>
        <v>0.97833400000000004</v>
      </c>
      <c r="H3" s="10">
        <v>9.9830000000000002E-2</v>
      </c>
      <c r="I3" s="34"/>
      <c r="J3" s="9" cm="1">
        <f t="array" ref="J3:K7">LINEST(G3:G6,F3:F6,FALSE,TRUE)</f>
        <v>7977.6119582245437</v>
      </c>
      <c r="K3" s="9">
        <v>0</v>
      </c>
    </row>
    <row r="4" spans="1:14" x14ac:dyDescent="0.25">
      <c r="A4" s="11" t="s">
        <v>4</v>
      </c>
      <c r="B4" s="10">
        <v>1.1000000000000001E-3</v>
      </c>
      <c r="C4" s="11" t="s">
        <v>5</v>
      </c>
      <c r="D4" s="10">
        <v>5.0000000000000002E-5</v>
      </c>
      <c r="F4" s="10">
        <v>3.6999999999999999E-4</v>
      </c>
      <c r="G4" s="10">
        <f t="shared" si="0"/>
        <v>2.9314740000000001</v>
      </c>
      <c r="H4" s="10">
        <f>I4+0.0995</f>
        <v>0.29913000000000001</v>
      </c>
      <c r="I4" s="76">
        <f>H3+0.0998</f>
        <v>0.19963</v>
      </c>
      <c r="J4" s="9">
        <v>43.752129310175889</v>
      </c>
      <c r="K4" s="9" t="e">
        <v>#N/A</v>
      </c>
    </row>
    <row r="5" spans="1:14" x14ac:dyDescent="0.25">
      <c r="A5" s="11" t="s">
        <v>6</v>
      </c>
      <c r="B5" s="10">
        <f>B2/2</f>
        <v>5.1999999999999998E-2</v>
      </c>
      <c r="C5" s="11" t="s">
        <v>5</v>
      </c>
      <c r="D5" s="10">
        <v>5.0000000000000001E-3</v>
      </c>
      <c r="F5" s="10">
        <v>4.8999999999999998E-4</v>
      </c>
      <c r="G5" s="10">
        <f t="shared" si="0"/>
        <v>3.9111800000000003</v>
      </c>
      <c r="H5" s="10">
        <f>H4+0.09997</f>
        <v>0.39910000000000001</v>
      </c>
      <c r="I5" s="34"/>
      <c r="J5" s="9">
        <v>0.99990977339001541</v>
      </c>
      <c r="K5" s="9">
        <v>3.8292487454950661E-2</v>
      </c>
    </row>
    <row r="6" spans="1:14" x14ac:dyDescent="0.25">
      <c r="F6" s="10">
        <v>6.0999999999999997E-4</v>
      </c>
      <c r="G6" s="10">
        <f t="shared" si="0"/>
        <v>4.8894160000000007</v>
      </c>
      <c r="H6" s="10">
        <f>H5+0.09982</f>
        <v>0.49892000000000003</v>
      </c>
      <c r="I6" s="34"/>
      <c r="J6" s="9">
        <v>33246.614504094214</v>
      </c>
      <c r="K6" s="9">
        <v>3</v>
      </c>
    </row>
    <row r="7" spans="1:14" x14ac:dyDescent="0.25">
      <c r="F7" s="10">
        <v>5.0000000000000001E-4</v>
      </c>
      <c r="G7" s="10">
        <f t="shared" si="0"/>
        <v>3.9111800000000003</v>
      </c>
      <c r="H7" s="10">
        <v>0.39910000000000001</v>
      </c>
      <c r="I7" s="34"/>
      <c r="J7" s="9">
        <v>48.749996097901544</v>
      </c>
      <c r="K7" s="9">
        <v>4.3989437864626613E-3</v>
      </c>
    </row>
    <row r="8" spans="1:14" x14ac:dyDescent="0.25">
      <c r="A8" s="89" t="s">
        <v>13</v>
      </c>
      <c r="B8" s="89"/>
      <c r="F8" s="10">
        <v>3.8000000000000002E-4</v>
      </c>
      <c r="G8" s="10">
        <f t="shared" si="0"/>
        <v>2.9314740000000001</v>
      </c>
      <c r="H8" s="10">
        <v>0.29913000000000001</v>
      </c>
      <c r="I8" s="34"/>
      <c r="J8" s="91" t="s">
        <v>10</v>
      </c>
      <c r="K8" s="91"/>
      <c r="L8" s="91" t="s">
        <v>11</v>
      </c>
      <c r="M8" s="91"/>
      <c r="N8" s="91" t="s">
        <v>12</v>
      </c>
    </row>
    <row r="9" spans="1:14" x14ac:dyDescent="0.25">
      <c r="A9" s="41" t="s">
        <v>14</v>
      </c>
      <c r="B9" s="9">
        <v>9.8000000000000007</v>
      </c>
      <c r="F9" s="10">
        <v>2.5999999999999998E-4</v>
      </c>
      <c r="G9" s="10">
        <f t="shared" si="0"/>
        <v>1.9563740000000001</v>
      </c>
      <c r="H9" s="10">
        <v>0.19963</v>
      </c>
      <c r="I9" s="34"/>
      <c r="J9" s="91"/>
      <c r="K9" s="91"/>
      <c r="L9" s="91"/>
      <c r="M9" s="91"/>
      <c r="N9" s="91"/>
    </row>
    <row r="10" spans="1:14" x14ac:dyDescent="0.25">
      <c r="F10" s="10">
        <v>0</v>
      </c>
      <c r="G10" s="10">
        <f t="shared" si="0"/>
        <v>0</v>
      </c>
      <c r="H10" s="10">
        <v>0</v>
      </c>
      <c r="I10" s="34"/>
      <c r="J10" s="93">
        <f>J3*(B2^3)/(4*B3*(B4^3))</f>
        <v>67420950396.51609</v>
      </c>
      <c r="K10" s="93"/>
      <c r="L10" s="93">
        <f>98*10^9</f>
        <v>98000000000</v>
      </c>
      <c r="M10" s="93"/>
      <c r="N10" s="42">
        <f>ABS(J10-L10)/L10</f>
        <v>0.31203111840289705</v>
      </c>
    </row>
    <row r="11" spans="1:14" x14ac:dyDescent="0.25">
      <c r="I11" s="34"/>
      <c r="J11" s="94" t="s">
        <v>19</v>
      </c>
      <c r="K11" s="95"/>
      <c r="L11" s="98">
        <f>SQRT(((((B2^3)*J4/(4*B3*(B4^3)))^2)+(((B2^2)*3*J3*D2/(4*B3*(B4^3)))^2)+(((B2^3)*J3*D3/(4*(B3^2)*(B4^3)))^2)+((J3*(B2^3)*3*D4/(4*B3*(B4^4)))^2)))</f>
        <v>19001184905.266567</v>
      </c>
    </row>
    <row r="12" spans="1:14" x14ac:dyDescent="0.25">
      <c r="I12" s="34"/>
      <c r="J12" s="96"/>
      <c r="K12" s="97"/>
      <c r="L12" s="98"/>
    </row>
    <row r="13" spans="1:14" x14ac:dyDescent="0.25">
      <c r="I13" s="33"/>
    </row>
    <row r="14" spans="1:14" x14ac:dyDescent="0.25">
      <c r="I14" s="33"/>
      <c r="J14" s="89" t="s">
        <v>23</v>
      </c>
      <c r="K14" s="89"/>
      <c r="L14" s="89"/>
      <c r="M14" s="89"/>
      <c r="N14" s="89"/>
    </row>
    <row r="15" spans="1:14" x14ac:dyDescent="0.25">
      <c r="I15" s="33"/>
      <c r="J15" s="99" t="s">
        <v>9</v>
      </c>
      <c r="K15" s="99"/>
    </row>
    <row r="16" spans="1:14" x14ac:dyDescent="0.25">
      <c r="I16" s="33"/>
      <c r="J16" s="9" cm="1">
        <f t="array" ref="J16:K20">LINEST(G6:G9,F6:F9,FALSE,TRUE)</f>
        <v>7865.6649322623189</v>
      </c>
      <c r="K16" s="9">
        <v>0</v>
      </c>
    </row>
    <row r="17" spans="9:14" x14ac:dyDescent="0.25">
      <c r="I17" s="33"/>
      <c r="J17" s="9">
        <v>89.37218612447063</v>
      </c>
      <c r="K17" s="9" t="e">
        <v>#N/A</v>
      </c>
    </row>
    <row r="18" spans="9:14" x14ac:dyDescent="0.25">
      <c r="I18" s="33"/>
      <c r="J18" s="9">
        <v>0.99961284313850673</v>
      </c>
      <c r="K18" s="9">
        <v>8.1622791186589327E-2</v>
      </c>
    </row>
    <row r="19" spans="9:14" x14ac:dyDescent="0.25">
      <c r="I19" s="33"/>
      <c r="J19" s="9">
        <v>7745.7971888922875</v>
      </c>
      <c r="K19" s="9">
        <v>3</v>
      </c>
    </row>
    <row r="20" spans="9:14" x14ac:dyDescent="0.25">
      <c r="I20" s="33"/>
      <c r="J20" s="9">
        <v>51.604670013884743</v>
      </c>
      <c r="K20" s="9">
        <v>1.9986840123268693E-2</v>
      </c>
    </row>
    <row r="21" spans="9:14" x14ac:dyDescent="0.25">
      <c r="I21" s="33"/>
      <c r="J21" s="91" t="s">
        <v>10</v>
      </c>
      <c r="K21" s="91"/>
      <c r="L21" s="91" t="s">
        <v>11</v>
      </c>
      <c r="M21" s="91"/>
      <c r="N21" s="91" t="s">
        <v>12</v>
      </c>
    </row>
    <row r="22" spans="9:14" x14ac:dyDescent="0.25">
      <c r="I22" s="33"/>
      <c r="J22" s="91"/>
      <c r="K22" s="91"/>
      <c r="L22" s="91"/>
      <c r="M22" s="91"/>
      <c r="N22" s="91"/>
    </row>
    <row r="23" spans="9:14" x14ac:dyDescent="0.25">
      <c r="I23" s="33"/>
      <c r="J23" s="93">
        <f>J16*(B2^3)/(4*B3*(B4^3))</f>
        <v>66474855885.532082</v>
      </c>
      <c r="K23" s="93"/>
      <c r="L23" s="93">
        <f>98*10^9</f>
        <v>98000000000</v>
      </c>
      <c r="M23" s="93"/>
      <c r="N23" s="42">
        <f>ABS(J23-L23)/L23</f>
        <v>0.32168514402518283</v>
      </c>
    </row>
    <row r="24" spans="9:14" x14ac:dyDescent="0.25">
      <c r="I24" s="33"/>
      <c r="J24" s="94" t="s">
        <v>19</v>
      </c>
      <c r="K24" s="95"/>
      <c r="L24" s="98">
        <f>SQRT(((((B2^3)*J17/(4*B3*(B4^3)))^2)+(((B2^2)*3*J16*D2/(4*B3*(B4^3)))^2)+(((B2^3)*J16*D3/(4*(B3^2)*(B4^3)))^2)+((J16*(B2^3)*3*D4/(4*B3*(B4^4)))^2)))</f>
        <v>18746222682.941219</v>
      </c>
    </row>
    <row r="25" spans="9:14" x14ac:dyDescent="0.25">
      <c r="I25" s="33"/>
      <c r="J25" s="96"/>
      <c r="K25" s="97"/>
      <c r="L25" s="98"/>
    </row>
  </sheetData>
  <mergeCells count="19">
    <mergeCell ref="J1:N1"/>
    <mergeCell ref="J2:K2"/>
    <mergeCell ref="A8:B8"/>
    <mergeCell ref="J8:K9"/>
    <mergeCell ref="L8:M9"/>
    <mergeCell ref="N8:N9"/>
    <mergeCell ref="J24:K25"/>
    <mergeCell ref="L24:L25"/>
    <mergeCell ref="J10:K10"/>
    <mergeCell ref="L10:M10"/>
    <mergeCell ref="J11:K12"/>
    <mergeCell ref="L11:L12"/>
    <mergeCell ref="J14:N14"/>
    <mergeCell ref="J15:K15"/>
    <mergeCell ref="J21:K22"/>
    <mergeCell ref="L21:M22"/>
    <mergeCell ref="N21:N22"/>
    <mergeCell ref="J23:K23"/>
    <mergeCell ref="L23:M2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3207-9222-432E-817E-1FFB1DEA693E}">
  <dimension ref="A1:N25"/>
  <sheetViews>
    <sheetView workbookViewId="0">
      <selection activeCell="A17" sqref="A17"/>
    </sheetView>
  </sheetViews>
  <sheetFormatPr defaultRowHeight="15" x14ac:dyDescent="0.25"/>
  <sheetData>
    <row r="1" spans="1:14" x14ac:dyDescent="0.25">
      <c r="A1" s="1"/>
      <c r="B1" s="15" t="s">
        <v>0</v>
      </c>
      <c r="C1" s="1"/>
      <c r="D1" s="15" t="s">
        <v>1</v>
      </c>
      <c r="F1" s="15" t="s">
        <v>8</v>
      </c>
      <c r="G1" s="15" t="s">
        <v>7</v>
      </c>
      <c r="H1" s="15" t="s">
        <v>16</v>
      </c>
      <c r="I1" s="33"/>
      <c r="J1" s="106" t="s">
        <v>17</v>
      </c>
      <c r="K1" s="106"/>
      <c r="L1" s="106"/>
      <c r="M1" s="106"/>
      <c r="N1" s="106"/>
    </row>
    <row r="2" spans="1:14" x14ac:dyDescent="0.25">
      <c r="A2" s="15" t="s">
        <v>2</v>
      </c>
      <c r="B2" s="18">
        <v>0.104</v>
      </c>
      <c r="C2" s="14" t="s">
        <v>5</v>
      </c>
      <c r="D2" s="18">
        <v>5.0000000000000001E-3</v>
      </c>
      <c r="F2" s="18">
        <v>0</v>
      </c>
      <c r="G2" s="18">
        <f>H2*$B$9</f>
        <v>0</v>
      </c>
      <c r="H2" s="18">
        <v>0</v>
      </c>
      <c r="I2" s="34"/>
      <c r="J2" s="107" t="s">
        <v>9</v>
      </c>
      <c r="K2" s="107"/>
      <c r="L2" s="49"/>
      <c r="M2" s="49"/>
      <c r="N2" s="49"/>
    </row>
    <row r="3" spans="1:14" x14ac:dyDescent="0.25">
      <c r="A3" s="15" t="s">
        <v>3</v>
      </c>
      <c r="B3" s="18">
        <v>2.5999999999999999E-2</v>
      </c>
      <c r="C3" s="15" t="s">
        <v>5</v>
      </c>
      <c r="D3" s="18">
        <v>5.0000000000000001E-3</v>
      </c>
      <c r="F3" s="18">
        <v>6.4999999999999994E-5</v>
      </c>
      <c r="G3" s="18">
        <f t="shared" ref="G3:G11" si="0">H3*$B$9</f>
        <v>0.97833400000000004</v>
      </c>
      <c r="H3" s="18">
        <v>9.9830000000000002E-2</v>
      </c>
      <c r="I3" s="34"/>
      <c r="J3" s="17" cm="1">
        <f t="array" ref="J3:K7">LINEST(G3:G8,F3:F8,FALSE,TRUE)</f>
        <v>14914.50484592763</v>
      </c>
      <c r="K3" s="17">
        <v>0</v>
      </c>
    </row>
    <row r="4" spans="1:14" x14ac:dyDescent="0.25">
      <c r="A4" s="15" t="s">
        <v>4</v>
      </c>
      <c r="B4" s="18">
        <v>9.5E-4</v>
      </c>
      <c r="C4" s="15" t="s">
        <v>5</v>
      </c>
      <c r="D4" s="18">
        <v>5.0000000000000002E-5</v>
      </c>
      <c r="F4" s="18">
        <v>1.35E-4</v>
      </c>
      <c r="G4" s="18">
        <f t="shared" si="0"/>
        <v>1.9563740000000001</v>
      </c>
      <c r="H4" s="18">
        <f>H3+0.0998</f>
        <v>0.19963</v>
      </c>
      <c r="I4" s="34"/>
      <c r="J4" s="17">
        <v>73.77155900445338</v>
      </c>
      <c r="K4" s="17" t="e">
        <v>#N/A</v>
      </c>
    </row>
    <row r="5" spans="1:14" x14ac:dyDescent="0.25">
      <c r="A5" s="15" t="s">
        <v>6</v>
      </c>
      <c r="B5" s="18">
        <f>B2/2</f>
        <v>5.1999999999999998E-2</v>
      </c>
      <c r="C5" s="15" t="s">
        <v>5</v>
      </c>
      <c r="D5" s="18">
        <v>5.0000000000000001E-3</v>
      </c>
      <c r="F5" s="18">
        <v>2.0000000000000001E-4</v>
      </c>
      <c r="G5" s="18">
        <f t="shared" si="0"/>
        <v>2.9314740000000001</v>
      </c>
      <c r="H5" s="18">
        <f>H4+0.0995</f>
        <v>0.29913000000000001</v>
      </c>
      <c r="I5" s="34"/>
      <c r="J5" s="17">
        <v>0.9998776857309255</v>
      </c>
      <c r="K5" s="17">
        <v>4.6132299889159963E-2</v>
      </c>
    </row>
    <row r="6" spans="1:14" x14ac:dyDescent="0.25">
      <c r="F6" s="18">
        <v>2.5999999999999998E-4</v>
      </c>
      <c r="G6" s="18">
        <f t="shared" si="0"/>
        <v>3.9096120000000005</v>
      </c>
      <c r="H6" s="18">
        <f>H5+0.09981</f>
        <v>0.39894000000000002</v>
      </c>
      <c r="I6" s="34"/>
      <c r="J6" s="17">
        <v>40873.305023857574</v>
      </c>
      <c r="K6" s="17">
        <v>5</v>
      </c>
    </row>
    <row r="7" spans="1:14" x14ac:dyDescent="0.25">
      <c r="F7" s="18">
        <v>3.3E-4</v>
      </c>
      <c r="G7" s="18">
        <f t="shared" si="0"/>
        <v>4.8893180000000003</v>
      </c>
      <c r="H7" s="18">
        <f>H6+0.09997</f>
        <v>0.49891000000000002</v>
      </c>
      <c r="I7" s="34"/>
      <c r="J7" s="17">
        <v>86.9861219492267</v>
      </c>
      <c r="K7" s="17">
        <v>1.0640945465316942E-2</v>
      </c>
    </row>
    <row r="8" spans="1:14" x14ac:dyDescent="0.25">
      <c r="A8" s="106" t="s">
        <v>13</v>
      </c>
      <c r="B8" s="106"/>
      <c r="F8" s="18">
        <v>3.8999999999999999E-4</v>
      </c>
      <c r="G8" s="18">
        <f t="shared" si="0"/>
        <v>5.8675540000000002</v>
      </c>
      <c r="H8" s="18">
        <f>H7+ 0.09982</f>
        <v>0.59872999999999998</v>
      </c>
      <c r="I8" s="34"/>
      <c r="J8" s="108" t="s">
        <v>10</v>
      </c>
      <c r="K8" s="108"/>
      <c r="L8" s="108" t="s">
        <v>11</v>
      </c>
      <c r="M8" s="108"/>
      <c r="N8" s="108" t="s">
        <v>12</v>
      </c>
    </row>
    <row r="9" spans="1:14" x14ac:dyDescent="0.25">
      <c r="A9" s="48" t="s">
        <v>14</v>
      </c>
      <c r="B9" s="17">
        <v>9.8000000000000007</v>
      </c>
      <c r="F9" s="18">
        <v>3.3E-4</v>
      </c>
      <c r="G9" s="18">
        <f t="shared" si="0"/>
        <v>4.8893180000000003</v>
      </c>
      <c r="H9" s="18">
        <v>0.49891000000000002</v>
      </c>
      <c r="I9" s="34"/>
      <c r="J9" s="108"/>
      <c r="K9" s="108"/>
      <c r="L9" s="108"/>
      <c r="M9" s="108"/>
      <c r="N9" s="108"/>
    </row>
    <row r="10" spans="1:14" x14ac:dyDescent="0.25">
      <c r="F10" s="18">
        <v>2.7E-4</v>
      </c>
      <c r="G10" s="18">
        <f t="shared" si="0"/>
        <v>3.9096120000000005</v>
      </c>
      <c r="H10" s="18">
        <v>0.39894000000000002</v>
      </c>
      <c r="I10" s="34"/>
      <c r="J10" s="100">
        <f>J3*(B2^3)/(4*B3*(B4^3))</f>
        <v>188150207801.19925</v>
      </c>
      <c r="K10" s="100"/>
      <c r="L10" s="100">
        <f>190*10^9</f>
        <v>190000000000</v>
      </c>
      <c r="M10" s="100"/>
      <c r="N10" s="52">
        <f>ABS(J10-L10)/L10</f>
        <v>9.7357484147407927E-3</v>
      </c>
    </row>
    <row r="11" spans="1:14" x14ac:dyDescent="0.25">
      <c r="F11" s="18">
        <v>2.1000000000000001E-4</v>
      </c>
      <c r="G11" s="18">
        <f t="shared" si="0"/>
        <v>2.9314740000000001</v>
      </c>
      <c r="H11" s="18">
        <v>0.29913000000000001</v>
      </c>
      <c r="I11" s="34"/>
      <c r="J11" s="101" t="s">
        <v>19</v>
      </c>
      <c r="K11" s="102"/>
      <c r="L11" s="105">
        <f>SQRT(((((B2^3)*J4/(4*B3*(B4^3)))^2)+(((B2^2)*3*J3*D2/(4*B3*(B4^3)))^2)+(((B2^3)*J3*D3/(4*(B3^2)*(B4^3)))^2)+((J3*(B2^3)*3*D4/(4*B3*(B4^4)))^2)))</f>
        <v>54120574796.113541</v>
      </c>
    </row>
    <row r="12" spans="1:14" x14ac:dyDescent="0.25">
      <c r="F12" s="18">
        <v>0</v>
      </c>
      <c r="G12" s="18">
        <v>0</v>
      </c>
      <c r="H12" s="18">
        <v>0</v>
      </c>
      <c r="I12" s="34"/>
      <c r="J12" s="103"/>
      <c r="K12" s="104"/>
      <c r="L12" s="105"/>
    </row>
    <row r="13" spans="1:14" x14ac:dyDescent="0.25">
      <c r="A13" s="108" t="s">
        <v>11</v>
      </c>
      <c r="B13" s="108"/>
      <c r="I13" s="33"/>
    </row>
    <row r="14" spans="1:14" x14ac:dyDescent="0.25">
      <c r="A14" s="108"/>
      <c r="B14" s="108"/>
      <c r="I14" s="33"/>
      <c r="J14" s="106" t="s">
        <v>23</v>
      </c>
      <c r="K14" s="106"/>
      <c r="L14" s="106"/>
      <c r="M14" s="106"/>
      <c r="N14" s="106"/>
    </row>
    <row r="15" spans="1:14" x14ac:dyDescent="0.25">
      <c r="A15" s="100">
        <f>190*10^9</f>
        <v>190000000000</v>
      </c>
      <c r="B15" s="100"/>
      <c r="I15" s="33"/>
      <c r="J15" s="107" t="s">
        <v>9</v>
      </c>
      <c r="K15" s="107"/>
      <c r="L15" s="49"/>
      <c r="M15" s="49"/>
      <c r="N15" s="49"/>
    </row>
    <row r="16" spans="1:14" x14ac:dyDescent="0.25">
      <c r="A16" s="100">
        <f>220*10^9</f>
        <v>220000000000</v>
      </c>
      <c r="B16" s="100"/>
      <c r="I16" s="33"/>
      <c r="J16" s="17" cm="1">
        <f t="array" ref="J16:K20">LINEST(G8:G11,F8:F11,FALSE,TRUE)</f>
        <v>14743.454444444445</v>
      </c>
      <c r="K16" s="17">
        <v>0</v>
      </c>
    </row>
    <row r="17" spans="9:14" x14ac:dyDescent="0.25">
      <c r="I17" s="33"/>
      <c r="J17" s="17">
        <v>202.65988335281367</v>
      </c>
      <c r="K17" s="17" t="e">
        <v>#N/A</v>
      </c>
    </row>
    <row r="18" spans="9:14" x14ac:dyDescent="0.25">
      <c r="I18" s="33"/>
      <c r="J18" s="17">
        <v>0.99943348394467268</v>
      </c>
      <c r="K18" s="17">
        <v>0.12459875081708381</v>
      </c>
    </row>
    <row r="19" spans="9:14" x14ac:dyDescent="0.25">
      <c r="I19" s="33"/>
      <c r="J19" s="17">
        <v>5292.5251167015322</v>
      </c>
      <c r="K19" s="17">
        <v>3</v>
      </c>
    </row>
    <row r="20" spans="9:14" x14ac:dyDescent="0.25">
      <c r="I20" s="33"/>
      <c r="J20" s="17">
        <v>82.165651705144469</v>
      </c>
      <c r="K20" s="17">
        <v>4.657454611553323E-2</v>
      </c>
    </row>
    <row r="21" spans="9:14" x14ac:dyDescent="0.25">
      <c r="I21" s="33"/>
      <c r="J21" s="108" t="s">
        <v>10</v>
      </c>
      <c r="K21" s="108"/>
      <c r="L21" s="108" t="s">
        <v>11</v>
      </c>
      <c r="M21" s="108"/>
      <c r="N21" s="108" t="s">
        <v>12</v>
      </c>
    </row>
    <row r="22" spans="9:14" x14ac:dyDescent="0.25">
      <c r="I22" s="33"/>
      <c r="J22" s="108"/>
      <c r="K22" s="108"/>
      <c r="L22" s="108"/>
      <c r="M22" s="108"/>
      <c r="N22" s="108"/>
    </row>
    <row r="23" spans="9:14" x14ac:dyDescent="0.25">
      <c r="I23" s="33"/>
      <c r="J23" s="100">
        <f>J16*(B2^3)/(4*B3*(B4^3))</f>
        <v>185992364217.65402</v>
      </c>
      <c r="K23" s="100"/>
      <c r="L23" s="100">
        <f>190*10^9</f>
        <v>190000000000</v>
      </c>
      <c r="M23" s="100"/>
      <c r="N23" s="52">
        <f>ABS(J23-L23)/L23</f>
        <v>2.1092819907084094E-2</v>
      </c>
    </row>
    <row r="24" spans="9:14" x14ac:dyDescent="0.25">
      <c r="I24" s="33"/>
      <c r="J24" s="101" t="s">
        <v>19</v>
      </c>
      <c r="K24" s="102"/>
      <c r="L24" s="105">
        <f>SQRT(((((B2^3)*J17/(4*B3*(B4^3)))^2)+(((B2^2)*3*J16*D2/(4*B3*(B4^3)))^2)+(((B2^3)*J16*D3/(4*(B3^2)*(B4^3)))^2)+((J16*(B2^3)*3*D4/(4*B3*(B4^4)))^2)))</f>
        <v>53553030790.651764</v>
      </c>
    </row>
    <row r="25" spans="9:14" x14ac:dyDescent="0.25">
      <c r="I25" s="33"/>
      <c r="J25" s="103"/>
      <c r="K25" s="104"/>
      <c r="L25" s="105"/>
    </row>
  </sheetData>
  <mergeCells count="22">
    <mergeCell ref="J1:N1"/>
    <mergeCell ref="J2:K2"/>
    <mergeCell ref="A8:B8"/>
    <mergeCell ref="J8:K9"/>
    <mergeCell ref="L8:M9"/>
    <mergeCell ref="N8:N9"/>
    <mergeCell ref="J10:K10"/>
    <mergeCell ref="L10:M10"/>
    <mergeCell ref="J11:K12"/>
    <mergeCell ref="L11:L12"/>
    <mergeCell ref="J14:N14"/>
    <mergeCell ref="N21:N22"/>
    <mergeCell ref="J23:K23"/>
    <mergeCell ref="L23:M23"/>
    <mergeCell ref="J24:K25"/>
    <mergeCell ref="L24:L25"/>
    <mergeCell ref="A13:B14"/>
    <mergeCell ref="A15:B15"/>
    <mergeCell ref="A16:B16"/>
    <mergeCell ref="J21:K22"/>
    <mergeCell ref="L21:M22"/>
    <mergeCell ref="J15:K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5EB4-BCFF-47FD-9F83-2F0E045E3C37}">
  <dimension ref="A1:N25"/>
  <sheetViews>
    <sheetView workbookViewId="0">
      <selection activeCell="H24" sqref="H24"/>
    </sheetView>
  </sheetViews>
  <sheetFormatPr defaultRowHeight="15" x14ac:dyDescent="0.25"/>
  <sheetData>
    <row r="1" spans="1:14" x14ac:dyDescent="0.25">
      <c r="A1" s="1"/>
      <c r="B1" s="24" t="s">
        <v>0</v>
      </c>
      <c r="C1" s="1"/>
      <c r="D1" s="24" t="s">
        <v>1</v>
      </c>
      <c r="F1" s="24" t="s">
        <v>8</v>
      </c>
      <c r="G1" s="24" t="s">
        <v>7</v>
      </c>
      <c r="H1" s="55" t="s">
        <v>15</v>
      </c>
      <c r="I1" s="33"/>
      <c r="J1" s="118" t="s">
        <v>17</v>
      </c>
      <c r="K1" s="118"/>
      <c r="L1" s="118"/>
      <c r="M1" s="118"/>
      <c r="N1" s="118"/>
    </row>
    <row r="2" spans="1:14" x14ac:dyDescent="0.25">
      <c r="A2" s="24" t="s">
        <v>2</v>
      </c>
      <c r="B2" s="21">
        <v>0.104</v>
      </c>
      <c r="C2" s="23" t="s">
        <v>5</v>
      </c>
      <c r="D2" s="21">
        <v>5.0000000000000001E-3</v>
      </c>
      <c r="F2" s="20">
        <v>0</v>
      </c>
      <c r="G2" s="20">
        <f>H2*$B$9</f>
        <v>0</v>
      </c>
      <c r="H2" s="20">
        <v>0</v>
      </c>
      <c r="I2" s="34"/>
      <c r="J2" s="119" t="s">
        <v>9</v>
      </c>
      <c r="K2" s="119"/>
      <c r="L2" s="61"/>
      <c r="M2" s="61"/>
      <c r="N2" s="61"/>
    </row>
    <row r="3" spans="1:14" x14ac:dyDescent="0.25">
      <c r="A3" s="24" t="s">
        <v>3</v>
      </c>
      <c r="B3" s="21">
        <v>2.5000000000000001E-2</v>
      </c>
      <c r="C3" s="24" t="s">
        <v>5</v>
      </c>
      <c r="D3" s="21">
        <v>5.0000000000000001E-3</v>
      </c>
      <c r="F3" s="20">
        <v>1.8000000000000001E-4</v>
      </c>
      <c r="G3" s="20">
        <f t="shared" ref="G3:G11" si="0">H3*$B$9</f>
        <v>0.97833400000000004</v>
      </c>
      <c r="H3" s="20">
        <v>9.9830000000000002E-2</v>
      </c>
      <c r="I3" s="34"/>
      <c r="J3" s="20" cm="1">
        <f t="array" ref="J3:K7">LINEST(G3:G8,F3:F8,FALSE,TRUE)</f>
        <v>5361.3987691748516</v>
      </c>
      <c r="K3" s="20">
        <v>0</v>
      </c>
    </row>
    <row r="4" spans="1:14" x14ac:dyDescent="0.25">
      <c r="A4" s="24" t="s">
        <v>4</v>
      </c>
      <c r="B4" s="21">
        <v>1E-3</v>
      </c>
      <c r="C4" s="24" t="s">
        <v>5</v>
      </c>
      <c r="D4" s="21">
        <v>5.0000000000000002E-5</v>
      </c>
      <c r="F4" s="20">
        <v>3.6000000000000002E-4</v>
      </c>
      <c r="G4" s="20">
        <f t="shared" si="0"/>
        <v>1.9563740000000001</v>
      </c>
      <c r="H4" s="20">
        <f>H3+0.0998</f>
        <v>0.19963</v>
      </c>
      <c r="I4" s="34"/>
      <c r="J4" s="20">
        <v>14.982170358252748</v>
      </c>
      <c r="K4" s="20" t="e">
        <v>#N/A</v>
      </c>
    </row>
    <row r="5" spans="1:14" x14ac:dyDescent="0.25">
      <c r="A5" s="24" t="s">
        <v>6</v>
      </c>
      <c r="B5" s="21">
        <f>B2/2</f>
        <v>5.1999999999999998E-2</v>
      </c>
      <c r="C5" s="24" t="s">
        <v>5</v>
      </c>
      <c r="D5" s="21">
        <v>5.0000000000000001E-3</v>
      </c>
      <c r="F5" s="20">
        <v>5.4500000000000002E-4</v>
      </c>
      <c r="G5" s="20">
        <f t="shared" si="0"/>
        <v>2.9314740000000001</v>
      </c>
      <c r="H5" s="20">
        <f>H4+0.0995</f>
        <v>0.29913000000000001</v>
      </c>
      <c r="I5" s="34"/>
      <c r="J5" s="20">
        <v>0.99996095672055607</v>
      </c>
      <c r="K5" s="20">
        <v>2.6063917297348686E-2</v>
      </c>
    </row>
    <row r="6" spans="1:14" x14ac:dyDescent="0.25">
      <c r="F6" s="20">
        <v>7.2999999999999996E-4</v>
      </c>
      <c r="G6" s="20">
        <f t="shared" si="0"/>
        <v>3.9096120000000005</v>
      </c>
      <c r="H6" s="20">
        <f>H5+0.09981</f>
        <v>0.39894000000000002</v>
      </c>
      <c r="I6" s="34"/>
      <c r="J6" s="20">
        <v>128058.01292338762</v>
      </c>
      <c r="K6" s="20">
        <v>5</v>
      </c>
    </row>
    <row r="7" spans="1:14" x14ac:dyDescent="0.25">
      <c r="F7" s="20">
        <v>9.2000000000000003E-4</v>
      </c>
      <c r="G7" s="20">
        <f t="shared" si="0"/>
        <v>4.8893180000000003</v>
      </c>
      <c r="H7" s="20">
        <f>H6+0.09997</f>
        <v>0.49891000000000002</v>
      </c>
      <c r="I7" s="34"/>
      <c r="J7" s="20">
        <v>86.993366255767597</v>
      </c>
      <c r="K7" s="20">
        <v>3.3966389244151599E-3</v>
      </c>
    </row>
    <row r="8" spans="1:14" x14ac:dyDescent="0.25">
      <c r="A8" s="118" t="s">
        <v>13</v>
      </c>
      <c r="B8" s="118"/>
      <c r="F8" s="20">
        <v>1.09E-3</v>
      </c>
      <c r="G8" s="20">
        <f t="shared" si="0"/>
        <v>5.8675540000000002</v>
      </c>
      <c r="H8" s="20">
        <f>H7+ 0.09982</f>
        <v>0.59872999999999998</v>
      </c>
      <c r="I8" s="34"/>
      <c r="J8" s="117" t="s">
        <v>10</v>
      </c>
      <c r="K8" s="117"/>
    </row>
    <row r="9" spans="1:14" x14ac:dyDescent="0.25">
      <c r="A9" s="56" t="s">
        <v>14</v>
      </c>
      <c r="B9" s="20">
        <v>9.8000000000000007</v>
      </c>
      <c r="F9" s="20">
        <v>9.7000000000000005E-4</v>
      </c>
      <c r="G9" s="20">
        <f t="shared" si="0"/>
        <v>4.8893180000000003</v>
      </c>
      <c r="H9" s="20">
        <v>0.49891000000000002</v>
      </c>
      <c r="I9" s="34"/>
      <c r="J9" s="117"/>
      <c r="K9" s="117"/>
    </row>
    <row r="10" spans="1:14" x14ac:dyDescent="0.25">
      <c r="F10" s="20">
        <v>8.0999999999999996E-4</v>
      </c>
      <c r="G10" s="20">
        <f t="shared" si="0"/>
        <v>3.9096120000000005</v>
      </c>
      <c r="H10" s="20">
        <v>0.39894000000000002</v>
      </c>
      <c r="I10" s="34"/>
      <c r="J10" s="111">
        <f>J3*(B2^3)/(4*B3*(B4^3))</f>
        <v>60308444650.890991</v>
      </c>
      <c r="K10" s="111"/>
    </row>
    <row r="11" spans="1:14" x14ac:dyDescent="0.25">
      <c r="A11" s="117" t="s">
        <v>11</v>
      </c>
      <c r="B11" s="117"/>
      <c r="F11" s="20">
        <v>6.2E-4</v>
      </c>
      <c r="G11" s="20">
        <f t="shared" si="0"/>
        <v>2.9314740000000001</v>
      </c>
      <c r="H11" s="20">
        <v>0.29913000000000001</v>
      </c>
      <c r="I11" s="34"/>
      <c r="J11" s="112" t="s">
        <v>19</v>
      </c>
      <c r="K11" s="113"/>
      <c r="L11" s="116">
        <f>SQRT(((((B2^3)*J4/(4*B3*(B4^3)))^2)+(((B2^2)*3*J3*D2/(4*B3*(B4^3)))^2)+(((B2^3)*J3*D3/(4*(B3^2)*(B4^3)))^2)+((J3*(B2^3)*3*D4/(4*B3*(B4^4)))^2)))</f>
        <v>17407144692.523945</v>
      </c>
    </row>
    <row r="12" spans="1:14" x14ac:dyDescent="0.25">
      <c r="A12" s="117"/>
      <c r="B12" s="117"/>
      <c r="F12" s="20">
        <v>0</v>
      </c>
      <c r="G12" s="20">
        <v>0</v>
      </c>
      <c r="H12" s="20">
        <v>0</v>
      </c>
      <c r="I12" s="34"/>
      <c r="J12" s="114"/>
      <c r="K12" s="115"/>
      <c r="L12" s="116"/>
    </row>
    <row r="13" spans="1:14" x14ac:dyDescent="0.25">
      <c r="A13" s="111">
        <f>41*10^9</f>
        <v>41000000000</v>
      </c>
      <c r="B13" s="111"/>
      <c r="I13" s="33"/>
    </row>
    <row r="14" spans="1:14" x14ac:dyDescent="0.25">
      <c r="A14" s="111">
        <f>73*10^9</f>
        <v>73000000000</v>
      </c>
      <c r="B14" s="111"/>
      <c r="I14" s="33"/>
      <c r="J14" s="118" t="s">
        <v>23</v>
      </c>
      <c r="K14" s="118"/>
      <c r="L14" s="118"/>
      <c r="M14" s="118"/>
      <c r="N14" s="118"/>
    </row>
    <row r="15" spans="1:14" x14ac:dyDescent="0.25">
      <c r="I15" s="33"/>
      <c r="J15" s="119" t="s">
        <v>9</v>
      </c>
      <c r="K15" s="119"/>
      <c r="L15" s="61"/>
      <c r="M15" s="61"/>
      <c r="N15" s="61"/>
    </row>
    <row r="16" spans="1:14" x14ac:dyDescent="0.25">
      <c r="I16" s="33"/>
      <c r="J16" s="17" cm="1">
        <f t="array" ref="J16:K20">LINEST(G8:G11,F8:F11,FALSE,TRUE)</f>
        <v>5086.7871651680052</v>
      </c>
      <c r="K16" s="17">
        <v>0</v>
      </c>
    </row>
    <row r="17" spans="9:12" x14ac:dyDescent="0.25">
      <c r="I17" s="33"/>
      <c r="J17" s="17">
        <v>145.07908246863255</v>
      </c>
      <c r="K17" s="17" t="e">
        <v>#N/A</v>
      </c>
    </row>
    <row r="18" spans="9:12" x14ac:dyDescent="0.25">
      <c r="I18" s="33"/>
      <c r="J18" s="17">
        <v>0.99756563776178231</v>
      </c>
      <c r="K18" s="17">
        <v>0.25828559071041057</v>
      </c>
    </row>
    <row r="19" spans="9:12" x14ac:dyDescent="0.25">
      <c r="I19" s="33"/>
      <c r="J19" s="17">
        <v>1229.3556260042994</v>
      </c>
      <c r="K19" s="17">
        <v>3</v>
      </c>
    </row>
    <row r="20" spans="9:12" x14ac:dyDescent="0.25">
      <c r="I20" s="33"/>
      <c r="J20" s="17">
        <v>82.012091912154133</v>
      </c>
      <c r="K20" s="17">
        <v>0.20013433910587719</v>
      </c>
    </row>
    <row r="21" spans="9:12" x14ac:dyDescent="0.25">
      <c r="I21" s="33"/>
      <c r="J21" s="117" t="s">
        <v>10</v>
      </c>
      <c r="K21" s="117"/>
    </row>
    <row r="22" spans="9:12" x14ac:dyDescent="0.25">
      <c r="I22" s="33"/>
      <c r="J22" s="117"/>
      <c r="K22" s="117"/>
    </row>
    <row r="23" spans="9:12" x14ac:dyDescent="0.25">
      <c r="I23" s="33"/>
      <c r="J23" s="111">
        <f>J16*(B2^3)/(4*B3*(B4^3))</f>
        <v>57219437577.595421</v>
      </c>
      <c r="K23" s="111"/>
    </row>
    <row r="24" spans="9:12" x14ac:dyDescent="0.25">
      <c r="I24" s="33"/>
      <c r="J24" s="112" t="s">
        <v>19</v>
      </c>
      <c r="K24" s="113"/>
      <c r="L24" s="116">
        <f>SQRT(((((B2^3)*J17/(4*B3*(B4^3)))^2)+(((B2^2)*3*J16*D2/(4*B3*(B4^3)))^2)+(((B2^3)*J16*D3/(4*(B3^2)*(B4^3)))^2)+((J16*(B2^3)*3*D4/(4*B3*(B4^4)))^2)))</f>
        <v>16595210265.299921</v>
      </c>
    </row>
    <row r="25" spans="9:12" x14ac:dyDescent="0.25">
      <c r="I25" s="33"/>
      <c r="J25" s="114"/>
      <c r="K25" s="115"/>
      <c r="L25" s="116"/>
    </row>
  </sheetData>
  <mergeCells count="16">
    <mergeCell ref="A11:B12"/>
    <mergeCell ref="J11:K12"/>
    <mergeCell ref="L11:L12"/>
    <mergeCell ref="J1:N1"/>
    <mergeCell ref="J2:K2"/>
    <mergeCell ref="A8:B8"/>
    <mergeCell ref="J8:K9"/>
    <mergeCell ref="J10:K10"/>
    <mergeCell ref="J24:K25"/>
    <mergeCell ref="L24:L25"/>
    <mergeCell ref="A13:B13"/>
    <mergeCell ref="A14:B14"/>
    <mergeCell ref="J14:N14"/>
    <mergeCell ref="J15:K15"/>
    <mergeCell ref="J21:K22"/>
    <mergeCell ref="J23:K2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39D2-E193-4BC2-9F8E-58BD831C7A54}">
  <dimension ref="A1:N25"/>
  <sheetViews>
    <sheetView tabSelected="1" workbookViewId="0">
      <selection activeCell="I11" sqref="I11"/>
    </sheetView>
  </sheetViews>
  <sheetFormatPr defaultRowHeight="15" x14ac:dyDescent="0.25"/>
  <sheetData>
    <row r="1" spans="1:14" x14ac:dyDescent="0.25">
      <c r="A1" s="1"/>
      <c r="B1" s="27" t="s">
        <v>0</v>
      </c>
      <c r="C1" s="1"/>
      <c r="D1" s="27" t="s">
        <v>1</v>
      </c>
      <c r="F1" s="27" t="s">
        <v>8</v>
      </c>
      <c r="G1" s="27" t="s">
        <v>7</v>
      </c>
      <c r="H1" s="69" t="s">
        <v>15</v>
      </c>
      <c r="I1" s="33"/>
      <c r="J1" s="130" t="s">
        <v>17</v>
      </c>
      <c r="K1" s="130"/>
      <c r="L1" s="130"/>
      <c r="M1" s="130"/>
      <c r="N1" s="130"/>
    </row>
    <row r="2" spans="1:14" x14ac:dyDescent="0.25">
      <c r="A2" s="27" t="s">
        <v>2</v>
      </c>
      <c r="B2" s="30">
        <v>0.104</v>
      </c>
      <c r="C2" s="26" t="s">
        <v>5</v>
      </c>
      <c r="D2" s="30">
        <v>5.0000000000000001E-3</v>
      </c>
      <c r="F2" s="29">
        <v>0</v>
      </c>
      <c r="G2" s="29">
        <f>H2*$B$10</f>
        <v>0</v>
      </c>
      <c r="H2" s="29">
        <v>0</v>
      </c>
      <c r="I2" s="34"/>
      <c r="J2" s="131" t="s">
        <v>9</v>
      </c>
      <c r="K2" s="131"/>
      <c r="L2" s="70"/>
      <c r="M2" s="70"/>
      <c r="N2" s="70"/>
    </row>
    <row r="3" spans="1:14" x14ac:dyDescent="0.25">
      <c r="A3" s="27" t="s">
        <v>3</v>
      </c>
      <c r="B3" s="30">
        <v>4.8000000000000001E-2</v>
      </c>
      <c r="C3" s="27" t="s">
        <v>5</v>
      </c>
      <c r="D3" s="30">
        <v>5.0000000000000001E-3</v>
      </c>
      <c r="F3" s="29">
        <v>5.0000000000000002E-5</v>
      </c>
      <c r="G3" s="29">
        <f t="shared" ref="G3:G11" si="0">H3*$B$9</f>
        <v>0.97833400000000004</v>
      </c>
      <c r="H3" s="29">
        <v>9.9830000000000002E-2</v>
      </c>
      <c r="I3" s="34"/>
      <c r="J3" s="29" cm="1">
        <f t="array" ref="J3:K7">LINEST(G3:G7,F3:F7,FALSE,TRUE)</f>
        <v>14811.269968220338</v>
      </c>
      <c r="K3" s="29">
        <v>0</v>
      </c>
    </row>
    <row r="4" spans="1:14" x14ac:dyDescent="0.25">
      <c r="A4" s="27" t="s">
        <v>4</v>
      </c>
      <c r="B4" s="30">
        <v>1.1999999999999999E-3</v>
      </c>
      <c r="C4" s="27" t="s">
        <v>5</v>
      </c>
      <c r="D4" s="30">
        <v>5.0000000000000002E-5</v>
      </c>
      <c r="F4" s="29">
        <v>1.7000000000000001E-4</v>
      </c>
      <c r="G4" s="29">
        <f t="shared" si="0"/>
        <v>2.9314740000000001</v>
      </c>
      <c r="H4" s="29">
        <f>I4+0.0995</f>
        <v>0.29913000000000001</v>
      </c>
      <c r="I4" s="137">
        <f>H3+0.0998</f>
        <v>0.19963</v>
      </c>
      <c r="J4" s="29">
        <v>470.14110179620076</v>
      </c>
      <c r="K4" s="29" t="e">
        <v>#N/A</v>
      </c>
    </row>
    <row r="5" spans="1:14" x14ac:dyDescent="0.25">
      <c r="A5" s="27" t="s">
        <v>6</v>
      </c>
      <c r="B5" s="30">
        <f>B2/2</f>
        <v>5.1999999999999998E-2</v>
      </c>
      <c r="C5" s="27" t="s">
        <v>5</v>
      </c>
      <c r="D5" s="30">
        <v>5.0000000000000001E-3</v>
      </c>
      <c r="F5" s="29">
        <v>2.5000000000000001E-4</v>
      </c>
      <c r="G5" s="29">
        <f t="shared" si="0"/>
        <v>3.9096120000000005</v>
      </c>
      <c r="H5" s="29">
        <f>H4+0.09981</f>
        <v>0.39894000000000002</v>
      </c>
      <c r="I5" s="34"/>
      <c r="J5" s="29">
        <v>0.99598592909339956</v>
      </c>
      <c r="K5" s="29">
        <v>0.28889778599681204</v>
      </c>
    </row>
    <row r="6" spans="1:14" x14ac:dyDescent="0.25">
      <c r="F6" s="29">
        <v>3.4000000000000002E-4</v>
      </c>
      <c r="G6" s="29">
        <f t="shared" si="0"/>
        <v>4.8893180000000003</v>
      </c>
      <c r="H6" s="29">
        <f>H5+0.09997</f>
        <v>0.49891000000000002</v>
      </c>
      <c r="I6" s="34"/>
      <c r="J6" s="29">
        <v>992.49460437350035</v>
      </c>
      <c r="K6" s="29">
        <v>4</v>
      </c>
    </row>
    <row r="7" spans="1:14" x14ac:dyDescent="0.25">
      <c r="F7" s="29">
        <v>4.0999999999999999E-4</v>
      </c>
      <c r="G7" s="29">
        <f t="shared" si="0"/>
        <v>5.8675540000000002</v>
      </c>
      <c r="H7" s="29">
        <f>H6+ 0.09982</f>
        <v>0.59872999999999998</v>
      </c>
      <c r="I7" s="34"/>
      <c r="J7" s="29">
        <v>82.835515943800559</v>
      </c>
      <c r="K7" s="29">
        <v>0.33384772301543919</v>
      </c>
    </row>
    <row r="8" spans="1:14" x14ac:dyDescent="0.25">
      <c r="A8" s="27" t="s">
        <v>13</v>
      </c>
      <c r="B8" s="27"/>
      <c r="F8" s="29">
        <v>3.5E-4</v>
      </c>
      <c r="G8" s="29">
        <f t="shared" si="0"/>
        <v>4.8893180000000003</v>
      </c>
      <c r="H8" s="29">
        <v>0.49891000000000002</v>
      </c>
      <c r="I8" s="34"/>
      <c r="J8" s="132" t="s">
        <v>10</v>
      </c>
      <c r="K8" s="132"/>
    </row>
    <row r="9" spans="1:14" x14ac:dyDescent="0.25">
      <c r="A9" s="67" t="s">
        <v>14</v>
      </c>
      <c r="B9" s="29">
        <v>9.8000000000000007</v>
      </c>
      <c r="F9" s="29">
        <v>2.5999999999999998E-4</v>
      </c>
      <c r="G9" s="29">
        <f t="shared" si="0"/>
        <v>3.9096120000000005</v>
      </c>
      <c r="H9" s="29">
        <v>0.39894000000000002</v>
      </c>
      <c r="I9" s="34"/>
      <c r="J9" s="132"/>
      <c r="K9" s="132"/>
    </row>
    <row r="10" spans="1:14" x14ac:dyDescent="0.25">
      <c r="F10" s="29">
        <v>1.9000000000000001E-4</v>
      </c>
      <c r="G10" s="29">
        <f t="shared" si="0"/>
        <v>2.9314740000000001</v>
      </c>
      <c r="H10" s="29">
        <v>0.29913000000000001</v>
      </c>
      <c r="I10" s="34"/>
      <c r="J10" s="129">
        <f>J3*(B2^3)/(4*B3*(B4^3))</f>
        <v>50216605123.734703</v>
      </c>
      <c r="K10" s="129"/>
    </row>
    <row r="11" spans="1:14" x14ac:dyDescent="0.25">
      <c r="A11" s="132" t="s">
        <v>11</v>
      </c>
      <c r="B11" s="132"/>
      <c r="F11" s="29">
        <v>1E-4</v>
      </c>
      <c r="G11" s="29">
        <f t="shared" si="0"/>
        <v>1.9563740000000001</v>
      </c>
      <c r="H11" s="29">
        <v>0.19963</v>
      </c>
      <c r="I11" s="34"/>
      <c r="J11" s="124" t="s">
        <v>19</v>
      </c>
      <c r="K11" s="125"/>
      <c r="L11" s="128">
        <f>SQRT(((((B2^3)*J4/(4*B3*(B4^3)))^2)+(((B2^2)*3*J3*D2/(4*B3*(B4^3)))^2)+(((B2^3)*J3*D3/(4*(B3^2)*(B4^3)))^2)+((J3*(B2^3)*3*D4/(4*B3*(B4^4)))^2)))</f>
        <v>11034608669.301695</v>
      </c>
    </row>
    <row r="12" spans="1:14" x14ac:dyDescent="0.25">
      <c r="A12" s="132"/>
      <c r="B12" s="132"/>
      <c r="F12" s="30">
        <v>0</v>
      </c>
      <c r="G12" s="30">
        <v>0</v>
      </c>
      <c r="H12" s="30">
        <v>0</v>
      </c>
      <c r="I12" s="34"/>
      <c r="J12" s="126"/>
      <c r="K12" s="127"/>
      <c r="L12" s="128"/>
    </row>
    <row r="13" spans="1:14" x14ac:dyDescent="0.25">
      <c r="A13" s="129">
        <f>40*10^9</f>
        <v>40000000000</v>
      </c>
      <c r="B13" s="129"/>
      <c r="I13" s="33"/>
    </row>
    <row r="14" spans="1:14" x14ac:dyDescent="0.25">
      <c r="A14" s="129">
        <f>90*10^9</f>
        <v>90000000000</v>
      </c>
      <c r="B14" s="129"/>
      <c r="I14" s="33"/>
      <c r="J14" s="130" t="s">
        <v>23</v>
      </c>
      <c r="K14" s="130"/>
      <c r="L14" s="130"/>
      <c r="M14" s="130"/>
      <c r="N14" s="130"/>
    </row>
    <row r="15" spans="1:14" x14ac:dyDescent="0.25">
      <c r="I15" s="33"/>
      <c r="J15" s="131" t="s">
        <v>9</v>
      </c>
      <c r="K15" s="131"/>
      <c r="L15" s="70"/>
      <c r="M15" s="70"/>
      <c r="N15" s="70"/>
    </row>
    <row r="16" spans="1:14" x14ac:dyDescent="0.25">
      <c r="I16" s="33"/>
      <c r="J16" s="29" cm="1">
        <f t="array" ref="J16:K20">LINEST(G7:G11,F7:F11,FALSE,TRUE)</f>
        <v>14558.681721493942</v>
      </c>
      <c r="K16" s="29">
        <v>0</v>
      </c>
    </row>
    <row r="17" spans="9:12" x14ac:dyDescent="0.25">
      <c r="I17" s="33"/>
      <c r="J17" s="29">
        <v>462.63600865318347</v>
      </c>
      <c r="K17" s="29" t="e">
        <v>#N/A</v>
      </c>
    </row>
    <row r="18" spans="9:12" x14ac:dyDescent="0.25">
      <c r="I18" s="33"/>
      <c r="J18" s="29">
        <v>0.99597705508139567</v>
      </c>
      <c r="K18" s="29">
        <v>0.29416520618519848</v>
      </c>
    </row>
    <row r="19" spans="9:12" x14ac:dyDescent="0.25">
      <c r="I19" s="33"/>
      <c r="J19" s="29">
        <v>990.29648700921734</v>
      </c>
      <c r="K19" s="29">
        <v>4</v>
      </c>
    </row>
    <row r="20" spans="9:12" x14ac:dyDescent="0.25">
      <c r="I20" s="33"/>
      <c r="J20" s="29">
        <v>85.693492805016092</v>
      </c>
      <c r="K20" s="29">
        <v>0.34613267411992138</v>
      </c>
    </row>
    <row r="21" spans="9:12" x14ac:dyDescent="0.25">
      <c r="I21" s="33"/>
      <c r="J21" s="132" t="s">
        <v>10</v>
      </c>
      <c r="K21" s="132"/>
    </row>
    <row r="22" spans="9:12" x14ac:dyDescent="0.25">
      <c r="I22" s="33"/>
      <c r="J22" s="132"/>
      <c r="K22" s="132"/>
    </row>
    <row r="23" spans="9:12" x14ac:dyDescent="0.25">
      <c r="I23" s="33"/>
      <c r="J23" s="129">
        <f>J16*(B2^3)/(4*B3*(B4^3))</f>
        <v>49360221824.26265</v>
      </c>
      <c r="K23" s="129"/>
    </row>
    <row r="24" spans="9:12" x14ac:dyDescent="0.25">
      <c r="I24" s="33"/>
      <c r="J24" s="124" t="s">
        <v>19</v>
      </c>
      <c r="K24" s="125"/>
      <c r="L24" s="128">
        <f>SQRT(((((B2^3)*J17/(4*B3*(B4^3)))^2)+(((B2^2)*3*J16*D2/(4*B3*(B4^3)))^2)+(((B2^3)*J16*D3/(4*(B3^2)*(B4^3)))^2)+((J16*(B2^3)*3*D4/(4*B3*(B4^4)))^2)))</f>
        <v>10846677983.6731</v>
      </c>
    </row>
    <row r="25" spans="9:12" x14ac:dyDescent="0.25">
      <c r="I25" s="33"/>
      <c r="J25" s="126"/>
      <c r="K25" s="127"/>
      <c r="L25" s="128"/>
    </row>
  </sheetData>
  <mergeCells count="15">
    <mergeCell ref="J1:N1"/>
    <mergeCell ref="J2:K2"/>
    <mergeCell ref="J8:K9"/>
    <mergeCell ref="J10:K10"/>
    <mergeCell ref="A11:B12"/>
    <mergeCell ref="J11:K12"/>
    <mergeCell ref="L11:L12"/>
    <mergeCell ref="J24:K25"/>
    <mergeCell ref="L24:L25"/>
    <mergeCell ref="A13:B13"/>
    <mergeCell ref="A14:B14"/>
    <mergeCell ref="J14:N14"/>
    <mergeCell ref="J15:K15"/>
    <mergeCell ref="J21:K22"/>
    <mergeCell ref="J23:K2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0AD6-5407-45A7-AB25-30A7C57E0F2A}">
  <dimension ref="A1"/>
  <sheetViews>
    <sheetView workbookViewId="0">
      <selection activeCell="O27" sqref="O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Cobre</vt:lpstr>
      <vt:lpstr>Latão</vt:lpstr>
      <vt:lpstr>Aço</vt:lpstr>
      <vt:lpstr>Aluminio</vt:lpstr>
      <vt:lpstr>Vidro</vt:lpstr>
      <vt:lpstr>Cobre (s.v.r)</vt:lpstr>
      <vt:lpstr>Latão (s.v.r)</vt:lpstr>
      <vt:lpstr>Aço (s.v.r)</vt:lpstr>
      <vt:lpstr>Aluminio (s.v.r)</vt:lpstr>
      <vt:lpstr>Vidro (s.v.r)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2021-12-08T01:09:26Z</dcterms:modified>
</cp:coreProperties>
</file>