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is\Desktop\Escola\Ano Atual\Labratório Mecânica Newtoniana\TP4\"/>
    </mc:Choice>
  </mc:AlternateContent>
  <xr:revisionPtr revIDLastSave="0" documentId="13_ncr:1_{3376635C-B88F-4B7B-BC6F-F175B1C67677}" xr6:coauthVersionLast="47" xr6:coauthVersionMax="47" xr10:uidLastSave="{00000000-0000-0000-0000-000000000000}"/>
  <bookViews>
    <workbookView xWindow="15" yWindow="90" windowWidth="15840" windowHeight="15390" xr2:uid="{00000000-000D-0000-FFFF-FFFF00000000}"/>
  </bookViews>
  <sheets>
    <sheet name="1ª Parte (m= I kg)" sheetId="1" r:id="rId1"/>
    <sheet name="1ª Parte (m=I+A kg)" sheetId="2" r:id="rId2"/>
    <sheet name="1ª Parte (m=I+A+C kg)" sheetId="3" r:id="rId3"/>
    <sheet name="1ª Parte (m=I+A+C+D kg)" sheetId="4" r:id="rId4"/>
    <sheet name="1ª Parte (m=I+A+C+D+F kg)" sheetId="5" r:id="rId5"/>
    <sheet name="1ª Parte (Estudo)" sheetId="6" r:id="rId6"/>
    <sheet name="2ª Part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L4" i="8"/>
  <c r="K4" i="8"/>
  <c r="I4" i="8"/>
  <c r="C7" i="6"/>
  <c r="C6" i="6"/>
  <c r="C5" i="6"/>
  <c r="C4" i="6"/>
  <c r="C3" i="6"/>
  <c r="F3" i="5"/>
  <c r="F3" i="4"/>
  <c r="F3" i="3"/>
  <c r="F3" i="2"/>
  <c r="F3" i="1"/>
  <c r="L5" i="5" a="1"/>
  <c r="L5" i="5" s="1"/>
  <c r="L5" i="4" a="1"/>
  <c r="L5" i="4" s="1"/>
  <c r="L5" i="3" a="1"/>
  <c r="L5" i="3" s="1"/>
  <c r="L5" i="1" a="1"/>
  <c r="L5" i="1" s="1"/>
  <c r="L5" i="2" a="1"/>
  <c r="L5" i="2" s="1"/>
  <c r="C3" i="5" a="1"/>
  <c r="C3" i="5" s="1"/>
  <c r="C3" i="4" a="1"/>
  <c r="C3" i="4" s="1"/>
  <c r="C3" i="3" a="1"/>
  <c r="C3" i="3" s="1"/>
  <c r="C3" i="2" a="1"/>
  <c r="C3" i="2" s="1"/>
  <c r="I7" i="2" s="1"/>
  <c r="J7" i="2" s="1"/>
  <c r="E3" i="2"/>
  <c r="J4" i="8"/>
  <c r="L12" i="2" l="1"/>
  <c r="I3" i="5"/>
  <c r="J3" i="5" s="1"/>
  <c r="I3" i="1"/>
  <c r="J3" i="1" s="1"/>
  <c r="I6" i="1"/>
  <c r="J6" i="1" s="1"/>
  <c r="I5" i="1"/>
  <c r="J5" i="1" s="1"/>
  <c r="I8" i="1"/>
  <c r="J8" i="1" s="1"/>
  <c r="I4" i="1"/>
  <c r="J4" i="1" s="1"/>
  <c r="M12" i="1"/>
  <c r="L8" i="1"/>
  <c r="M8" i="1" s="1"/>
  <c r="I9" i="1"/>
  <c r="J9" i="1" s="1"/>
  <c r="I7" i="1"/>
  <c r="J7" i="1" s="1"/>
  <c r="I6" i="2"/>
  <c r="J6" i="2" s="1"/>
  <c r="I3" i="2"/>
  <c r="J3" i="2" s="1"/>
  <c r="I5" i="2"/>
  <c r="J5" i="2" s="1"/>
  <c r="I4" i="2"/>
  <c r="J4" i="2" s="1"/>
  <c r="I9" i="2"/>
  <c r="J9" i="2" s="1"/>
  <c r="I8" i="2"/>
  <c r="J8" i="2" s="1"/>
  <c r="L7" i="8"/>
  <c r="L8" i="5"/>
  <c r="D7" i="6" s="1"/>
  <c r="I4" i="5"/>
  <c r="J4" i="5" s="1"/>
  <c r="I5" i="5"/>
  <c r="J5" i="5" s="1"/>
  <c r="L12" i="5"/>
  <c r="M12" i="5" s="1"/>
  <c r="L12" i="4"/>
  <c r="M12" i="4" s="1"/>
  <c r="I5" i="4"/>
  <c r="J5" i="4" s="1"/>
  <c r="E5" i="6"/>
  <c r="I3" i="3"/>
  <c r="J3" i="3" s="1"/>
  <c r="I7" i="3"/>
  <c r="J7" i="3" s="1"/>
  <c r="I5" i="3"/>
  <c r="J5" i="3" s="1"/>
  <c r="I8" i="3"/>
  <c r="J8" i="3" s="1"/>
  <c r="I4" i="3"/>
  <c r="J4" i="3" s="1"/>
  <c r="L8" i="3"/>
  <c r="D5" i="6" s="1"/>
  <c r="I6" i="3"/>
  <c r="J6" i="3" s="1"/>
  <c r="L8" i="4"/>
  <c r="D6" i="6" s="1"/>
  <c r="I7" i="4"/>
  <c r="J7" i="4" s="1"/>
  <c r="I3" i="4"/>
  <c r="J3" i="4" s="1"/>
  <c r="I4" i="4"/>
  <c r="J4" i="4" s="1"/>
  <c r="I6" i="4"/>
  <c r="J6" i="4" s="1"/>
  <c r="I6" i="5"/>
  <c r="J6" i="5" s="1"/>
  <c r="E7" i="6"/>
  <c r="E6" i="6"/>
  <c r="M12" i="2"/>
  <c r="L8" i="2"/>
  <c r="E4" i="6"/>
  <c r="E3" i="6"/>
  <c r="L12" i="3"/>
  <c r="M12" i="3" s="1"/>
  <c r="D3" i="6" l="1"/>
  <c r="D4" i="6"/>
  <c r="F4" i="6" s="1"/>
  <c r="M8" i="2"/>
  <c r="F6" i="6"/>
  <c r="M8" i="5"/>
  <c r="F7" i="6"/>
  <c r="F5" i="6"/>
  <c r="M8" i="4"/>
  <c r="M8" i="3"/>
  <c r="F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<sst xmlns="http://schemas.openxmlformats.org/spreadsheetml/2006/main" count="102" uniqueCount="36">
  <si>
    <t>L (m)</t>
  </si>
  <si>
    <t>μ (kg/m)</t>
  </si>
  <si>
    <t>Valor</t>
  </si>
  <si>
    <t>Nº de antinodos</t>
  </si>
  <si>
    <t>Ferquência (Hz)</t>
  </si>
  <si>
    <t>Massa (kg)</t>
  </si>
  <si>
    <t>Regressão linear</t>
  </si>
  <si>
    <t>Declive, m</t>
  </si>
  <si>
    <t>Ordenada na origem, b</t>
  </si>
  <si>
    <t>Ferquência do ajuste (Hz)</t>
  </si>
  <si>
    <t>Desvio percentual das ferquências (%)</t>
  </si>
  <si>
    <t>Valor esperado de m</t>
  </si>
  <si>
    <t>Desvio percentual de m (%)</t>
  </si>
  <si>
    <t>Valor esperado da tensão</t>
  </si>
  <si>
    <t>Desvio percentual da tensão (%)</t>
  </si>
  <si>
    <t>Tensão medida (N)</t>
  </si>
  <si>
    <t>Desvio percentual das velocidades (%)</t>
  </si>
  <si>
    <t>Velocidade esperada (m/s)</t>
  </si>
  <si>
    <t>Velocidade obtida (m/s)</t>
  </si>
  <si>
    <t>Separação maximos (m)</t>
  </si>
  <si>
    <t>Separação mínimos (m)</t>
  </si>
  <si>
    <t>T (ºC)</t>
  </si>
  <si>
    <t>Velocidade do som no ar (m/s)</t>
  </si>
  <si>
    <t>Comprimento de onda do ar</t>
  </si>
  <si>
    <t>Comprimento de onda do barra</t>
  </si>
  <si>
    <t>Velocidade do som na barra (m/s)</t>
  </si>
  <si>
    <t>Comprimento util do tubo (m)</t>
  </si>
  <si>
    <t>Desvio</t>
  </si>
  <si>
    <t>I</t>
  </si>
  <si>
    <t>I+A</t>
  </si>
  <si>
    <t>I+A+C</t>
  </si>
  <si>
    <t>I+A+C+D</t>
  </si>
  <si>
    <t>I+A+C+D+F</t>
  </si>
  <si>
    <t>Massa</t>
  </si>
  <si>
    <t>Valor (Kg)</t>
  </si>
  <si>
    <t>Valor esperado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</si>
</sst>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 wrapText="1"/>
    </xf>
    <xf numFmtId="10" fontId="0" fillId="3" borderId="1" xfId="1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Ferquência</a:t>
            </a:r>
            <a:r>
              <a:rPr lang="pt-PT" baseline="0"/>
              <a:t> em função do Nº de antinodos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5.1044838145231849E-2"/>
                  <c:y val="-2.146033829104695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'1ª Parte (m= I kg)'!$G$3:$G$9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(m= I kg)'!$H$3:$H$9</c:f>
              <c:numCache>
                <c:formatCode>General</c:formatCode>
                <c:ptCount val="7"/>
                <c:pt idx="0">
                  <c:v>12.42</c:v>
                </c:pt>
                <c:pt idx="1">
                  <c:v>24.85</c:v>
                </c:pt>
                <c:pt idx="2">
                  <c:v>37.200000000000003</c:v>
                </c:pt>
                <c:pt idx="3">
                  <c:v>49.62</c:v>
                </c:pt>
                <c:pt idx="4">
                  <c:v>62.16</c:v>
                </c:pt>
                <c:pt idx="5">
                  <c:v>74.489999999999995</c:v>
                </c:pt>
                <c:pt idx="6">
                  <c:v>87.15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1-4283-9341-86535600A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497663"/>
        <c:axId val="1648510143"/>
      </c:scatterChart>
      <c:valAx>
        <c:axId val="164849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de antinodos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48510143"/>
        <c:crosses val="autoZero"/>
        <c:crossBetween val="midCat"/>
      </c:valAx>
      <c:valAx>
        <c:axId val="16485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4849766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Ferquência</a:t>
            </a:r>
            <a:r>
              <a:rPr lang="pt-PT" baseline="0"/>
              <a:t> em função do Nº de antinodos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5.6649362047409765E-2"/>
                  <c:y val="-2.37534972092905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'1ª Parte (m=I+A kg)'!$G$3:$G$9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(m=I+A kg)'!$H$3:$H$9</c:f>
              <c:numCache>
                <c:formatCode>General</c:formatCode>
                <c:ptCount val="7"/>
                <c:pt idx="0">
                  <c:v>18.64</c:v>
                </c:pt>
                <c:pt idx="1">
                  <c:v>37.47</c:v>
                </c:pt>
                <c:pt idx="2">
                  <c:v>55.81</c:v>
                </c:pt>
                <c:pt idx="3">
                  <c:v>74.349999999999994</c:v>
                </c:pt>
                <c:pt idx="4">
                  <c:v>92.6</c:v>
                </c:pt>
                <c:pt idx="5">
                  <c:v>110.9</c:v>
                </c:pt>
                <c:pt idx="6">
                  <c:v>128.94999999999999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DB-4228-8E92-D6423C5FC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497663"/>
        <c:axId val="1648510143"/>
      </c:scatterChart>
      <c:valAx>
        <c:axId val="164849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de antinodos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48510143"/>
        <c:crosses val="autoZero"/>
        <c:crossBetween val="midCat"/>
      </c:valAx>
      <c:valAx>
        <c:axId val="16485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4849766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Ferquência</a:t>
            </a:r>
            <a:r>
              <a:rPr lang="pt-PT" baseline="0"/>
              <a:t> em função do Nº de antinodos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5.3731091184579846E-2"/>
                  <c:y val="-1.59791762537018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'1ª Parte (m=I+A+C kg)'!$G$3:$G$8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'1ª Parte (m=I+A+C kg)'!$H$3:$H$8</c:f>
              <c:numCache>
                <c:formatCode>General</c:formatCode>
                <c:ptCount val="6"/>
                <c:pt idx="0">
                  <c:v>23.14</c:v>
                </c:pt>
                <c:pt idx="1">
                  <c:v>47.02</c:v>
                </c:pt>
                <c:pt idx="2">
                  <c:v>70.209999999999994</c:v>
                </c:pt>
                <c:pt idx="3">
                  <c:v>93.46</c:v>
                </c:pt>
                <c:pt idx="4">
                  <c:v>116.25</c:v>
                </c:pt>
                <c:pt idx="5">
                  <c:v>138.69999999999999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0C-47F7-A7EE-45745FADB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497663"/>
        <c:axId val="1648510143"/>
      </c:scatterChart>
      <c:valAx>
        <c:axId val="164849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de antinodos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48510143"/>
        <c:crosses val="autoZero"/>
        <c:crossBetween val="midCat"/>
      </c:valAx>
      <c:valAx>
        <c:axId val="16485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4849766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Ferquência</a:t>
            </a:r>
            <a:r>
              <a:rPr lang="pt-PT" baseline="0"/>
              <a:t> em função do Nº de antinodos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3.51189382084338E-2"/>
                  <c:y val="-4.499436776384697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'1ª Parte (m=I+A+C+D kg)'!$G$3:$G$7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(m=I+A+C+D kg)'!$H$3:$H$7</c:f>
              <c:numCache>
                <c:formatCode>General</c:formatCode>
                <c:ptCount val="5"/>
                <c:pt idx="0">
                  <c:v>28.57</c:v>
                </c:pt>
                <c:pt idx="1">
                  <c:v>57.07</c:v>
                </c:pt>
                <c:pt idx="2">
                  <c:v>86.06</c:v>
                </c:pt>
                <c:pt idx="3">
                  <c:v>114.93</c:v>
                </c:pt>
                <c:pt idx="4">
                  <c:v>143.37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5E-4116-99BE-98F26A305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497663"/>
        <c:axId val="1648510143"/>
      </c:scatterChart>
      <c:valAx>
        <c:axId val="164849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de antinodos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48510143"/>
        <c:crosses val="autoZero"/>
        <c:crossBetween val="midCat"/>
      </c:valAx>
      <c:valAx>
        <c:axId val="16485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4849766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Ferquência</a:t>
            </a:r>
            <a:r>
              <a:rPr lang="pt-PT" baseline="0"/>
              <a:t> em função do Nº de antinodos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3.51189382084338E-2"/>
                  <c:y val="-4.499436776384697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'1ª Parte (m=I+A+C+D+F kg)'!$G$3:$G$6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(m=I+A+C+D+F kg)'!$H$3:$H$6</c:f>
              <c:numCache>
                <c:formatCode>General</c:formatCode>
                <c:ptCount val="4"/>
                <c:pt idx="0">
                  <c:v>32.46</c:v>
                </c:pt>
                <c:pt idx="1">
                  <c:v>65.239999999999995</c:v>
                </c:pt>
                <c:pt idx="2">
                  <c:v>97.9</c:v>
                </c:pt>
                <c:pt idx="3">
                  <c:v>129.69999999999999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8-4EEE-9505-B0783579B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497663"/>
        <c:axId val="1648510143"/>
      </c:scatterChart>
      <c:valAx>
        <c:axId val="164849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de antinodos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48510143"/>
        <c:crosses val="autoZero"/>
        <c:crossBetween val="midCat"/>
      </c:valAx>
      <c:valAx>
        <c:axId val="16485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4849766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16</xdr:row>
      <xdr:rowOff>61912</xdr:rowOff>
    </xdr:from>
    <xdr:to>
      <xdr:col>8</xdr:col>
      <xdr:colOff>676275</xdr:colOff>
      <xdr:row>31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5411381-1E3A-4F3A-BAE5-1D38A9066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247650</xdr:colOff>
      <xdr:row>5</xdr:row>
      <xdr:rowOff>38100</xdr:rowOff>
    </xdr:from>
    <xdr:to>
      <xdr:col>5</xdr:col>
      <xdr:colOff>952500</xdr:colOff>
      <xdr:row>8</xdr:row>
      <xdr:rowOff>47625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50CB9F7F-A9C7-4FCB-BDC3-E2A13A96B25C}"/>
            </a:ext>
          </a:extLst>
        </xdr:cNvPr>
        <xdr:cNvSpPr txBox="1"/>
      </xdr:nvSpPr>
      <xdr:spPr>
        <a:xfrm>
          <a:off x="247650" y="990600"/>
          <a:ext cx="41148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Para a medição de L foi medida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 a distância</a:t>
          </a:r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 do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 centro da roldana ao ponto ligado á coluna.</a:t>
          </a:r>
        </a:p>
        <a:p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4</xdr:row>
      <xdr:rowOff>85725</xdr:rowOff>
    </xdr:from>
    <xdr:to>
      <xdr:col>5</xdr:col>
      <xdr:colOff>1123950</xdr:colOff>
      <xdr:row>19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F163F99-5F97-4CAE-AA76-F022BCD04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95249</xdr:rowOff>
    </xdr:from>
    <xdr:to>
      <xdr:col>5</xdr:col>
      <xdr:colOff>1152525</xdr:colOff>
      <xdr:row>19</xdr:row>
      <xdr:rowOff>38100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0A4518B-4849-40F6-BCF3-C18560159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4</xdr:row>
      <xdr:rowOff>47625</xdr:rowOff>
    </xdr:from>
    <xdr:to>
      <xdr:col>5</xdr:col>
      <xdr:colOff>1143000</xdr:colOff>
      <xdr:row>19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E4C550B-6BCC-4E16-8367-7BE11B95E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4</xdr:row>
      <xdr:rowOff>38100</xdr:rowOff>
    </xdr:from>
    <xdr:to>
      <xdr:col>5</xdr:col>
      <xdr:colOff>1133475</xdr:colOff>
      <xdr:row>18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B39FB23-F027-460B-BE52-B4BA38B06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3</xdr:row>
      <xdr:rowOff>95251</xdr:rowOff>
    </xdr:from>
    <xdr:to>
      <xdr:col>7</xdr:col>
      <xdr:colOff>466725</xdr:colOff>
      <xdr:row>9</xdr:row>
      <xdr:rowOff>57150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39783A0-1B6F-4D25-93FA-A20D337B8A37}"/>
            </a:ext>
          </a:extLst>
        </xdr:cNvPr>
        <xdr:cNvSpPr txBox="1"/>
      </xdr:nvSpPr>
      <xdr:spPr>
        <a:xfrm>
          <a:off x="1981200" y="666751"/>
          <a:ext cx="4581525" cy="1104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Temos apenas um valor para cada sepação, porque foi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 possivel observar estes valores, em varias separações, sem ambiguidade. O valor esperado da velocidade do som da barra é 5100 m/s porque temos uma barra de aluminio!</a:t>
          </a:r>
        </a:p>
        <a:p>
          <a:endParaRPr lang="pt-PT" sz="1400" baseline="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tabSelected="1" topLeftCell="I1" workbookViewId="0">
      <selection activeCell="L12" sqref="L12"/>
    </sheetView>
  </sheetViews>
  <sheetFormatPr defaultRowHeight="15" x14ac:dyDescent="0.25"/>
  <cols>
    <col min="2" max="2" width="13.42578125" bestFit="1" customWidth="1"/>
    <col min="5" max="5" width="10.28515625" bestFit="1" customWidth="1"/>
    <col min="6" max="6" width="17.5703125" bestFit="1" customWidth="1"/>
    <col min="7" max="7" width="16.85546875" bestFit="1" customWidth="1"/>
    <col min="8" max="8" width="15" bestFit="1" customWidth="1"/>
    <col min="9" max="9" width="23.85546875" bestFit="1" customWidth="1"/>
    <col min="10" max="10" width="35.5703125" bestFit="1" customWidth="1"/>
    <col min="12" max="12" width="19.5703125" bestFit="1" customWidth="1"/>
    <col min="13" max="13" width="25.85546875" bestFit="1" customWidth="1"/>
  </cols>
  <sheetData>
    <row r="2" spans="2:13" x14ac:dyDescent="0.25">
      <c r="B2" s="3"/>
      <c r="C2" s="3" t="s">
        <v>2</v>
      </c>
      <c r="D2" s="2"/>
      <c r="E2" s="3" t="s">
        <v>5</v>
      </c>
      <c r="F2" s="3" t="s">
        <v>15</v>
      </c>
      <c r="G2" s="3" t="s">
        <v>3</v>
      </c>
      <c r="H2" s="3" t="s">
        <v>4</v>
      </c>
      <c r="I2" s="3" t="s">
        <v>9</v>
      </c>
      <c r="J2" s="3" t="s">
        <v>10</v>
      </c>
      <c r="K2" s="2"/>
      <c r="L2" s="29" t="s">
        <v>6</v>
      </c>
      <c r="M2" s="29"/>
    </row>
    <row r="3" spans="2:13" x14ac:dyDescent="0.25">
      <c r="B3" s="3" t="s">
        <v>0</v>
      </c>
      <c r="C3" s="4">
        <v>2.093</v>
      </c>
      <c r="D3" s="2"/>
      <c r="E3" s="11">
        <v>4.2630000000000001E-2</v>
      </c>
      <c r="F3" s="11">
        <f>E3*9.81</f>
        <v>0.41820030000000002</v>
      </c>
      <c r="G3" s="4">
        <v>1</v>
      </c>
      <c r="H3" s="4">
        <v>12.42</v>
      </c>
      <c r="I3" s="16">
        <f t="shared" ref="I3:I9" si="0">(G3/(2*$C$3))*SQRT($F$3/$C$4)</f>
        <v>10.415535550520685</v>
      </c>
      <c r="J3" s="16">
        <f>ABS(I3-H3)*100/I3</f>
        <v>19.24494846910785</v>
      </c>
      <c r="K3" s="2"/>
      <c r="L3" s="30" t="s">
        <v>7</v>
      </c>
      <c r="M3" s="32" t="s">
        <v>8</v>
      </c>
    </row>
    <row r="4" spans="2:13" x14ac:dyDescent="0.25">
      <c r="B4" s="5" t="s">
        <v>1</v>
      </c>
      <c r="C4" s="9">
        <v>2.2000000000000001E-4</v>
      </c>
      <c r="D4" s="2"/>
      <c r="G4" s="4">
        <v>2</v>
      </c>
      <c r="H4" s="9">
        <v>24.85</v>
      </c>
      <c r="I4" s="16">
        <f t="shared" si="0"/>
        <v>20.83107110104137</v>
      </c>
      <c r="J4" s="16">
        <f t="shared" ref="J4:J9" si="1">ABS(I4-H4)*100/I4</f>
        <v>19.292953681857099</v>
      </c>
      <c r="K4" s="2"/>
      <c r="L4" s="31"/>
      <c r="M4" s="33"/>
    </row>
    <row r="5" spans="2:13" x14ac:dyDescent="0.25">
      <c r="D5" s="2"/>
      <c r="G5" s="4">
        <v>3</v>
      </c>
      <c r="H5" s="9">
        <v>37.200000000000003</v>
      </c>
      <c r="I5" s="16">
        <f t="shared" si="0"/>
        <v>31.246606651562058</v>
      </c>
      <c r="J5" s="16">
        <f t="shared" si="1"/>
        <v>19.0529276181109</v>
      </c>
      <c r="K5" s="2"/>
      <c r="L5" s="16" cm="1">
        <f t="array" ref="L5:M5">LINEST(H3:H9,G3:G9,FALSE,FALSE)</f>
        <v>12.428500000000003</v>
      </c>
      <c r="M5" s="27">
        <v>0</v>
      </c>
    </row>
    <row r="6" spans="2:13" x14ac:dyDescent="0.25">
      <c r="B6" s="2"/>
      <c r="C6" s="2"/>
      <c r="D6" s="2"/>
      <c r="G6" s="4">
        <v>4</v>
      </c>
      <c r="H6" s="9">
        <v>49.62</v>
      </c>
      <c r="I6" s="16">
        <f t="shared" si="0"/>
        <v>41.662142202082741</v>
      </c>
      <c r="J6" s="16">
        <f t="shared" si="1"/>
        <v>19.100932830860131</v>
      </c>
      <c r="K6" s="2"/>
      <c r="L6" s="12"/>
      <c r="M6" s="13"/>
    </row>
    <row r="7" spans="2:13" x14ac:dyDescent="0.25">
      <c r="D7" s="2"/>
      <c r="G7" s="4">
        <v>5</v>
      </c>
      <c r="H7" s="9">
        <v>62.16</v>
      </c>
      <c r="I7" s="16">
        <f t="shared" si="0"/>
        <v>52.077677752603421</v>
      </c>
      <c r="J7" s="16">
        <f t="shared" si="1"/>
        <v>19.360160979706031</v>
      </c>
      <c r="K7" s="2"/>
      <c r="L7" s="14" t="s">
        <v>11</v>
      </c>
      <c r="M7" s="15" t="s">
        <v>12</v>
      </c>
    </row>
    <row r="8" spans="2:13" x14ac:dyDescent="0.25">
      <c r="D8" s="2"/>
      <c r="G8" s="4">
        <v>6</v>
      </c>
      <c r="H8" s="9">
        <v>74.489999999999995</v>
      </c>
      <c r="I8" s="16">
        <f t="shared" si="0"/>
        <v>62.493213303124115</v>
      </c>
      <c r="J8" s="16">
        <f t="shared" si="1"/>
        <v>19.196943256358598</v>
      </c>
      <c r="K8" s="2"/>
      <c r="L8" s="16">
        <f>(1/(2*$C$3))*SQRT($F$3/$C$4)</f>
        <v>10.415535550520685</v>
      </c>
      <c r="M8" s="18">
        <f>ABS(L8-L5)*100/L8</f>
        <v>19.32655733078159</v>
      </c>
    </row>
    <row r="9" spans="2:13" x14ac:dyDescent="0.25">
      <c r="D9" s="2"/>
      <c r="G9" s="4">
        <v>7</v>
      </c>
      <c r="H9" s="9">
        <v>87.15</v>
      </c>
      <c r="I9" s="16">
        <f t="shared" si="0"/>
        <v>72.908748853644795</v>
      </c>
      <c r="J9" s="16">
        <f t="shared" si="1"/>
        <v>19.532979745603296</v>
      </c>
      <c r="K9" s="2"/>
      <c r="L9" s="12"/>
      <c r="M9" s="13"/>
    </row>
    <row r="10" spans="2:13" x14ac:dyDescent="0.25">
      <c r="D10" s="2"/>
      <c r="K10" s="2"/>
      <c r="L10" s="34" t="s">
        <v>13</v>
      </c>
      <c r="M10" s="35" t="s">
        <v>14</v>
      </c>
    </row>
    <row r="11" spans="2:13" x14ac:dyDescent="0.25">
      <c r="D11" s="2"/>
      <c r="K11" s="2"/>
      <c r="L11" s="34"/>
      <c r="M11" s="35"/>
    </row>
    <row r="12" spans="2:13" x14ac:dyDescent="0.25">
      <c r="B12" s="2"/>
      <c r="E12" s="2"/>
      <c r="J12" s="2"/>
      <c r="K12" s="2"/>
      <c r="L12" s="11">
        <f>((2*C3*L5)^2)*C4</f>
        <v>0.59546818419910852</v>
      </c>
      <c r="M12" s="18">
        <f>ABS(L12-F3)*100/L12</f>
        <v>29.769497162561233</v>
      </c>
    </row>
    <row r="13" spans="2:13" x14ac:dyDescent="0.25">
      <c r="B13" s="2"/>
      <c r="D13" s="2"/>
      <c r="E13" s="2"/>
      <c r="J13" s="2"/>
      <c r="K13" s="2"/>
      <c r="L13" s="2"/>
    </row>
    <row r="14" spans="2:13" x14ac:dyDescent="0.25">
      <c r="B14" s="2"/>
      <c r="D14" s="2"/>
      <c r="E14" s="2"/>
      <c r="J14" s="2"/>
      <c r="K14" s="2"/>
      <c r="L14" s="2"/>
    </row>
    <row r="15" spans="2:13" x14ac:dyDescent="0.25">
      <c r="B15" s="2"/>
      <c r="C15" s="2"/>
      <c r="D15" s="2"/>
      <c r="E15" s="2"/>
      <c r="J15" s="2"/>
      <c r="K15" s="2"/>
      <c r="L15" s="2"/>
    </row>
    <row r="16" spans="2:13" x14ac:dyDescent="0.25">
      <c r="B16" s="2"/>
      <c r="C16" s="2"/>
      <c r="D16" s="2"/>
      <c r="E16" s="2"/>
      <c r="J16" s="2"/>
      <c r="K16" s="2"/>
      <c r="L16" s="2"/>
    </row>
    <row r="17" spans="2:12" x14ac:dyDescent="0.25">
      <c r="B17" s="2"/>
      <c r="C17" s="2"/>
      <c r="D17" s="2"/>
      <c r="E17" s="2"/>
      <c r="J17" s="2"/>
      <c r="K17" s="2"/>
      <c r="L17" s="2"/>
    </row>
    <row r="18" spans="2:12" x14ac:dyDescent="0.25">
      <c r="B18" s="2"/>
      <c r="C18" s="2"/>
      <c r="D18" s="2"/>
      <c r="E18" s="2"/>
      <c r="J18" s="2"/>
      <c r="K18" s="2"/>
      <c r="L18" s="2"/>
    </row>
    <row r="19" spans="2:12" x14ac:dyDescent="0.25">
      <c r="B19" s="2"/>
      <c r="C19" s="2"/>
      <c r="D19" s="2"/>
      <c r="E19" s="2"/>
      <c r="J19" s="2"/>
      <c r="K19" s="2"/>
      <c r="L19" s="2"/>
    </row>
  </sheetData>
  <mergeCells count="5">
    <mergeCell ref="L2:M2"/>
    <mergeCell ref="L3:L4"/>
    <mergeCell ref="M3:M4"/>
    <mergeCell ref="L10:L11"/>
    <mergeCell ref="M10:M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B5D5-9C94-40B0-BFB7-B4A3461FEC61}">
  <dimension ref="B2:M19"/>
  <sheetViews>
    <sheetView workbookViewId="0">
      <selection activeCell="E3" sqref="E3"/>
    </sheetView>
  </sheetViews>
  <sheetFormatPr defaultRowHeight="15" x14ac:dyDescent="0.25"/>
  <cols>
    <col min="5" max="5" width="16.7109375" bestFit="1" customWidth="1"/>
    <col min="6" max="6" width="18" bestFit="1" customWidth="1"/>
    <col min="7" max="7" width="15.42578125" bestFit="1" customWidth="1"/>
    <col min="8" max="8" width="15" bestFit="1" customWidth="1"/>
    <col min="9" max="9" width="23.85546875" bestFit="1" customWidth="1"/>
    <col min="10" max="10" width="35.5703125" bestFit="1" customWidth="1"/>
    <col min="12" max="12" width="20.42578125" customWidth="1"/>
    <col min="13" max="13" width="25.28515625" customWidth="1"/>
  </cols>
  <sheetData>
    <row r="2" spans="2:13" x14ac:dyDescent="0.25">
      <c r="B2" s="3"/>
      <c r="C2" s="3" t="s">
        <v>2</v>
      </c>
      <c r="D2" s="2"/>
      <c r="E2" s="3" t="s">
        <v>5</v>
      </c>
      <c r="F2" s="3" t="s">
        <v>15</v>
      </c>
      <c r="G2" s="3" t="s">
        <v>3</v>
      </c>
      <c r="H2" s="3" t="s">
        <v>4</v>
      </c>
      <c r="I2" s="3" t="s">
        <v>9</v>
      </c>
      <c r="J2" s="3" t="s">
        <v>10</v>
      </c>
      <c r="K2" s="2"/>
      <c r="L2" s="29" t="s">
        <v>6</v>
      </c>
      <c r="M2" s="29"/>
    </row>
    <row r="3" spans="2:13" x14ac:dyDescent="0.25">
      <c r="B3" s="3" t="s">
        <v>0</v>
      </c>
      <c r="C3" s="4" cm="1">
        <f t="array" ref="C3:C4">'1ª Parte (m= I kg)'!C3:C4</f>
        <v>2.093</v>
      </c>
      <c r="D3" s="2"/>
      <c r="E3" s="10">
        <f>0.04263+0.09989</f>
        <v>0.14252000000000001</v>
      </c>
      <c r="F3" s="11">
        <f>9.81*E3</f>
        <v>1.3981212000000001</v>
      </c>
      <c r="G3" s="4">
        <v>1</v>
      </c>
      <c r="H3" s="9">
        <v>18.64</v>
      </c>
      <c r="I3" s="16">
        <f>(G3/(2*$C$3))*SQRT($F$3/$C$4)</f>
        <v>19.044161077047281</v>
      </c>
      <c r="J3" s="16">
        <f>ABS(I3-H3)*100/I3</f>
        <v>2.1222309316338985</v>
      </c>
      <c r="K3" s="2"/>
      <c r="L3" s="30" t="s">
        <v>7</v>
      </c>
      <c r="M3" s="32" t="s">
        <v>8</v>
      </c>
    </row>
    <row r="4" spans="2:13" x14ac:dyDescent="0.25">
      <c r="B4" s="5" t="s">
        <v>1</v>
      </c>
      <c r="C4" s="4">
        <v>2.2000000000000001E-4</v>
      </c>
      <c r="D4" s="2"/>
      <c r="G4" s="4">
        <v>2</v>
      </c>
      <c r="H4" s="9">
        <v>37.47</v>
      </c>
      <c r="I4" s="16">
        <f t="shared" ref="I4:I9" si="0">(G4/(2*$C$3))*SQRT($F$3/$C$4)</f>
        <v>38.088322154094563</v>
      </c>
      <c r="J4" s="16">
        <f t="shared" ref="J4:J9" si="1">ABS(I4-H4)*100/I4</f>
        <v>1.623390370394914</v>
      </c>
      <c r="K4" s="2"/>
      <c r="L4" s="31"/>
      <c r="M4" s="33"/>
    </row>
    <row r="5" spans="2:13" x14ac:dyDescent="0.25">
      <c r="B5" s="2"/>
      <c r="C5" s="2"/>
      <c r="D5" s="2"/>
      <c r="G5" s="4">
        <v>3</v>
      </c>
      <c r="H5" s="9">
        <v>55.81</v>
      </c>
      <c r="I5" s="16">
        <f t="shared" si="0"/>
        <v>57.13248323114184</v>
      </c>
      <c r="J5" s="16">
        <f t="shared" si="1"/>
        <v>2.3147658850945541</v>
      </c>
      <c r="K5" s="2"/>
      <c r="L5" s="16" cm="1">
        <f t="array" ref="L5:M5">LINEST(H3:H9,G3:G9,FALSE,FALSE)</f>
        <v>18.496142857142857</v>
      </c>
      <c r="M5" s="16">
        <v>0</v>
      </c>
    </row>
    <row r="6" spans="2:13" x14ac:dyDescent="0.25">
      <c r="B6" s="2"/>
      <c r="C6" s="2"/>
      <c r="D6" s="2"/>
      <c r="G6" s="4">
        <v>4</v>
      </c>
      <c r="H6" s="9">
        <v>74.349999999999994</v>
      </c>
      <c r="I6" s="16">
        <f t="shared" si="0"/>
        <v>76.176644308189125</v>
      </c>
      <c r="J6" s="16">
        <f t="shared" si="1"/>
        <v>2.3979059786344035</v>
      </c>
      <c r="K6" s="2"/>
      <c r="L6" s="19"/>
      <c r="M6" s="23"/>
    </row>
    <row r="7" spans="2:13" x14ac:dyDescent="0.25">
      <c r="D7" s="2"/>
      <c r="G7" s="4">
        <v>5</v>
      </c>
      <c r="H7" s="9">
        <v>92.6</v>
      </c>
      <c r="I7" s="16">
        <f t="shared" si="0"/>
        <v>95.220805385236389</v>
      </c>
      <c r="J7" s="16">
        <f t="shared" si="1"/>
        <v>2.7523453247778771</v>
      </c>
      <c r="K7" s="2"/>
      <c r="L7" s="21" t="s">
        <v>11</v>
      </c>
      <c r="M7" s="22" t="s">
        <v>12</v>
      </c>
    </row>
    <row r="8" spans="2:13" x14ac:dyDescent="0.25">
      <c r="D8" s="2"/>
      <c r="G8" s="4">
        <v>6</v>
      </c>
      <c r="H8" s="9">
        <v>110.9</v>
      </c>
      <c r="I8" s="16">
        <f t="shared" si="0"/>
        <v>114.26496646228368</v>
      </c>
      <c r="J8" s="16">
        <f t="shared" si="1"/>
        <v>2.944880278238541</v>
      </c>
      <c r="K8" s="2"/>
      <c r="L8" s="16">
        <f>(1/(2*$C$3))*SQRT($F$3/$C$4)</f>
        <v>19.044161077047281</v>
      </c>
      <c r="M8" s="17">
        <f>ABS(L8-L5)*100/L8</f>
        <v>2.8776180672243732</v>
      </c>
    </row>
    <row r="9" spans="2:13" x14ac:dyDescent="0.25">
      <c r="D9" s="2"/>
      <c r="G9" s="4">
        <v>7</v>
      </c>
      <c r="H9" s="9">
        <v>128.94999999999999</v>
      </c>
      <c r="I9" s="16">
        <f t="shared" si="0"/>
        <v>133.30912753933094</v>
      </c>
      <c r="J9" s="16">
        <f t="shared" si="1"/>
        <v>3.2699392905747269</v>
      </c>
      <c r="K9" s="2"/>
      <c r="L9" s="19"/>
      <c r="M9" s="23"/>
    </row>
    <row r="10" spans="2:13" x14ac:dyDescent="0.25">
      <c r="D10" s="2"/>
      <c r="K10" s="2"/>
      <c r="L10" s="36" t="s">
        <v>13</v>
      </c>
      <c r="M10" s="37" t="s">
        <v>14</v>
      </c>
    </row>
    <row r="11" spans="2:13" x14ac:dyDescent="0.25">
      <c r="D11" s="2"/>
      <c r="K11" s="2"/>
      <c r="L11" s="36"/>
      <c r="M11" s="37"/>
    </row>
    <row r="12" spans="2:13" x14ac:dyDescent="0.25">
      <c r="B12" s="2"/>
      <c r="C12" s="2"/>
      <c r="D12" s="2"/>
      <c r="E12" s="2"/>
      <c r="J12" s="2"/>
      <c r="K12" s="2"/>
      <c r="L12" s="11">
        <f>((2*C3*L5)^2)*C4</f>
        <v>1.3188137637226895</v>
      </c>
      <c r="M12" s="17">
        <f>ABS(L12-F3)*100/L12</f>
        <v>6.0135432658395205</v>
      </c>
    </row>
    <row r="13" spans="2:13" x14ac:dyDescent="0.25">
      <c r="B13" s="2"/>
      <c r="C13" s="2"/>
      <c r="D13" s="2"/>
      <c r="E13" s="2"/>
      <c r="J13" s="2"/>
      <c r="K13" s="2"/>
      <c r="L13" s="2"/>
    </row>
    <row r="14" spans="2:13" x14ac:dyDescent="0.25">
      <c r="B14" s="2"/>
      <c r="C14" s="2"/>
      <c r="D14" s="2"/>
      <c r="E14" s="2"/>
      <c r="J14" s="2"/>
      <c r="K14" s="2"/>
      <c r="L14" s="2"/>
    </row>
    <row r="15" spans="2:13" x14ac:dyDescent="0.25">
      <c r="B15" s="2"/>
      <c r="C15" s="2"/>
      <c r="D15" s="2"/>
      <c r="E15" s="2"/>
      <c r="J15" s="2"/>
      <c r="K15" s="2"/>
      <c r="L15" s="2"/>
    </row>
    <row r="16" spans="2:13" x14ac:dyDescent="0.25">
      <c r="B16" s="2"/>
      <c r="C16" s="2"/>
      <c r="D16" s="2"/>
      <c r="E16" s="2"/>
      <c r="J16" s="2"/>
      <c r="K16" s="2"/>
      <c r="L16" s="2"/>
    </row>
    <row r="17" spans="2:12" x14ac:dyDescent="0.25">
      <c r="B17" s="2"/>
      <c r="C17" s="2"/>
      <c r="D17" s="2"/>
      <c r="E17" s="2"/>
      <c r="J17" s="2"/>
      <c r="K17" s="2"/>
      <c r="L17" s="2"/>
    </row>
    <row r="18" spans="2:12" x14ac:dyDescent="0.25">
      <c r="B18" s="2"/>
      <c r="C18" s="2"/>
      <c r="D18" s="2"/>
      <c r="E18" s="2"/>
      <c r="J18" s="2"/>
      <c r="K18" s="2"/>
      <c r="L18" s="2"/>
    </row>
    <row r="19" spans="2:12" x14ac:dyDescent="0.25">
      <c r="B19" s="2"/>
      <c r="C19" s="2"/>
      <c r="D19" s="2"/>
      <c r="E19" s="2"/>
      <c r="J19" s="2"/>
      <c r="K19" s="2"/>
      <c r="L19" s="2"/>
    </row>
  </sheetData>
  <mergeCells count="5">
    <mergeCell ref="L2:M2"/>
    <mergeCell ref="L3:L4"/>
    <mergeCell ref="M3:M4"/>
    <mergeCell ref="L10:L11"/>
    <mergeCell ref="M10:M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30E-2681-434C-B61A-C501F7233ED0}">
  <dimension ref="B2:M19"/>
  <sheetViews>
    <sheetView workbookViewId="0">
      <selection activeCell="E3" sqref="E3:F3"/>
    </sheetView>
  </sheetViews>
  <sheetFormatPr defaultRowHeight="15" x14ac:dyDescent="0.25"/>
  <cols>
    <col min="5" max="5" width="10.28515625" bestFit="1" customWidth="1"/>
    <col min="6" max="6" width="18" bestFit="1" customWidth="1"/>
    <col min="7" max="7" width="15.42578125" bestFit="1" customWidth="1"/>
    <col min="8" max="8" width="15" bestFit="1" customWidth="1"/>
    <col min="9" max="9" width="23.85546875" bestFit="1" customWidth="1"/>
    <col min="10" max="10" width="35.5703125" bestFit="1" customWidth="1"/>
    <col min="12" max="12" width="19.28515625" customWidth="1"/>
    <col min="13" max="13" width="26" customWidth="1"/>
  </cols>
  <sheetData>
    <row r="2" spans="2:13" x14ac:dyDescent="0.25">
      <c r="B2" s="3"/>
      <c r="C2" s="3" t="s">
        <v>2</v>
      </c>
      <c r="D2" s="2"/>
      <c r="E2" s="3" t="s">
        <v>5</v>
      </c>
      <c r="F2" s="3" t="s">
        <v>15</v>
      </c>
      <c r="G2" s="3" t="s">
        <v>3</v>
      </c>
      <c r="H2" s="3" t="s">
        <v>4</v>
      </c>
      <c r="I2" s="3" t="s">
        <v>9</v>
      </c>
      <c r="J2" s="3" t="s">
        <v>10</v>
      </c>
      <c r="K2" s="2"/>
      <c r="L2" s="29" t="s">
        <v>6</v>
      </c>
      <c r="M2" s="29"/>
    </row>
    <row r="3" spans="2:13" x14ac:dyDescent="0.25">
      <c r="B3" s="3" t="s">
        <v>0</v>
      </c>
      <c r="C3" s="9" cm="1">
        <f t="array" ref="C3:C4">'1ª Parte (m= I kg)'!C3:C4</f>
        <v>2.093</v>
      </c>
      <c r="D3" s="2"/>
      <c r="E3" s="28">
        <v>0.24238999999999999</v>
      </c>
      <c r="F3" s="26">
        <f>9.81*E3</f>
        <v>2.3778459000000001</v>
      </c>
      <c r="G3" s="4">
        <v>1</v>
      </c>
      <c r="H3" s="6">
        <v>23.14</v>
      </c>
      <c r="I3" s="16">
        <f>(G3/(2*$C$3))*SQRT($F$3/$C$4)</f>
        <v>24.835979266579461</v>
      </c>
      <c r="J3" s="16">
        <f>ABS(I3-H3)*100/I3</f>
        <v>6.8287191270998315</v>
      </c>
      <c r="K3" s="2"/>
      <c r="L3" s="30" t="s">
        <v>7</v>
      </c>
      <c r="M3" s="32" t="s">
        <v>8</v>
      </c>
    </row>
    <row r="4" spans="2:13" x14ac:dyDescent="0.25">
      <c r="B4" s="5" t="s">
        <v>1</v>
      </c>
      <c r="C4" s="9">
        <v>2.2000000000000001E-4</v>
      </c>
      <c r="D4" s="2"/>
      <c r="G4" s="4">
        <v>2</v>
      </c>
      <c r="H4" s="6">
        <v>47.02</v>
      </c>
      <c r="I4" s="16">
        <f t="shared" ref="I4:I8" si="0">(G4/(2*$C$3))*SQRT($F$3/$C$4)</f>
        <v>49.671958533158922</v>
      </c>
      <c r="J4" s="16">
        <f t="shared" ref="J4:J8" si="1">ABS(I4-H4)*100/I4</f>
        <v>5.3389449731251926</v>
      </c>
      <c r="K4" s="2"/>
      <c r="L4" s="31"/>
      <c r="M4" s="33"/>
    </row>
    <row r="5" spans="2:13" x14ac:dyDescent="0.25">
      <c r="B5" s="2"/>
      <c r="C5" s="2"/>
      <c r="D5" s="2"/>
      <c r="G5" s="4">
        <v>3</v>
      </c>
      <c r="H5" s="6">
        <v>70.209999999999994</v>
      </c>
      <c r="I5" s="16">
        <f t="shared" si="0"/>
        <v>74.507937799738386</v>
      </c>
      <c r="J5" s="16">
        <f t="shared" si="1"/>
        <v>5.7684294139106926</v>
      </c>
      <c r="K5" s="2"/>
      <c r="L5" s="16" cm="1">
        <f t="array" ref="L5:M5">LINEST(H3:H8,G3:G8,FALSE,FALSE)</f>
        <v>23.24285714285714</v>
      </c>
      <c r="M5" s="16">
        <v>0</v>
      </c>
    </row>
    <row r="6" spans="2:13" x14ac:dyDescent="0.25">
      <c r="B6" s="2"/>
      <c r="C6" s="2"/>
      <c r="D6" s="2"/>
      <c r="G6" s="4">
        <v>4</v>
      </c>
      <c r="H6" s="6">
        <v>93.46</v>
      </c>
      <c r="I6" s="16">
        <f t="shared" si="0"/>
        <v>99.343917066317843</v>
      </c>
      <c r="J6" s="16">
        <f t="shared" si="1"/>
        <v>5.9227753848179674</v>
      </c>
      <c r="K6" s="2"/>
      <c r="L6" s="19"/>
      <c r="M6" s="23"/>
    </row>
    <row r="7" spans="2:13" x14ac:dyDescent="0.25">
      <c r="D7" s="2"/>
      <c r="G7" s="4">
        <v>5</v>
      </c>
      <c r="H7" s="6">
        <v>116.25</v>
      </c>
      <c r="I7" s="16">
        <f t="shared" si="0"/>
        <v>124.17989633289729</v>
      </c>
      <c r="J7" s="16">
        <f t="shared" si="1"/>
        <v>6.3858132975397934</v>
      </c>
      <c r="K7" s="2"/>
      <c r="L7" s="21" t="s">
        <v>11</v>
      </c>
      <c r="M7" s="22" t="s">
        <v>12</v>
      </c>
    </row>
    <row r="8" spans="2:13" x14ac:dyDescent="0.25">
      <c r="D8" s="2"/>
      <c r="G8" s="4">
        <v>6</v>
      </c>
      <c r="H8" s="6">
        <v>138.69999999999999</v>
      </c>
      <c r="I8" s="16">
        <f t="shared" si="0"/>
        <v>149.01587559947677</v>
      </c>
      <c r="J8" s="16">
        <f t="shared" si="1"/>
        <v>6.9226688485216705</v>
      </c>
      <c r="K8" s="2"/>
      <c r="L8" s="16">
        <f>(1/(2*$C$3))*SQRT($F$3/$C$4)</f>
        <v>24.835979266579461</v>
      </c>
      <c r="M8" s="17">
        <f>ABS(L8-L5)*100/L8</f>
        <v>6.4145734163424182</v>
      </c>
    </row>
    <row r="9" spans="2:13" x14ac:dyDescent="0.25">
      <c r="D9" s="2"/>
      <c r="K9" s="2"/>
      <c r="L9" s="19"/>
      <c r="M9" s="23"/>
    </row>
    <row r="10" spans="2:13" x14ac:dyDescent="0.25">
      <c r="D10" s="2"/>
      <c r="K10" s="2"/>
      <c r="L10" s="36" t="s">
        <v>13</v>
      </c>
      <c r="M10" s="37" t="s">
        <v>14</v>
      </c>
    </row>
    <row r="11" spans="2:13" x14ac:dyDescent="0.25">
      <c r="D11" s="2"/>
      <c r="K11" s="2"/>
      <c r="L11" s="36"/>
      <c r="M11" s="37"/>
    </row>
    <row r="12" spans="2:13" x14ac:dyDescent="0.25">
      <c r="B12" s="2"/>
      <c r="C12" s="2"/>
      <c r="D12" s="2"/>
      <c r="K12" s="2"/>
      <c r="L12" s="11">
        <f>((2*C3*L5)^2)*C4</f>
        <v>2.0825726216151996</v>
      </c>
      <c r="M12" s="17">
        <f>ABS(L12-F3)*100/L12</f>
        <v>14.178294447940676</v>
      </c>
    </row>
    <row r="13" spans="2:13" x14ac:dyDescent="0.25">
      <c r="B13" s="2"/>
      <c r="C13" s="2"/>
      <c r="D13" s="2"/>
      <c r="E13" s="2"/>
      <c r="J13" s="2"/>
      <c r="K13" s="2"/>
      <c r="L13" s="2"/>
    </row>
    <row r="14" spans="2:13" x14ac:dyDescent="0.25">
      <c r="B14" s="2"/>
      <c r="C14" s="2"/>
      <c r="D14" s="2"/>
      <c r="E14" s="2"/>
      <c r="J14" s="2"/>
      <c r="K14" s="2"/>
      <c r="L14" s="2"/>
    </row>
    <row r="15" spans="2:13" x14ac:dyDescent="0.25">
      <c r="B15" s="2"/>
      <c r="C15" s="2"/>
      <c r="D15" s="2"/>
      <c r="E15" s="2"/>
      <c r="J15" s="2"/>
      <c r="K15" s="2"/>
      <c r="L15" s="2"/>
    </row>
    <row r="16" spans="2:13" x14ac:dyDescent="0.25">
      <c r="B16" s="2"/>
      <c r="C16" s="2"/>
      <c r="D16" s="2"/>
      <c r="E16" s="2"/>
      <c r="J16" s="2"/>
      <c r="K16" s="2"/>
      <c r="L16" s="2"/>
    </row>
    <row r="17" spans="2:12" x14ac:dyDescent="0.25">
      <c r="B17" s="2"/>
      <c r="C17" s="2"/>
      <c r="D17" s="2"/>
      <c r="E17" s="2"/>
      <c r="J17" s="2"/>
      <c r="K17" s="2"/>
      <c r="L17" s="2"/>
    </row>
    <row r="18" spans="2:12" x14ac:dyDescent="0.25">
      <c r="B18" s="2"/>
      <c r="C18" s="2"/>
      <c r="D18" s="2"/>
      <c r="E18" s="2"/>
      <c r="J18" s="2"/>
      <c r="K18" s="2"/>
      <c r="L18" s="2"/>
    </row>
    <row r="19" spans="2:12" x14ac:dyDescent="0.25">
      <c r="B19" s="2"/>
      <c r="C19" s="2"/>
      <c r="D19" s="2"/>
      <c r="E19" s="2"/>
      <c r="J19" s="2"/>
      <c r="K19" s="2"/>
      <c r="L19" s="2"/>
    </row>
  </sheetData>
  <mergeCells count="5">
    <mergeCell ref="L2:M2"/>
    <mergeCell ref="L3:L4"/>
    <mergeCell ref="M3:M4"/>
    <mergeCell ref="L10:L11"/>
    <mergeCell ref="M10:M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D4C6-C129-4695-ACE4-413DE90E50D7}">
  <dimension ref="B2:M19"/>
  <sheetViews>
    <sheetView workbookViewId="0">
      <selection activeCell="J37" sqref="J37"/>
    </sheetView>
  </sheetViews>
  <sheetFormatPr defaultRowHeight="15" x14ac:dyDescent="0.25"/>
  <cols>
    <col min="5" max="5" width="10.28515625" bestFit="1" customWidth="1"/>
    <col min="6" max="6" width="18" bestFit="1" customWidth="1"/>
    <col min="7" max="7" width="15.42578125" bestFit="1" customWidth="1"/>
    <col min="8" max="8" width="15" bestFit="1" customWidth="1"/>
    <col min="9" max="9" width="23.85546875" bestFit="1" customWidth="1"/>
    <col min="10" max="10" width="35.5703125" bestFit="1" customWidth="1"/>
    <col min="12" max="12" width="19.28515625" customWidth="1"/>
    <col min="13" max="13" width="26" customWidth="1"/>
  </cols>
  <sheetData>
    <row r="2" spans="2:13" x14ac:dyDescent="0.25">
      <c r="B2" s="3"/>
      <c r="C2" s="3" t="s">
        <v>2</v>
      </c>
      <c r="D2" s="2"/>
      <c r="E2" s="3" t="s">
        <v>5</v>
      </c>
      <c r="F2" s="3" t="s">
        <v>15</v>
      </c>
      <c r="G2" s="3" t="s">
        <v>3</v>
      </c>
      <c r="H2" s="3" t="s">
        <v>4</v>
      </c>
      <c r="I2" s="3" t="s">
        <v>9</v>
      </c>
      <c r="J2" s="3" t="s">
        <v>10</v>
      </c>
      <c r="K2" s="2"/>
      <c r="L2" s="29" t="s">
        <v>6</v>
      </c>
      <c r="M2" s="29"/>
    </row>
    <row r="3" spans="2:13" x14ac:dyDescent="0.25">
      <c r="B3" s="3" t="s">
        <v>0</v>
      </c>
      <c r="C3" s="9" cm="1">
        <f t="array" ref="C3:C4">'1ª Parte (m= I kg)'!C3:C4</f>
        <v>2.093</v>
      </c>
      <c r="D3" s="2"/>
      <c r="E3" s="11">
        <v>0.34239000000000003</v>
      </c>
      <c r="F3" s="11">
        <f>9.81*E3</f>
        <v>3.3588459000000004</v>
      </c>
      <c r="G3" s="4">
        <v>1</v>
      </c>
      <c r="H3" s="4">
        <v>28.57</v>
      </c>
      <c r="I3" s="16">
        <f>(G3/(2*$C$3))*SQRT($F$3/$C$4)</f>
        <v>29.517833266186521</v>
      </c>
      <c r="J3" s="16">
        <f>ABS(I3-H3)*100/I3</f>
        <v>3.2110529849502529</v>
      </c>
      <c r="K3" s="2"/>
      <c r="L3" s="30" t="s">
        <v>7</v>
      </c>
      <c r="M3" s="32" t="s">
        <v>8</v>
      </c>
    </row>
    <row r="4" spans="2:13" x14ac:dyDescent="0.25">
      <c r="B4" s="5" t="s">
        <v>1</v>
      </c>
      <c r="C4" s="9">
        <v>2.2000000000000001E-4</v>
      </c>
      <c r="D4" s="2"/>
      <c r="G4" s="4">
        <v>2</v>
      </c>
      <c r="H4" s="9">
        <v>57.07</v>
      </c>
      <c r="I4" s="16">
        <f t="shared" ref="I4:I7" si="0">(G4/(2*$C$3))*SQRT($F$3/$C$4)</f>
        <v>59.035666532373043</v>
      </c>
      <c r="J4" s="16">
        <f t="shared" ref="J4:J7" si="1">ABS(I4-H4)*100/I4</f>
        <v>3.3296253736631249</v>
      </c>
      <c r="K4" s="2"/>
      <c r="L4" s="31"/>
      <c r="M4" s="33"/>
    </row>
    <row r="5" spans="2:13" x14ac:dyDescent="0.25">
      <c r="B5" s="2"/>
      <c r="C5" s="2"/>
      <c r="D5" s="2"/>
      <c r="G5" s="4">
        <v>3</v>
      </c>
      <c r="H5" s="9">
        <v>86.06</v>
      </c>
      <c r="I5" s="16">
        <f t="shared" si="0"/>
        <v>88.553499798559557</v>
      </c>
      <c r="J5" s="16">
        <f t="shared" si="1"/>
        <v>2.8158116892406713</v>
      </c>
      <c r="K5" s="2"/>
      <c r="L5" s="16" cm="1">
        <f t="array" ref="L5:M5">LINEST(H3:H7,G3:G7,FALSE,FALSE)</f>
        <v>28.681090909090909</v>
      </c>
      <c r="M5" s="16">
        <v>0</v>
      </c>
    </row>
    <row r="6" spans="2:13" x14ac:dyDescent="0.25">
      <c r="B6" s="2"/>
      <c r="C6" s="2"/>
      <c r="D6" s="2"/>
      <c r="G6" s="4">
        <v>4</v>
      </c>
      <c r="H6" s="9">
        <v>114.93</v>
      </c>
      <c r="I6" s="16">
        <f t="shared" si="0"/>
        <v>118.07133306474609</v>
      </c>
      <c r="J6" s="16">
        <f t="shared" si="1"/>
        <v>2.6605383230690585</v>
      </c>
      <c r="K6" s="2"/>
      <c r="L6" s="19"/>
      <c r="M6" s="20"/>
    </row>
    <row r="7" spans="2:13" x14ac:dyDescent="0.25">
      <c r="D7" s="2"/>
      <c r="G7" s="4">
        <v>5</v>
      </c>
      <c r="H7" s="9">
        <v>143.37</v>
      </c>
      <c r="I7" s="16">
        <f t="shared" si="0"/>
        <v>147.58916633093258</v>
      </c>
      <c r="J7" s="16">
        <f t="shared" si="1"/>
        <v>2.8587236013462753</v>
      </c>
      <c r="K7" s="2"/>
      <c r="L7" s="21" t="s">
        <v>11</v>
      </c>
      <c r="M7" s="22" t="s">
        <v>12</v>
      </c>
    </row>
    <row r="8" spans="2:13" x14ac:dyDescent="0.25">
      <c r="D8" s="2"/>
      <c r="K8" s="2"/>
      <c r="L8" s="16">
        <f>(1/(2*$C$3))*SQRT($F$3/$C$4)</f>
        <v>29.517833266186521</v>
      </c>
      <c r="M8" s="17">
        <f>ABS(L8-L5)*100/L8</f>
        <v>2.8347011433732971</v>
      </c>
    </row>
    <row r="9" spans="2:13" x14ac:dyDescent="0.25">
      <c r="D9" s="2"/>
      <c r="K9" s="2"/>
      <c r="L9" s="19"/>
      <c r="M9" s="20"/>
    </row>
    <row r="10" spans="2:13" x14ac:dyDescent="0.25">
      <c r="D10" s="2"/>
      <c r="K10" s="2"/>
      <c r="L10" s="36" t="s">
        <v>13</v>
      </c>
      <c r="M10" s="37" t="s">
        <v>14</v>
      </c>
    </row>
    <row r="11" spans="2:13" x14ac:dyDescent="0.25">
      <c r="D11" s="2"/>
      <c r="K11" s="2"/>
      <c r="L11" s="36"/>
      <c r="M11" s="37"/>
    </row>
    <row r="12" spans="2:13" x14ac:dyDescent="0.25">
      <c r="B12" s="2"/>
      <c r="C12" s="2"/>
      <c r="D12" s="2"/>
      <c r="E12" s="2"/>
      <c r="J12" s="2"/>
      <c r="K12" s="2"/>
      <c r="L12" s="11">
        <f>((2*C3*L5)^2)*C4</f>
        <v>3.1711184246287965</v>
      </c>
      <c r="M12" s="17">
        <f>ABS(L12-F3)*100/L12</f>
        <v>5.9199137412592489</v>
      </c>
    </row>
    <row r="13" spans="2:13" x14ac:dyDescent="0.25">
      <c r="B13" s="2"/>
      <c r="C13" s="2"/>
      <c r="D13" s="2"/>
      <c r="E13" s="2"/>
      <c r="J13" s="2"/>
      <c r="K13" s="2"/>
      <c r="L13" s="2"/>
    </row>
    <row r="14" spans="2:13" x14ac:dyDescent="0.25">
      <c r="B14" s="2"/>
      <c r="C14" s="2"/>
      <c r="D14" s="2"/>
      <c r="E14" s="2"/>
      <c r="J14" s="2"/>
      <c r="K14" s="2"/>
      <c r="L14" s="2"/>
    </row>
    <row r="15" spans="2:13" x14ac:dyDescent="0.25">
      <c r="B15" s="2"/>
      <c r="C15" s="2"/>
      <c r="D15" s="2"/>
      <c r="E15" s="2"/>
      <c r="J15" s="2"/>
      <c r="K15" s="2"/>
      <c r="L15" s="2"/>
    </row>
    <row r="16" spans="2:13" x14ac:dyDescent="0.25">
      <c r="B16" s="2"/>
      <c r="C16" s="2"/>
      <c r="D16" s="2"/>
      <c r="E16" s="2"/>
      <c r="J16" s="2"/>
      <c r="K16" s="2"/>
      <c r="L16" s="2"/>
    </row>
    <row r="17" spans="2:12" x14ac:dyDescent="0.25">
      <c r="B17" s="2"/>
      <c r="C17" s="2"/>
      <c r="D17" s="2"/>
      <c r="E17" s="2"/>
      <c r="J17" s="2"/>
      <c r="K17" s="2"/>
      <c r="L17" s="2"/>
    </row>
    <row r="18" spans="2:12" x14ac:dyDescent="0.25">
      <c r="B18" s="2"/>
      <c r="C18" s="2"/>
      <c r="D18" s="2"/>
      <c r="E18" s="2"/>
      <c r="J18" s="2"/>
      <c r="K18" s="2"/>
      <c r="L18" s="2"/>
    </row>
    <row r="19" spans="2:12" x14ac:dyDescent="0.25">
      <c r="B19" s="2"/>
      <c r="C19" s="2"/>
      <c r="D19" s="2"/>
      <c r="E19" s="2"/>
      <c r="J19" s="2"/>
      <c r="K19" s="2"/>
      <c r="L19" s="2"/>
    </row>
  </sheetData>
  <mergeCells count="5">
    <mergeCell ref="L2:M2"/>
    <mergeCell ref="L3:L4"/>
    <mergeCell ref="M3:M4"/>
    <mergeCell ref="L10:L11"/>
    <mergeCell ref="M10:M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4ECA-CF14-4871-A6CA-301E9D183038}">
  <dimension ref="B2:M19"/>
  <sheetViews>
    <sheetView workbookViewId="0">
      <selection activeCell="I30" sqref="I30"/>
    </sheetView>
  </sheetViews>
  <sheetFormatPr defaultRowHeight="15" x14ac:dyDescent="0.25"/>
  <cols>
    <col min="5" max="5" width="10.28515625" bestFit="1" customWidth="1"/>
    <col min="6" max="6" width="18" bestFit="1" customWidth="1"/>
    <col min="7" max="7" width="15.42578125" bestFit="1" customWidth="1"/>
    <col min="8" max="8" width="15" bestFit="1" customWidth="1"/>
    <col min="9" max="9" width="23.85546875" bestFit="1" customWidth="1"/>
    <col min="10" max="10" width="35.5703125" bestFit="1" customWidth="1"/>
    <col min="12" max="12" width="19.85546875" customWidth="1"/>
    <col min="13" max="13" width="24.7109375" customWidth="1"/>
  </cols>
  <sheetData>
    <row r="2" spans="2:13" x14ac:dyDescent="0.25">
      <c r="B2" s="3"/>
      <c r="C2" s="3" t="s">
        <v>2</v>
      </c>
      <c r="D2" s="2"/>
      <c r="E2" s="3" t="s">
        <v>5</v>
      </c>
      <c r="F2" s="3" t="s">
        <v>15</v>
      </c>
      <c r="G2" s="3" t="s">
        <v>3</v>
      </c>
      <c r="H2" s="3" t="s">
        <v>4</v>
      </c>
      <c r="I2" s="3" t="s">
        <v>9</v>
      </c>
      <c r="J2" s="3" t="s">
        <v>10</v>
      </c>
      <c r="K2" s="2"/>
      <c r="L2" s="29" t="s">
        <v>6</v>
      </c>
      <c r="M2" s="29"/>
    </row>
    <row r="3" spans="2:13" x14ac:dyDescent="0.25">
      <c r="B3" s="3" t="s">
        <v>0</v>
      </c>
      <c r="C3" s="9" cm="1">
        <f t="array" ref="C3:C4">'1ª Parte (m= I kg)'!C3:C4</f>
        <v>2.093</v>
      </c>
      <c r="D3" s="2"/>
      <c r="E3" s="11">
        <v>0.44236999999999999</v>
      </c>
      <c r="F3" s="11">
        <f>9.81*E3</f>
        <v>4.3396496999999998</v>
      </c>
      <c r="G3" s="4">
        <v>1</v>
      </c>
      <c r="H3" s="4">
        <v>32.46</v>
      </c>
      <c r="I3" s="16">
        <f>(G3/(2*$C$3))*SQRT($F$3/$C$4)</f>
        <v>33.551873271218263</v>
      </c>
      <c r="J3" s="16">
        <f>ABS(I3-H3)*100/I3</f>
        <v>3.2542840824178398</v>
      </c>
      <c r="K3" s="2"/>
      <c r="L3" s="30" t="s">
        <v>7</v>
      </c>
      <c r="M3" s="32" t="s">
        <v>8</v>
      </c>
    </row>
    <row r="4" spans="2:13" x14ac:dyDescent="0.25">
      <c r="B4" s="5" t="s">
        <v>1</v>
      </c>
      <c r="C4" s="9">
        <v>2.2000000000000001E-4</v>
      </c>
      <c r="D4" s="2"/>
      <c r="G4" s="4">
        <v>2</v>
      </c>
      <c r="H4" s="9">
        <v>65.239999999999995</v>
      </c>
      <c r="I4" s="16">
        <f t="shared" ref="I4:I6" si="0">(G4/(2*$C$3))*SQRT($F$3/$C$4)</f>
        <v>67.103746542436525</v>
      </c>
      <c r="J4" s="16">
        <f t="shared" ref="J4:J6" si="1">ABS(I4-H4)*100/I4</f>
        <v>2.7774105597187391</v>
      </c>
      <c r="K4" s="2"/>
      <c r="L4" s="31"/>
      <c r="M4" s="33"/>
    </row>
    <row r="5" spans="2:13" x14ac:dyDescent="0.25">
      <c r="B5" s="2"/>
      <c r="C5" s="2"/>
      <c r="D5" s="2"/>
      <c r="G5" s="4">
        <v>3</v>
      </c>
      <c r="H5" s="9">
        <v>97.9</v>
      </c>
      <c r="I5" s="16">
        <f t="shared" si="0"/>
        <v>100.65561981365478</v>
      </c>
      <c r="J5" s="16">
        <f t="shared" si="1"/>
        <v>2.7376710994937929</v>
      </c>
      <c r="K5" s="2"/>
      <c r="L5" s="16" cm="1">
        <f t="array" ref="L5:M5">LINEST(H3:H6,G3:G6,FALSE,FALSE)</f>
        <v>32.514666666666663</v>
      </c>
      <c r="M5" s="4">
        <v>0</v>
      </c>
    </row>
    <row r="6" spans="2:13" x14ac:dyDescent="0.25">
      <c r="B6" s="2"/>
      <c r="C6" s="2"/>
      <c r="D6" s="2"/>
      <c r="G6" s="4">
        <v>4</v>
      </c>
      <c r="H6" s="9">
        <v>129.69999999999999</v>
      </c>
      <c r="I6" s="16">
        <f t="shared" si="0"/>
        <v>134.20749308487305</v>
      </c>
      <c r="J6" s="16">
        <f t="shared" si="1"/>
        <v>3.3586001655082813</v>
      </c>
      <c r="K6" s="2"/>
      <c r="L6" s="2"/>
    </row>
    <row r="7" spans="2:13" x14ac:dyDescent="0.25">
      <c r="D7" s="2"/>
      <c r="K7" s="2"/>
      <c r="L7" s="3" t="s">
        <v>11</v>
      </c>
      <c r="M7" s="7" t="s">
        <v>12</v>
      </c>
    </row>
    <row r="8" spans="2:13" x14ac:dyDescent="0.25">
      <c r="D8" s="2"/>
      <c r="K8" s="2"/>
      <c r="L8" s="16">
        <f>(1/(2*$C$3))*SQRT($F$3/$C$4)</f>
        <v>33.551873271218263</v>
      </c>
      <c r="M8" s="17">
        <f>ABS(L8-L5)*100/L8</f>
        <v>3.0913522954956565</v>
      </c>
    </row>
    <row r="9" spans="2:13" x14ac:dyDescent="0.25">
      <c r="D9" s="2"/>
      <c r="K9" s="2"/>
      <c r="L9" s="2"/>
    </row>
    <row r="10" spans="2:13" x14ac:dyDescent="0.25">
      <c r="D10" s="2"/>
      <c r="K10" s="2"/>
      <c r="L10" s="38" t="s">
        <v>13</v>
      </c>
      <c r="M10" s="39" t="s">
        <v>14</v>
      </c>
    </row>
    <row r="11" spans="2:13" x14ac:dyDescent="0.25">
      <c r="D11" s="2"/>
      <c r="K11" s="2"/>
      <c r="L11" s="38"/>
      <c r="M11" s="39"/>
    </row>
    <row r="12" spans="2:13" x14ac:dyDescent="0.25">
      <c r="B12" s="2"/>
      <c r="C12" s="2"/>
      <c r="D12" s="2"/>
      <c r="E12" s="2"/>
      <c r="J12" s="2"/>
      <c r="K12" s="2"/>
      <c r="L12" s="11">
        <f>((2*C3*L5)^2)*C4</f>
        <v>4.0754891472148538</v>
      </c>
      <c r="M12" s="17">
        <f>ABS(L12-F3)*100/L12</f>
        <v>6.4816895161080375</v>
      </c>
    </row>
    <row r="13" spans="2:13" x14ac:dyDescent="0.25">
      <c r="B13" s="2"/>
      <c r="C13" s="2"/>
      <c r="D13" s="2"/>
      <c r="E13" s="2"/>
      <c r="J13" s="2"/>
      <c r="K13" s="2"/>
      <c r="L13" s="2"/>
    </row>
    <row r="14" spans="2:13" x14ac:dyDescent="0.25">
      <c r="B14" s="2"/>
      <c r="C14" s="2"/>
      <c r="D14" s="2"/>
      <c r="E14" s="2"/>
      <c r="J14" s="2"/>
      <c r="K14" s="2"/>
      <c r="L14" s="2"/>
    </row>
    <row r="15" spans="2:13" x14ac:dyDescent="0.25">
      <c r="B15" s="2"/>
      <c r="C15" s="2"/>
      <c r="D15" s="2"/>
      <c r="E15" s="2"/>
      <c r="J15" s="2"/>
      <c r="K15" s="2"/>
      <c r="L15" s="2"/>
    </row>
    <row r="16" spans="2:13" x14ac:dyDescent="0.25">
      <c r="B16" s="2"/>
      <c r="C16" s="2"/>
      <c r="D16" s="2"/>
      <c r="E16" s="2"/>
      <c r="J16" s="2"/>
      <c r="K16" s="2"/>
      <c r="L16" s="2"/>
    </row>
    <row r="17" spans="2:12" x14ac:dyDescent="0.25">
      <c r="B17" s="2"/>
      <c r="C17" s="2"/>
      <c r="D17" s="2"/>
      <c r="E17" s="2"/>
      <c r="J17" s="2"/>
      <c r="K17" s="2"/>
      <c r="L17" s="2"/>
    </row>
    <row r="18" spans="2:12" x14ac:dyDescent="0.25">
      <c r="B18" s="2"/>
      <c r="C18" s="2"/>
      <c r="D18" s="2"/>
      <c r="E18" s="2"/>
      <c r="J18" s="2"/>
      <c r="K18" s="2"/>
      <c r="L18" s="2"/>
    </row>
    <row r="19" spans="2:12" x14ac:dyDescent="0.25">
      <c r="B19" s="2"/>
      <c r="C19" s="2"/>
      <c r="D19" s="2"/>
      <c r="E19" s="2"/>
      <c r="J19" s="2"/>
      <c r="K19" s="2"/>
      <c r="L19" s="2"/>
    </row>
  </sheetData>
  <mergeCells count="5">
    <mergeCell ref="L2:M2"/>
    <mergeCell ref="L3:L4"/>
    <mergeCell ref="M3:M4"/>
    <mergeCell ref="L10:L11"/>
    <mergeCell ref="M10:M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E055-E341-4036-9472-D238BB83E29E}">
  <dimension ref="B2:F8"/>
  <sheetViews>
    <sheetView workbookViewId="0">
      <selection activeCell="B2" sqref="B2:F7"/>
    </sheetView>
  </sheetViews>
  <sheetFormatPr defaultRowHeight="15" x14ac:dyDescent="0.25"/>
  <cols>
    <col min="2" max="2" width="10.28515625" bestFit="1" customWidth="1"/>
    <col min="3" max="3" width="10.28515625" customWidth="1"/>
    <col min="4" max="5" width="25.28515625" bestFit="1" customWidth="1"/>
    <col min="6" max="6" width="34.85546875" customWidth="1"/>
  </cols>
  <sheetData>
    <row r="2" spans="2:6" x14ac:dyDescent="0.25">
      <c r="B2" s="7" t="s">
        <v>33</v>
      </c>
      <c r="C2" s="7" t="s">
        <v>34</v>
      </c>
      <c r="D2" s="7" t="s">
        <v>17</v>
      </c>
      <c r="E2" s="7" t="s">
        <v>18</v>
      </c>
      <c r="F2" s="7" t="s">
        <v>16</v>
      </c>
    </row>
    <row r="3" spans="2:6" x14ac:dyDescent="0.25">
      <c r="B3" s="8" t="s">
        <v>28</v>
      </c>
      <c r="C3" s="8">
        <f>'1ª Parte (m= I kg)'!E3</f>
        <v>4.2630000000000001E-2</v>
      </c>
      <c r="D3" s="17">
        <f>'1ª Parte (m= I kg)'!L8*2*'1ª Parte (m= I kg)'!C3</f>
        <v>43.599431814479587</v>
      </c>
      <c r="E3" s="17">
        <f>2*'1ª Parte (m= I kg)'!C3*'1ª Parte (m= I kg)'!L5</f>
        <v>52.025701000000012</v>
      </c>
      <c r="F3" s="17">
        <f>ABS(E3-D3)*100/D3</f>
        <v>19.32655733078159</v>
      </c>
    </row>
    <row r="4" spans="2:6" x14ac:dyDescent="0.25">
      <c r="B4" s="8" t="s">
        <v>29</v>
      </c>
      <c r="C4" s="8">
        <f>'1ª Parte (m=I+A kg)'!E3</f>
        <v>0.14252000000000001</v>
      </c>
      <c r="D4" s="17">
        <f>'1ª Parte (m=I+A kg)'!L8*'1ª Parte (m=I+A kg)'!C3*2</f>
        <v>79.718858268519924</v>
      </c>
      <c r="E4" s="17">
        <f>2*'1ª Parte (m=I+A kg)'!C3*'1ª Parte (m=I+A kg)'!L5</f>
        <v>77.424853999999996</v>
      </c>
      <c r="F4" s="17">
        <f t="shared" ref="F4:F7" si="0">ABS(E4-D4)*100/D4</f>
        <v>2.8776180672243816</v>
      </c>
    </row>
    <row r="5" spans="2:6" x14ac:dyDescent="0.25">
      <c r="B5" s="8" t="s">
        <v>30</v>
      </c>
      <c r="C5" s="8">
        <f>'1ª Parte (m=I+A+C kg)'!E3</f>
        <v>0.24238999999999999</v>
      </c>
      <c r="D5" s="17">
        <f>'1ª Parte (m=I+A+C kg)'!L8*'1ª Parte (m=I+A+C kg)'!C3*2</f>
        <v>103.96340920990163</v>
      </c>
      <c r="E5" s="17">
        <f>2*'1ª Parte (m=I+A+C kg)'!C3*'1ª Parte (m=I+A+C kg)'!L5</f>
        <v>97.294599999999988</v>
      </c>
      <c r="F5" s="17">
        <f t="shared" si="0"/>
        <v>6.4145734163424217</v>
      </c>
    </row>
    <row r="6" spans="2:6" x14ac:dyDescent="0.25">
      <c r="B6" s="8" t="s">
        <v>31</v>
      </c>
      <c r="C6" s="8">
        <f>'1ª Parte (m=I+A+C+D kg)'!E3</f>
        <v>0.34239000000000003</v>
      </c>
      <c r="D6" s="17">
        <f>'1ª Parte (m=I+A+C+D kg)'!L8*'1ª Parte (m=I+A+C+D kg)'!C3*2</f>
        <v>123.56165005225678</v>
      </c>
      <c r="E6" s="17">
        <f>2*'1ª Parte (m=I+A+C+D kg)'!C3*'1ª Parte (m=I+A+C+D kg)'!L5</f>
        <v>120.05904654545454</v>
      </c>
      <c r="F6" s="17">
        <f t="shared" si="0"/>
        <v>2.8347011433733051</v>
      </c>
    </row>
    <row r="7" spans="2:6" x14ac:dyDescent="0.25">
      <c r="B7" s="8" t="s">
        <v>32</v>
      </c>
      <c r="C7" s="8">
        <f>'1ª Parte (m=I+A+C+D+F kg)'!E3</f>
        <v>0.44236999999999999</v>
      </c>
      <c r="D7" s="17">
        <f>'1ª Parte (m=I+A+C+D+F kg)'!L8*'1ª Parte (m=I+A+C+D+F kg)'!C3*2</f>
        <v>140.44814151331965</v>
      </c>
      <c r="E7" s="17">
        <f>2*'1ª Parte (m=I+A+C+D+F kg)'!C3*'1ª Parte (m=I+A+C+D+F kg)'!L5</f>
        <v>136.10639466666666</v>
      </c>
      <c r="F7" s="17">
        <f t="shared" si="0"/>
        <v>3.0913522954956565</v>
      </c>
    </row>
    <row r="8" spans="2:6" x14ac:dyDescent="0.25">
      <c r="B8" s="1"/>
      <c r="C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136C-A516-4867-98D2-9A6BA6668F1D}">
  <dimension ref="A1:L14"/>
  <sheetViews>
    <sheetView workbookViewId="0">
      <selection activeCell="J29" sqref="J29"/>
    </sheetView>
  </sheetViews>
  <sheetFormatPr defaultRowHeight="15" x14ac:dyDescent="0.25"/>
  <cols>
    <col min="2" max="2" width="5.85546875" bestFit="1" customWidth="1"/>
    <col min="5" max="5" width="13.7109375" bestFit="1" customWidth="1"/>
    <col min="6" max="6" width="22.42578125" bestFit="1" customWidth="1"/>
    <col min="7" max="7" width="22" bestFit="1" customWidth="1"/>
    <col min="9" max="9" width="16.42578125" customWidth="1"/>
    <col min="10" max="10" width="18.5703125" customWidth="1"/>
    <col min="11" max="11" width="21.85546875" customWidth="1"/>
    <col min="12" max="12" width="18" customWidth="1"/>
    <col min="13" max="13" width="16.425781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</row>
    <row r="2" spans="1:12" x14ac:dyDescent="0.25">
      <c r="A2" s="1"/>
      <c r="B2" s="1"/>
      <c r="C2" s="7" t="s">
        <v>2</v>
      </c>
      <c r="D2" s="1"/>
      <c r="E2" s="1"/>
      <c r="F2" s="7" t="s">
        <v>19</v>
      </c>
      <c r="G2" s="7" t="s">
        <v>20</v>
      </c>
      <c r="H2" s="1"/>
      <c r="I2" s="39" t="s">
        <v>23</v>
      </c>
      <c r="J2" s="39" t="s">
        <v>22</v>
      </c>
      <c r="K2" s="39" t="s">
        <v>24</v>
      </c>
      <c r="L2" s="39" t="s">
        <v>25</v>
      </c>
    </row>
    <row r="3" spans="1:12" x14ac:dyDescent="0.25">
      <c r="A3" s="1"/>
      <c r="B3" s="7" t="s">
        <v>0</v>
      </c>
      <c r="C3" s="8">
        <v>1.1519999999999999</v>
      </c>
      <c r="D3" s="1"/>
      <c r="E3" s="1"/>
      <c r="F3" s="8">
        <v>3.9E-2</v>
      </c>
      <c r="G3" s="8">
        <v>3.9E-2</v>
      </c>
      <c r="H3" s="1"/>
      <c r="I3" s="39"/>
      <c r="J3" s="39"/>
      <c r="K3" s="39"/>
      <c r="L3" s="39"/>
    </row>
    <row r="4" spans="1:12" x14ac:dyDescent="0.25">
      <c r="A4" s="1"/>
      <c r="B4" s="7" t="s">
        <v>21</v>
      </c>
      <c r="C4" s="8">
        <v>20</v>
      </c>
      <c r="D4" s="1"/>
      <c r="H4" s="1"/>
      <c r="I4" s="8">
        <f>AVERAGE(F3:G3)</f>
        <v>3.9E-2</v>
      </c>
      <c r="J4" s="8">
        <f>(331.45+(0.6*C4))</f>
        <v>343.45</v>
      </c>
      <c r="K4" s="24">
        <f>C3/2</f>
        <v>0.57599999999999996</v>
      </c>
      <c r="L4" s="18">
        <f>(J4*K4)/I4</f>
        <v>5072.4923076923069</v>
      </c>
    </row>
    <row r="5" spans="1:12" x14ac:dyDescent="0.25">
      <c r="A5" s="1"/>
      <c r="B5" s="1"/>
      <c r="C5" s="1"/>
      <c r="D5" s="1"/>
      <c r="H5" s="1"/>
      <c r="I5" s="1"/>
    </row>
    <row r="6" spans="1:12" x14ac:dyDescent="0.25">
      <c r="A6" s="1"/>
      <c r="B6" s="1"/>
      <c r="C6" s="1"/>
      <c r="D6" s="1"/>
      <c r="H6" s="1"/>
      <c r="I6" s="39" t="s">
        <v>26</v>
      </c>
      <c r="K6" s="7" t="s">
        <v>35</v>
      </c>
      <c r="L6" s="7" t="s">
        <v>27</v>
      </c>
    </row>
    <row r="7" spans="1:12" x14ac:dyDescent="0.25">
      <c r="A7" s="1"/>
      <c r="B7" s="1"/>
      <c r="C7" s="1"/>
      <c r="D7" s="1"/>
      <c r="H7" s="1"/>
      <c r="I7" s="39"/>
      <c r="K7" s="8">
        <v>5100</v>
      </c>
      <c r="L7" s="25">
        <f>(K7-L4)/K7</f>
        <v>5.393665158371197E-3</v>
      </c>
    </row>
    <row r="8" spans="1:12" x14ac:dyDescent="0.25">
      <c r="A8" s="1"/>
      <c r="B8" s="1"/>
      <c r="C8" s="1"/>
      <c r="D8" s="1"/>
      <c r="H8" s="1"/>
      <c r="I8" s="40">
        <v>0.89700000000000002</v>
      </c>
    </row>
    <row r="9" spans="1:12" x14ac:dyDescent="0.25">
      <c r="A9" s="1"/>
      <c r="B9" s="1"/>
      <c r="C9" s="1"/>
      <c r="D9" s="1"/>
      <c r="H9" s="1"/>
      <c r="I9" s="40"/>
    </row>
    <row r="10" spans="1:12" x14ac:dyDescent="0.25">
      <c r="A10" s="1"/>
      <c r="B10" s="1"/>
      <c r="C10" s="1"/>
      <c r="D10" s="1"/>
      <c r="H10" s="1"/>
      <c r="I10" s="1"/>
    </row>
    <row r="11" spans="1:12" x14ac:dyDescent="0.25">
      <c r="A11" s="1"/>
      <c r="B11" s="1"/>
      <c r="C11" s="1"/>
      <c r="D11" s="1"/>
      <c r="H11" s="1"/>
      <c r="I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mergeCells count="6">
    <mergeCell ref="I8:I9"/>
    <mergeCell ref="I2:I3"/>
    <mergeCell ref="J2:J3"/>
    <mergeCell ref="K2:K3"/>
    <mergeCell ref="L2:L3"/>
    <mergeCell ref="I6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1ª Parte (m= I kg)</vt:lpstr>
      <vt:lpstr>1ª Parte (m=I+A kg)</vt:lpstr>
      <vt:lpstr>1ª Parte (m=I+A+C kg)</vt:lpstr>
      <vt:lpstr>1ª Parte (m=I+A+C+D kg)</vt:lpstr>
      <vt:lpstr>1ª Parte (m=I+A+C+D+F kg)</vt:lpstr>
      <vt:lpstr>1ª Parte (Estudo)</vt:lpstr>
      <vt:lpstr>2ª Parte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2021-12-27T17:52:33Z</dcterms:modified>
</cp:coreProperties>
</file>